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3. Март\"/>
    </mc:Choice>
  </mc:AlternateContent>
  <xr:revisionPtr revIDLastSave="0" documentId="13_ncr:1_{D9C4EE0B-6CF0-41CF-A198-4EDD8B138370}" xr6:coauthVersionLast="47" xr6:coauthVersionMax="47" xr10:uidLastSave="{00000000-0000-0000-0000-000000000000}"/>
  <bookViews>
    <workbookView xWindow="-28920" yWindow="-120" windowWidth="29040" windowHeight="15840" xr2:uid="{58B23917-6E4F-4EE3-B909-439F69E1B2FA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'1416'!$A$2:$AY$6</definedName>
    <definedName name="_xlnm._FilterDatabase" localSheetId="2" hidden="1">'1512 вич'!$A$2:$AY$6</definedName>
    <definedName name="_xlnm._FilterDatabase" localSheetId="3" hidden="1">'1512 туб'!$A$2:$AY$6</definedName>
    <definedName name="_xlnm._FilterDatabase" localSheetId="4" hidden="1">'1688'!$A$2:$AY$6</definedName>
    <definedName name="_xlnm._FilterDatabase" localSheetId="0" hidden="1">'2024 год'!$A$2:$AY$519</definedName>
    <definedName name="_xlnm._FilterDatabase" localSheetId="5" hidden="1">'545'!$A$2:$AY$6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6" i="5" l="1"/>
  <c r="AE95" i="5"/>
  <c r="AE94" i="5"/>
  <c r="AE93" i="5"/>
  <c r="AE92" i="5"/>
  <c r="AE91" i="5"/>
  <c r="AE90" i="5"/>
  <c r="AE89" i="5"/>
  <c r="AE88" i="5"/>
  <c r="AE87" i="5"/>
  <c r="AE86" i="5"/>
  <c r="AE85" i="5"/>
  <c r="AE84" i="5"/>
  <c r="AE83" i="5"/>
  <c r="AE82" i="5"/>
  <c r="AE81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96" i="4"/>
  <c r="AE95" i="4"/>
  <c r="AE94" i="4"/>
  <c r="AE93" i="4"/>
  <c r="AE92" i="4"/>
  <c r="AE91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X519" i="1"/>
  <c r="X519" i="1"/>
  <c r="AF519" i="1" s="1"/>
  <c r="AG519" i="1" s="1"/>
  <c r="S519" i="1"/>
  <c r="T519" i="1" s="1"/>
  <c r="Q519" i="1"/>
  <c r="O519" i="1"/>
  <c r="N519" i="1"/>
  <c r="AX518" i="1"/>
  <c r="X518" i="1"/>
  <c r="AF518" i="1" s="1"/>
  <c r="AG518" i="1" s="1"/>
  <c r="S518" i="1"/>
  <c r="Q518" i="1"/>
  <c r="O518" i="1"/>
  <c r="N518" i="1"/>
  <c r="AX517" i="1"/>
  <c r="X517" i="1"/>
  <c r="AF517" i="1" s="1"/>
  <c r="AG517" i="1" s="1"/>
  <c r="S517" i="1"/>
  <c r="T517" i="1" s="1"/>
  <c r="Q517" i="1"/>
  <c r="O517" i="1"/>
  <c r="N517" i="1"/>
  <c r="AX516" i="1"/>
  <c r="X516" i="1"/>
  <c r="AF516" i="1" s="1"/>
  <c r="AG516" i="1" s="1"/>
  <c r="S516" i="1"/>
  <c r="Q516" i="1"/>
  <c r="O516" i="1"/>
  <c r="N516" i="1"/>
  <c r="AX515" i="1"/>
  <c r="X515" i="1"/>
  <c r="AF515" i="1" s="1"/>
  <c r="AG515" i="1" s="1"/>
  <c r="S515" i="1"/>
  <c r="Q515" i="1"/>
  <c r="O515" i="1"/>
  <c r="N515" i="1"/>
  <c r="AX514" i="1"/>
  <c r="X514" i="1"/>
  <c r="AF514" i="1" s="1"/>
  <c r="AG514" i="1" s="1"/>
  <c r="S514" i="1"/>
  <c r="T514" i="1" s="1"/>
  <c r="Q514" i="1"/>
  <c r="O514" i="1"/>
  <c r="N514" i="1"/>
  <c r="AX513" i="1"/>
  <c r="X513" i="1"/>
  <c r="AF513" i="1" s="1"/>
  <c r="AG513" i="1" s="1"/>
  <c r="S513" i="1"/>
  <c r="T513" i="1" s="1"/>
  <c r="Q513" i="1"/>
  <c r="O513" i="1"/>
  <c r="N513" i="1"/>
  <c r="AX512" i="1"/>
  <c r="X512" i="1"/>
  <c r="AF512" i="1" s="1"/>
  <c r="AG512" i="1" s="1"/>
  <c r="S512" i="1"/>
  <c r="T512" i="1" s="1"/>
  <c r="Q512" i="1"/>
  <c r="O512" i="1"/>
  <c r="N512" i="1"/>
  <c r="AX511" i="1"/>
  <c r="X511" i="1"/>
  <c r="AF511" i="1" s="1"/>
  <c r="AG511" i="1" s="1"/>
  <c r="S511" i="1"/>
  <c r="T511" i="1" s="1"/>
  <c r="Q511" i="1"/>
  <c r="O511" i="1"/>
  <c r="N511" i="1"/>
  <c r="AX510" i="1"/>
  <c r="X510" i="1"/>
  <c r="AF510" i="1" s="1"/>
  <c r="AG510" i="1" s="1"/>
  <c r="S510" i="1"/>
  <c r="Q510" i="1"/>
  <c r="O510" i="1"/>
  <c r="N510" i="1"/>
  <c r="AX509" i="1"/>
  <c r="X509" i="1"/>
  <c r="AF509" i="1" s="1"/>
  <c r="AG509" i="1" s="1"/>
  <c r="S509" i="1"/>
  <c r="T509" i="1" s="1"/>
  <c r="Q509" i="1"/>
  <c r="O509" i="1"/>
  <c r="N509" i="1"/>
  <c r="AX508" i="1"/>
  <c r="X508" i="1"/>
  <c r="S508" i="1"/>
  <c r="Q508" i="1"/>
  <c r="O508" i="1"/>
  <c r="N508" i="1"/>
  <c r="AX507" i="1"/>
  <c r="X507" i="1"/>
  <c r="AF507" i="1" s="1"/>
  <c r="AG507" i="1" s="1"/>
  <c r="S507" i="1"/>
  <c r="T507" i="1" s="1"/>
  <c r="Q507" i="1"/>
  <c r="O507" i="1"/>
  <c r="N507" i="1"/>
  <c r="AX506" i="1"/>
  <c r="X506" i="1"/>
  <c r="S506" i="1"/>
  <c r="Q506" i="1"/>
  <c r="O506" i="1"/>
  <c r="N506" i="1"/>
  <c r="AX505" i="1"/>
  <c r="X505" i="1"/>
  <c r="AF505" i="1" s="1"/>
  <c r="AG505" i="1" s="1"/>
  <c r="S505" i="1"/>
  <c r="T505" i="1" s="1"/>
  <c r="Q505" i="1"/>
  <c r="O505" i="1"/>
  <c r="N505" i="1"/>
  <c r="AX504" i="1"/>
  <c r="X504" i="1"/>
  <c r="AF504" i="1" s="1"/>
  <c r="AG504" i="1" s="1"/>
  <c r="S504" i="1"/>
  <c r="Q504" i="1"/>
  <c r="O504" i="1"/>
  <c r="N504" i="1"/>
  <c r="AX503" i="1"/>
  <c r="X503" i="1"/>
  <c r="AF503" i="1" s="1"/>
  <c r="AG503" i="1" s="1"/>
  <c r="S503" i="1"/>
  <c r="Q503" i="1"/>
  <c r="O503" i="1"/>
  <c r="N503" i="1"/>
  <c r="AX502" i="1"/>
  <c r="X502" i="1"/>
  <c r="AF502" i="1" s="1"/>
  <c r="AG502" i="1" s="1"/>
  <c r="S502" i="1"/>
  <c r="Q502" i="1"/>
  <c r="O502" i="1"/>
  <c r="N502" i="1"/>
  <c r="AX501" i="1"/>
  <c r="X501" i="1"/>
  <c r="AF501" i="1" s="1"/>
  <c r="AG501" i="1" s="1"/>
  <c r="S501" i="1"/>
  <c r="T501" i="1" s="1"/>
  <c r="Q501" i="1"/>
  <c r="O501" i="1"/>
  <c r="N501" i="1"/>
  <c r="AX500" i="1"/>
  <c r="X500" i="1"/>
  <c r="AF500" i="1" s="1"/>
  <c r="AG500" i="1" s="1"/>
  <c r="S500" i="1"/>
  <c r="T500" i="1" s="1"/>
  <c r="Q500" i="1"/>
  <c r="O500" i="1"/>
  <c r="N500" i="1"/>
  <c r="AX499" i="1"/>
  <c r="X499" i="1"/>
  <c r="AF499" i="1" s="1"/>
  <c r="AG499" i="1" s="1"/>
  <c r="S499" i="1"/>
  <c r="T499" i="1" s="1"/>
  <c r="Q499" i="1"/>
  <c r="O499" i="1"/>
  <c r="N499" i="1"/>
  <c r="AX498" i="1"/>
  <c r="X498" i="1"/>
  <c r="AF498" i="1" s="1"/>
  <c r="AG498" i="1" s="1"/>
  <c r="S498" i="1"/>
  <c r="Q498" i="1"/>
  <c r="O498" i="1"/>
  <c r="N498" i="1"/>
  <c r="AX497" i="1"/>
  <c r="X497" i="1"/>
  <c r="AF497" i="1" s="1"/>
  <c r="AG497" i="1" s="1"/>
  <c r="S497" i="1"/>
  <c r="Q497" i="1"/>
  <c r="O497" i="1"/>
  <c r="N497" i="1"/>
  <c r="AX496" i="1"/>
  <c r="X496" i="1"/>
  <c r="AF496" i="1" s="1"/>
  <c r="AG496" i="1" s="1"/>
  <c r="S496" i="1"/>
  <c r="Q496" i="1"/>
  <c r="O496" i="1"/>
  <c r="N496" i="1"/>
  <c r="AX495" i="1"/>
  <c r="X495" i="1"/>
  <c r="AF495" i="1" s="1"/>
  <c r="AG495" i="1" s="1"/>
  <c r="S495" i="1"/>
  <c r="T495" i="1" s="1"/>
  <c r="Q495" i="1"/>
  <c r="O495" i="1"/>
  <c r="N495" i="1"/>
  <c r="AX494" i="1"/>
  <c r="X494" i="1"/>
  <c r="S494" i="1"/>
  <c r="Q494" i="1"/>
  <c r="O494" i="1"/>
  <c r="N494" i="1"/>
  <c r="AX493" i="1"/>
  <c r="X493" i="1"/>
  <c r="AF493" i="1" s="1"/>
  <c r="AG493" i="1" s="1"/>
  <c r="S493" i="1"/>
  <c r="Q493" i="1"/>
  <c r="O493" i="1"/>
  <c r="N493" i="1"/>
  <c r="AX492" i="1"/>
  <c r="X492" i="1"/>
  <c r="AF492" i="1" s="1"/>
  <c r="AG492" i="1" s="1"/>
  <c r="S492" i="1"/>
  <c r="Q492" i="1"/>
  <c r="O492" i="1"/>
  <c r="N492" i="1"/>
  <c r="AX491" i="1"/>
  <c r="X491" i="1"/>
  <c r="AF491" i="1" s="1"/>
  <c r="AG491" i="1" s="1"/>
  <c r="S491" i="1"/>
  <c r="Q491" i="1"/>
  <c r="O491" i="1"/>
  <c r="N491" i="1"/>
  <c r="AX490" i="1"/>
  <c r="X490" i="1"/>
  <c r="AF490" i="1" s="1"/>
  <c r="AG490" i="1" s="1"/>
  <c r="S490" i="1"/>
  <c r="T490" i="1" s="1"/>
  <c r="Q490" i="1"/>
  <c r="O490" i="1"/>
  <c r="N490" i="1"/>
  <c r="AX489" i="1"/>
  <c r="X489" i="1"/>
  <c r="AF489" i="1" s="1"/>
  <c r="AG489" i="1" s="1"/>
  <c r="S489" i="1"/>
  <c r="T489" i="1" s="1"/>
  <c r="Q489" i="1"/>
  <c r="O489" i="1"/>
  <c r="N489" i="1"/>
  <c r="AX488" i="1"/>
  <c r="X488" i="1"/>
  <c r="AF488" i="1" s="1"/>
  <c r="AG488" i="1" s="1"/>
  <c r="S488" i="1"/>
  <c r="T488" i="1" s="1"/>
  <c r="Q488" i="1"/>
  <c r="O488" i="1"/>
  <c r="N488" i="1"/>
  <c r="AX487" i="1"/>
  <c r="X487" i="1"/>
  <c r="AF487" i="1" s="1"/>
  <c r="AG487" i="1" s="1"/>
  <c r="S487" i="1"/>
  <c r="T487" i="1" s="1"/>
  <c r="Q487" i="1"/>
  <c r="O487" i="1"/>
  <c r="N487" i="1"/>
  <c r="AX486" i="1"/>
  <c r="X486" i="1"/>
  <c r="AF486" i="1" s="1"/>
  <c r="AG486" i="1" s="1"/>
  <c r="S486" i="1"/>
  <c r="Q486" i="1"/>
  <c r="O486" i="1"/>
  <c r="N486" i="1"/>
  <c r="AX485" i="1"/>
  <c r="X485" i="1"/>
  <c r="AF485" i="1" s="1"/>
  <c r="AG485" i="1" s="1"/>
  <c r="S485" i="1"/>
  <c r="Q485" i="1"/>
  <c r="O485" i="1"/>
  <c r="N485" i="1"/>
  <c r="AX484" i="1"/>
  <c r="X484" i="1"/>
  <c r="AF484" i="1" s="1"/>
  <c r="AG484" i="1" s="1"/>
  <c r="S484" i="1"/>
  <c r="Q484" i="1"/>
  <c r="O484" i="1"/>
  <c r="N484" i="1"/>
  <c r="AX483" i="1"/>
  <c r="X483" i="1"/>
  <c r="AF483" i="1" s="1"/>
  <c r="AG483" i="1" s="1"/>
  <c r="S483" i="1"/>
  <c r="Q483" i="1"/>
  <c r="O483" i="1"/>
  <c r="N483" i="1"/>
  <c r="AX482" i="1"/>
  <c r="X482" i="1"/>
  <c r="S482" i="1"/>
  <c r="Q482" i="1"/>
  <c r="O482" i="1"/>
  <c r="N482" i="1"/>
  <c r="AX481" i="1"/>
  <c r="X481" i="1"/>
  <c r="AF481" i="1" s="1"/>
  <c r="AG481" i="1" s="1"/>
  <c r="S481" i="1"/>
  <c r="Q481" i="1"/>
  <c r="O481" i="1"/>
  <c r="N481" i="1"/>
  <c r="AX480" i="1"/>
  <c r="X480" i="1"/>
  <c r="AF480" i="1" s="1"/>
  <c r="AG480" i="1" s="1"/>
  <c r="S480" i="1"/>
  <c r="Q480" i="1"/>
  <c r="O480" i="1"/>
  <c r="N480" i="1"/>
  <c r="AX479" i="1"/>
  <c r="X479" i="1"/>
  <c r="AF479" i="1" s="1"/>
  <c r="AG479" i="1" s="1"/>
  <c r="S479" i="1"/>
  <c r="Q479" i="1"/>
  <c r="O479" i="1"/>
  <c r="N479" i="1"/>
  <c r="AX478" i="1"/>
  <c r="X478" i="1"/>
  <c r="AF478" i="1" s="1"/>
  <c r="AG478" i="1" s="1"/>
  <c r="S478" i="1"/>
  <c r="T478" i="1" s="1"/>
  <c r="Q478" i="1"/>
  <c r="O478" i="1"/>
  <c r="N478" i="1"/>
  <c r="AX477" i="1"/>
  <c r="X477" i="1"/>
  <c r="AF477" i="1" s="1"/>
  <c r="AG477" i="1" s="1"/>
  <c r="S477" i="1"/>
  <c r="T477" i="1" s="1"/>
  <c r="Q477" i="1"/>
  <c r="O477" i="1"/>
  <c r="N477" i="1"/>
  <c r="AX476" i="1"/>
  <c r="X476" i="1"/>
  <c r="AF476" i="1" s="1"/>
  <c r="AG476" i="1" s="1"/>
  <c r="S476" i="1"/>
  <c r="T476" i="1" s="1"/>
  <c r="Q476" i="1"/>
  <c r="O476" i="1"/>
  <c r="N476" i="1"/>
  <c r="AX475" i="1"/>
  <c r="X475" i="1"/>
  <c r="AF475" i="1" s="1"/>
  <c r="AG475" i="1" s="1"/>
  <c r="S475" i="1"/>
  <c r="T475" i="1" s="1"/>
  <c r="Q475" i="1"/>
  <c r="O475" i="1"/>
  <c r="N475" i="1"/>
  <c r="AX474" i="1"/>
  <c r="X474" i="1"/>
  <c r="AF474" i="1" s="1"/>
  <c r="AG474" i="1" s="1"/>
  <c r="S474" i="1"/>
  <c r="Q474" i="1"/>
  <c r="O474" i="1"/>
  <c r="N474" i="1"/>
  <c r="AX473" i="1"/>
  <c r="X473" i="1"/>
  <c r="S473" i="1"/>
  <c r="Q473" i="1"/>
  <c r="O473" i="1"/>
  <c r="N473" i="1"/>
  <c r="AX472" i="1"/>
  <c r="X472" i="1"/>
  <c r="AF472" i="1" s="1"/>
  <c r="AG472" i="1" s="1"/>
  <c r="S472" i="1"/>
  <c r="Q472" i="1"/>
  <c r="O472" i="1"/>
  <c r="N472" i="1"/>
  <c r="AX471" i="1"/>
  <c r="X471" i="1"/>
  <c r="AF471" i="1" s="1"/>
  <c r="AG471" i="1" s="1"/>
  <c r="S471" i="1"/>
  <c r="Q471" i="1"/>
  <c r="O471" i="1"/>
  <c r="N471" i="1"/>
  <c r="AX470" i="1"/>
  <c r="X470" i="1"/>
  <c r="S470" i="1"/>
  <c r="Q470" i="1"/>
  <c r="O470" i="1"/>
  <c r="N470" i="1"/>
  <c r="AX469" i="1"/>
  <c r="X469" i="1"/>
  <c r="AF469" i="1" s="1"/>
  <c r="AG469" i="1" s="1"/>
  <c r="S469" i="1"/>
  <c r="Q469" i="1"/>
  <c r="O469" i="1"/>
  <c r="N469" i="1"/>
  <c r="AX468" i="1"/>
  <c r="X468" i="1"/>
  <c r="AF468" i="1" s="1"/>
  <c r="AG468" i="1" s="1"/>
  <c r="S468" i="1"/>
  <c r="Q468" i="1"/>
  <c r="O468" i="1"/>
  <c r="N468" i="1"/>
  <c r="AX467" i="1"/>
  <c r="X467" i="1"/>
  <c r="AF467" i="1" s="1"/>
  <c r="AG467" i="1" s="1"/>
  <c r="S467" i="1"/>
  <c r="Q467" i="1"/>
  <c r="O467" i="1"/>
  <c r="N467" i="1"/>
  <c r="AX466" i="1"/>
  <c r="X466" i="1"/>
  <c r="AF466" i="1" s="1"/>
  <c r="AG466" i="1" s="1"/>
  <c r="S466" i="1"/>
  <c r="T466" i="1" s="1"/>
  <c r="Q466" i="1"/>
  <c r="O466" i="1"/>
  <c r="N466" i="1"/>
  <c r="AX465" i="1"/>
  <c r="X465" i="1"/>
  <c r="AF465" i="1" s="1"/>
  <c r="AG465" i="1" s="1"/>
  <c r="S465" i="1"/>
  <c r="T465" i="1" s="1"/>
  <c r="Q465" i="1"/>
  <c r="O465" i="1"/>
  <c r="N465" i="1"/>
  <c r="AX464" i="1"/>
  <c r="X464" i="1"/>
  <c r="AF464" i="1" s="1"/>
  <c r="AG464" i="1" s="1"/>
  <c r="S464" i="1"/>
  <c r="Q464" i="1"/>
  <c r="O464" i="1"/>
  <c r="N464" i="1"/>
  <c r="AX463" i="1"/>
  <c r="X463" i="1"/>
  <c r="AF463" i="1" s="1"/>
  <c r="AG463" i="1" s="1"/>
  <c r="S463" i="1"/>
  <c r="T463" i="1" s="1"/>
  <c r="Q463" i="1"/>
  <c r="O463" i="1"/>
  <c r="N463" i="1"/>
  <c r="AX462" i="1"/>
  <c r="X462" i="1"/>
  <c r="AF462" i="1" s="1"/>
  <c r="AG462" i="1" s="1"/>
  <c r="S462" i="1"/>
  <c r="Q462" i="1"/>
  <c r="O462" i="1"/>
  <c r="N462" i="1"/>
  <c r="AX461" i="1"/>
  <c r="X461" i="1"/>
  <c r="AF461" i="1" s="1"/>
  <c r="AG461" i="1" s="1"/>
  <c r="S461" i="1"/>
  <c r="Q461" i="1"/>
  <c r="O461" i="1"/>
  <c r="N461" i="1"/>
  <c r="AX460" i="1"/>
  <c r="X460" i="1"/>
  <c r="S460" i="1"/>
  <c r="Q460" i="1"/>
  <c r="O460" i="1"/>
  <c r="N460" i="1"/>
  <c r="AX459" i="1"/>
  <c r="X459" i="1"/>
  <c r="AF459" i="1" s="1"/>
  <c r="AG459" i="1" s="1"/>
  <c r="S459" i="1"/>
  <c r="Q459" i="1"/>
  <c r="O459" i="1"/>
  <c r="N459" i="1"/>
  <c r="AX458" i="1"/>
  <c r="X458" i="1"/>
  <c r="AF458" i="1" s="1"/>
  <c r="AG458" i="1" s="1"/>
  <c r="S458" i="1"/>
  <c r="Q458" i="1"/>
  <c r="O458" i="1"/>
  <c r="N458" i="1"/>
  <c r="AX457" i="1"/>
  <c r="X457" i="1"/>
  <c r="AF457" i="1" s="1"/>
  <c r="AG457" i="1" s="1"/>
  <c r="S457" i="1"/>
  <c r="Q457" i="1"/>
  <c r="O457" i="1"/>
  <c r="N457" i="1"/>
  <c r="AX456" i="1"/>
  <c r="X456" i="1"/>
  <c r="AF456" i="1" s="1"/>
  <c r="AG456" i="1" s="1"/>
  <c r="S456" i="1"/>
  <c r="T456" i="1" s="1"/>
  <c r="Q456" i="1"/>
  <c r="O456" i="1"/>
  <c r="N456" i="1"/>
  <c r="AX455" i="1"/>
  <c r="X455" i="1"/>
  <c r="S455" i="1"/>
  <c r="Q455" i="1"/>
  <c r="O455" i="1"/>
  <c r="N455" i="1"/>
  <c r="AX454" i="1"/>
  <c r="X454" i="1"/>
  <c r="AF454" i="1" s="1"/>
  <c r="AG454" i="1" s="1"/>
  <c r="S454" i="1"/>
  <c r="T454" i="1" s="1"/>
  <c r="Q454" i="1"/>
  <c r="O454" i="1"/>
  <c r="N454" i="1"/>
  <c r="AX453" i="1"/>
  <c r="X453" i="1"/>
  <c r="AF453" i="1" s="1"/>
  <c r="AG453" i="1" s="1"/>
  <c r="S453" i="1"/>
  <c r="T453" i="1" s="1"/>
  <c r="Q453" i="1"/>
  <c r="O453" i="1"/>
  <c r="N453" i="1"/>
  <c r="AX452" i="1"/>
  <c r="AG452" i="1"/>
  <c r="X452" i="1"/>
  <c r="AF452" i="1" s="1"/>
  <c r="S452" i="1"/>
  <c r="Q452" i="1"/>
  <c r="O452" i="1"/>
  <c r="N452" i="1"/>
  <c r="AX451" i="1"/>
  <c r="X451" i="1"/>
  <c r="AF451" i="1" s="1"/>
  <c r="AG451" i="1" s="1"/>
  <c r="S451" i="1"/>
  <c r="T451" i="1" s="1"/>
  <c r="Q451" i="1"/>
  <c r="O451" i="1"/>
  <c r="N451" i="1"/>
  <c r="AX450" i="1"/>
  <c r="X450" i="1"/>
  <c r="AF450" i="1" s="1"/>
  <c r="AG450" i="1" s="1"/>
  <c r="S450" i="1"/>
  <c r="Q450" i="1"/>
  <c r="O450" i="1"/>
  <c r="N450" i="1"/>
  <c r="AX449" i="1"/>
  <c r="X449" i="1"/>
  <c r="AF449" i="1" s="1"/>
  <c r="AG449" i="1" s="1"/>
  <c r="S449" i="1"/>
  <c r="T449" i="1" s="1"/>
  <c r="Q449" i="1"/>
  <c r="O449" i="1"/>
  <c r="N449" i="1"/>
  <c r="AX448" i="1"/>
  <c r="X448" i="1"/>
  <c r="AF448" i="1" s="1"/>
  <c r="AG448" i="1" s="1"/>
  <c r="S448" i="1"/>
  <c r="Q448" i="1"/>
  <c r="O448" i="1"/>
  <c r="N448" i="1"/>
  <c r="AX447" i="1"/>
  <c r="X447" i="1"/>
  <c r="AF447" i="1" s="1"/>
  <c r="AG447" i="1" s="1"/>
  <c r="S447" i="1"/>
  <c r="Q447" i="1"/>
  <c r="O447" i="1"/>
  <c r="N447" i="1"/>
  <c r="AX446" i="1"/>
  <c r="X446" i="1"/>
  <c r="AF446" i="1" s="1"/>
  <c r="AG446" i="1" s="1"/>
  <c r="S446" i="1"/>
  <c r="Q446" i="1"/>
  <c r="O446" i="1"/>
  <c r="N446" i="1"/>
  <c r="AX445" i="1"/>
  <c r="X445" i="1"/>
  <c r="AF445" i="1" s="1"/>
  <c r="AG445" i="1" s="1"/>
  <c r="S445" i="1"/>
  <c r="T445" i="1" s="1"/>
  <c r="Q445" i="1"/>
  <c r="O445" i="1"/>
  <c r="N445" i="1"/>
  <c r="AX444" i="1"/>
  <c r="X444" i="1"/>
  <c r="AF444" i="1" s="1"/>
  <c r="AG444" i="1" s="1"/>
  <c r="S444" i="1"/>
  <c r="T444" i="1" s="1"/>
  <c r="Q444" i="1"/>
  <c r="O444" i="1"/>
  <c r="N444" i="1"/>
  <c r="AX443" i="1"/>
  <c r="X443" i="1"/>
  <c r="AF443" i="1" s="1"/>
  <c r="AG443" i="1" s="1"/>
  <c r="S443" i="1"/>
  <c r="Q443" i="1"/>
  <c r="O443" i="1"/>
  <c r="N443" i="1"/>
  <c r="AX442" i="1"/>
  <c r="X442" i="1"/>
  <c r="AF442" i="1" s="1"/>
  <c r="AG442" i="1" s="1"/>
  <c r="S442" i="1"/>
  <c r="T442" i="1" s="1"/>
  <c r="Q442" i="1"/>
  <c r="O442" i="1"/>
  <c r="N442" i="1"/>
  <c r="AX441" i="1"/>
  <c r="X441" i="1"/>
  <c r="AF441" i="1" s="1"/>
  <c r="AG441" i="1" s="1"/>
  <c r="S441" i="1"/>
  <c r="Q441" i="1"/>
  <c r="O441" i="1"/>
  <c r="N441" i="1"/>
  <c r="AX440" i="1"/>
  <c r="X440" i="1"/>
  <c r="AF440" i="1" s="1"/>
  <c r="AG440" i="1" s="1"/>
  <c r="S440" i="1"/>
  <c r="T440" i="1" s="1"/>
  <c r="Q440" i="1"/>
  <c r="O440" i="1"/>
  <c r="N440" i="1"/>
  <c r="AX439" i="1"/>
  <c r="X439" i="1"/>
  <c r="AF439" i="1" s="1"/>
  <c r="AG439" i="1" s="1"/>
  <c r="S439" i="1"/>
  <c r="T439" i="1" s="1"/>
  <c r="Q439" i="1"/>
  <c r="O439" i="1"/>
  <c r="N439" i="1"/>
  <c r="AX438" i="1"/>
  <c r="X438" i="1"/>
  <c r="AF438" i="1" s="1"/>
  <c r="AG438" i="1" s="1"/>
  <c r="S438" i="1"/>
  <c r="T438" i="1" s="1"/>
  <c r="Q438" i="1"/>
  <c r="O438" i="1"/>
  <c r="N438" i="1"/>
  <c r="AX437" i="1"/>
  <c r="X437" i="1"/>
  <c r="S437" i="1"/>
  <c r="Q437" i="1"/>
  <c r="O437" i="1"/>
  <c r="N437" i="1"/>
  <c r="AX436" i="1"/>
  <c r="X436" i="1"/>
  <c r="AF436" i="1" s="1"/>
  <c r="AG436" i="1" s="1"/>
  <c r="S436" i="1"/>
  <c r="T436" i="1" s="1"/>
  <c r="Q436" i="1"/>
  <c r="O436" i="1"/>
  <c r="N436" i="1"/>
  <c r="AX435" i="1"/>
  <c r="X435" i="1"/>
  <c r="AF435" i="1" s="1"/>
  <c r="AG435" i="1" s="1"/>
  <c r="S435" i="1"/>
  <c r="Q435" i="1"/>
  <c r="O435" i="1"/>
  <c r="N435" i="1"/>
  <c r="AX434" i="1"/>
  <c r="X434" i="1"/>
  <c r="AF434" i="1" s="1"/>
  <c r="AG434" i="1" s="1"/>
  <c r="S434" i="1"/>
  <c r="T434" i="1" s="1"/>
  <c r="Q434" i="1"/>
  <c r="O434" i="1"/>
  <c r="N434" i="1"/>
  <c r="AX433" i="1"/>
  <c r="X433" i="1"/>
  <c r="AF433" i="1" s="1"/>
  <c r="AG433" i="1" s="1"/>
  <c r="S433" i="1"/>
  <c r="Q433" i="1"/>
  <c r="O433" i="1"/>
  <c r="N433" i="1"/>
  <c r="AX432" i="1"/>
  <c r="X432" i="1"/>
  <c r="AF432" i="1" s="1"/>
  <c r="AG432" i="1" s="1"/>
  <c r="S432" i="1"/>
  <c r="Q432" i="1"/>
  <c r="O432" i="1"/>
  <c r="N432" i="1"/>
  <c r="AX431" i="1"/>
  <c r="X431" i="1"/>
  <c r="AF431" i="1" s="1"/>
  <c r="AG431" i="1" s="1"/>
  <c r="S431" i="1"/>
  <c r="T431" i="1" s="1"/>
  <c r="Q431" i="1"/>
  <c r="O431" i="1"/>
  <c r="N431" i="1"/>
  <c r="AX430" i="1"/>
  <c r="X430" i="1"/>
  <c r="AF430" i="1" s="1"/>
  <c r="AG430" i="1" s="1"/>
  <c r="S430" i="1"/>
  <c r="T430" i="1" s="1"/>
  <c r="Q430" i="1"/>
  <c r="O430" i="1"/>
  <c r="N430" i="1"/>
  <c r="AX429" i="1"/>
  <c r="X429" i="1"/>
  <c r="AF429" i="1" s="1"/>
  <c r="AG429" i="1" s="1"/>
  <c r="S429" i="1"/>
  <c r="Q429" i="1"/>
  <c r="O429" i="1"/>
  <c r="N429" i="1"/>
  <c r="AX428" i="1"/>
  <c r="X428" i="1"/>
  <c r="AF428" i="1" s="1"/>
  <c r="AG428" i="1" s="1"/>
  <c r="S428" i="1"/>
  <c r="T428" i="1" s="1"/>
  <c r="Q428" i="1"/>
  <c r="O428" i="1"/>
  <c r="N428" i="1"/>
  <c r="AX427" i="1"/>
  <c r="X427" i="1"/>
  <c r="AF427" i="1" s="1"/>
  <c r="AG427" i="1" s="1"/>
  <c r="S427" i="1"/>
  <c r="T427" i="1" s="1"/>
  <c r="Q427" i="1"/>
  <c r="O427" i="1"/>
  <c r="N427" i="1"/>
  <c r="AX426" i="1"/>
  <c r="X426" i="1"/>
  <c r="AF426" i="1" s="1"/>
  <c r="AG426" i="1" s="1"/>
  <c r="S426" i="1"/>
  <c r="T426" i="1" s="1"/>
  <c r="Q426" i="1"/>
  <c r="O426" i="1"/>
  <c r="N426" i="1"/>
  <c r="AX425" i="1"/>
  <c r="X425" i="1"/>
  <c r="S425" i="1"/>
  <c r="Q425" i="1"/>
  <c r="O425" i="1"/>
  <c r="N425" i="1"/>
  <c r="AX424" i="1"/>
  <c r="X424" i="1"/>
  <c r="AF424" i="1" s="1"/>
  <c r="AG424" i="1" s="1"/>
  <c r="S424" i="1"/>
  <c r="T424" i="1" s="1"/>
  <c r="Q424" i="1"/>
  <c r="O424" i="1"/>
  <c r="N424" i="1"/>
  <c r="AX423" i="1"/>
  <c r="X423" i="1"/>
  <c r="AF423" i="1" s="1"/>
  <c r="AG423" i="1" s="1"/>
  <c r="S423" i="1"/>
  <c r="Q423" i="1"/>
  <c r="O423" i="1"/>
  <c r="N423" i="1"/>
  <c r="AX422" i="1"/>
  <c r="X422" i="1"/>
  <c r="AF422" i="1" s="1"/>
  <c r="AG422" i="1" s="1"/>
  <c r="S422" i="1"/>
  <c r="T422" i="1" s="1"/>
  <c r="Q422" i="1"/>
  <c r="O422" i="1"/>
  <c r="N422" i="1"/>
  <c r="AX421" i="1"/>
  <c r="X421" i="1"/>
  <c r="AF421" i="1" s="1"/>
  <c r="AG421" i="1" s="1"/>
  <c r="S421" i="1"/>
  <c r="Q421" i="1"/>
  <c r="O421" i="1"/>
  <c r="N421" i="1"/>
  <c r="AX420" i="1"/>
  <c r="X420" i="1"/>
  <c r="AF420" i="1" s="1"/>
  <c r="AG420" i="1" s="1"/>
  <c r="S420" i="1"/>
  <c r="T420" i="1" s="1"/>
  <c r="Q420" i="1"/>
  <c r="O420" i="1"/>
  <c r="N420" i="1"/>
  <c r="AX419" i="1"/>
  <c r="X419" i="1"/>
  <c r="AF419" i="1" s="1"/>
  <c r="AG419" i="1" s="1"/>
  <c r="S419" i="1"/>
  <c r="T419" i="1" s="1"/>
  <c r="Q419" i="1"/>
  <c r="O419" i="1"/>
  <c r="N419" i="1"/>
  <c r="AX418" i="1"/>
  <c r="X418" i="1"/>
  <c r="AF418" i="1" s="1"/>
  <c r="AG418" i="1" s="1"/>
  <c r="S418" i="1"/>
  <c r="T418" i="1" s="1"/>
  <c r="Q418" i="1"/>
  <c r="O418" i="1"/>
  <c r="N418" i="1"/>
  <c r="AX417" i="1"/>
  <c r="X417" i="1"/>
  <c r="AF417" i="1" s="1"/>
  <c r="AG417" i="1" s="1"/>
  <c r="S417" i="1"/>
  <c r="T417" i="1" s="1"/>
  <c r="Q417" i="1"/>
  <c r="O417" i="1"/>
  <c r="N417" i="1"/>
  <c r="AX416" i="1"/>
  <c r="X416" i="1"/>
  <c r="AF416" i="1" s="1"/>
  <c r="AG416" i="1" s="1"/>
  <c r="S416" i="1"/>
  <c r="Q416" i="1"/>
  <c r="O416" i="1"/>
  <c r="N416" i="1"/>
  <c r="AX415" i="1"/>
  <c r="X415" i="1"/>
  <c r="AF415" i="1" s="1"/>
  <c r="AG415" i="1" s="1"/>
  <c r="S415" i="1"/>
  <c r="T415" i="1" s="1"/>
  <c r="Q415" i="1"/>
  <c r="O415" i="1"/>
  <c r="N415" i="1"/>
  <c r="AX414" i="1"/>
  <c r="X414" i="1"/>
  <c r="AF414" i="1" s="1"/>
  <c r="AG414" i="1" s="1"/>
  <c r="S414" i="1"/>
  <c r="T414" i="1" s="1"/>
  <c r="Q414" i="1"/>
  <c r="O414" i="1"/>
  <c r="N414" i="1"/>
  <c r="AX413" i="1"/>
  <c r="X413" i="1"/>
  <c r="AF413" i="1" s="1"/>
  <c r="AG413" i="1" s="1"/>
  <c r="S413" i="1"/>
  <c r="Q413" i="1"/>
  <c r="O413" i="1"/>
  <c r="N413" i="1"/>
  <c r="AX412" i="1"/>
  <c r="X412" i="1"/>
  <c r="AF412" i="1" s="1"/>
  <c r="AG412" i="1" s="1"/>
  <c r="S412" i="1"/>
  <c r="T412" i="1" s="1"/>
  <c r="Q412" i="1"/>
  <c r="O412" i="1"/>
  <c r="N412" i="1"/>
  <c r="AX411" i="1"/>
  <c r="X411" i="1"/>
  <c r="AF411" i="1" s="1"/>
  <c r="AG411" i="1" s="1"/>
  <c r="S411" i="1"/>
  <c r="Q411" i="1"/>
  <c r="O411" i="1"/>
  <c r="N411" i="1"/>
  <c r="AX410" i="1"/>
  <c r="X410" i="1"/>
  <c r="AF410" i="1" s="1"/>
  <c r="AG410" i="1" s="1"/>
  <c r="S410" i="1"/>
  <c r="T410" i="1" s="1"/>
  <c r="Q410" i="1"/>
  <c r="O410" i="1"/>
  <c r="N410" i="1"/>
  <c r="AX409" i="1"/>
  <c r="X409" i="1"/>
  <c r="AF409" i="1" s="1"/>
  <c r="AG409" i="1" s="1"/>
  <c r="S409" i="1"/>
  <c r="Q409" i="1"/>
  <c r="O409" i="1"/>
  <c r="N409" i="1"/>
  <c r="AX408" i="1"/>
  <c r="X408" i="1"/>
  <c r="AF408" i="1" s="1"/>
  <c r="AG408" i="1" s="1"/>
  <c r="S408" i="1"/>
  <c r="Q408" i="1"/>
  <c r="O408" i="1"/>
  <c r="N408" i="1"/>
  <c r="AX407" i="1"/>
  <c r="X407" i="1"/>
  <c r="AF407" i="1" s="1"/>
  <c r="AG407" i="1" s="1"/>
  <c r="S407" i="1"/>
  <c r="Q407" i="1"/>
  <c r="O407" i="1"/>
  <c r="N407" i="1"/>
  <c r="AX406" i="1"/>
  <c r="X406" i="1"/>
  <c r="AF406" i="1" s="1"/>
  <c r="AG406" i="1" s="1"/>
  <c r="S406" i="1"/>
  <c r="T406" i="1" s="1"/>
  <c r="Q406" i="1"/>
  <c r="O406" i="1"/>
  <c r="N406" i="1"/>
  <c r="AX405" i="1"/>
  <c r="X405" i="1"/>
  <c r="AF405" i="1" s="1"/>
  <c r="AG405" i="1" s="1"/>
  <c r="S405" i="1"/>
  <c r="Q405" i="1"/>
  <c r="O405" i="1"/>
  <c r="N405" i="1"/>
  <c r="AX404" i="1"/>
  <c r="X404" i="1"/>
  <c r="AF404" i="1" s="1"/>
  <c r="AG404" i="1" s="1"/>
  <c r="S404" i="1"/>
  <c r="T404" i="1" s="1"/>
  <c r="Q404" i="1"/>
  <c r="O404" i="1"/>
  <c r="N404" i="1"/>
  <c r="AX403" i="1"/>
  <c r="X403" i="1"/>
  <c r="AF403" i="1" s="1"/>
  <c r="AG403" i="1" s="1"/>
  <c r="S403" i="1"/>
  <c r="Q403" i="1"/>
  <c r="O403" i="1"/>
  <c r="N403" i="1"/>
  <c r="AX402" i="1"/>
  <c r="X402" i="1"/>
  <c r="AF402" i="1" s="1"/>
  <c r="AG402" i="1" s="1"/>
  <c r="S402" i="1"/>
  <c r="T402" i="1" s="1"/>
  <c r="Q402" i="1"/>
  <c r="O402" i="1"/>
  <c r="N402" i="1"/>
  <c r="AX401" i="1"/>
  <c r="X401" i="1"/>
  <c r="AF401" i="1" s="1"/>
  <c r="AG401" i="1" s="1"/>
  <c r="S401" i="1"/>
  <c r="T401" i="1" s="1"/>
  <c r="Q401" i="1"/>
  <c r="O401" i="1"/>
  <c r="N401" i="1"/>
  <c r="AX400" i="1"/>
  <c r="Y400" i="1"/>
  <c r="X400" i="1" s="1"/>
  <c r="AF400" i="1" s="1"/>
  <c r="AG400" i="1" s="1"/>
  <c r="S400" i="1"/>
  <c r="T400" i="1" s="1"/>
  <c r="Q400" i="1"/>
  <c r="O400" i="1"/>
  <c r="N400" i="1"/>
  <c r="AX399" i="1"/>
  <c r="X399" i="1"/>
  <c r="AF399" i="1" s="1"/>
  <c r="AG399" i="1" s="1"/>
  <c r="S399" i="1"/>
  <c r="T399" i="1" s="1"/>
  <c r="Q399" i="1"/>
  <c r="O399" i="1"/>
  <c r="N399" i="1"/>
  <c r="AX398" i="1"/>
  <c r="X398" i="1"/>
  <c r="AF398" i="1" s="1"/>
  <c r="AG398" i="1" s="1"/>
  <c r="S398" i="1"/>
  <c r="T398" i="1" s="1"/>
  <c r="Q398" i="1"/>
  <c r="O398" i="1"/>
  <c r="N398" i="1"/>
  <c r="AX397" i="1"/>
  <c r="X397" i="1"/>
  <c r="S397" i="1"/>
  <c r="T397" i="1" s="1"/>
  <c r="Q397" i="1"/>
  <c r="O397" i="1"/>
  <c r="N397" i="1"/>
  <c r="AX396" i="1"/>
  <c r="X396" i="1"/>
  <c r="AF396" i="1" s="1"/>
  <c r="AG396" i="1" s="1"/>
  <c r="S396" i="1"/>
  <c r="T396" i="1" s="1"/>
  <c r="Q396" i="1"/>
  <c r="O396" i="1"/>
  <c r="N396" i="1"/>
  <c r="AX395" i="1"/>
  <c r="X395" i="1"/>
  <c r="AF395" i="1" s="1"/>
  <c r="AG395" i="1" s="1"/>
  <c r="S395" i="1"/>
  <c r="Q395" i="1"/>
  <c r="O395" i="1"/>
  <c r="N395" i="1"/>
  <c r="AX394" i="1"/>
  <c r="X394" i="1"/>
  <c r="AF394" i="1" s="1"/>
  <c r="AG394" i="1" s="1"/>
  <c r="S394" i="1"/>
  <c r="Q394" i="1"/>
  <c r="O394" i="1"/>
  <c r="N394" i="1"/>
  <c r="AX393" i="1"/>
  <c r="X393" i="1"/>
  <c r="S393" i="1"/>
  <c r="T393" i="1" s="1"/>
  <c r="Q393" i="1"/>
  <c r="O393" i="1"/>
  <c r="N393" i="1"/>
  <c r="AX392" i="1"/>
  <c r="X392" i="1"/>
  <c r="AF392" i="1" s="1"/>
  <c r="AG392" i="1" s="1"/>
  <c r="S392" i="1"/>
  <c r="Q392" i="1"/>
  <c r="O392" i="1"/>
  <c r="N392" i="1"/>
  <c r="AX391" i="1"/>
  <c r="X391" i="1"/>
  <c r="AF391" i="1" s="1"/>
  <c r="AG391" i="1" s="1"/>
  <c r="S391" i="1"/>
  <c r="T391" i="1" s="1"/>
  <c r="Q391" i="1"/>
  <c r="O391" i="1"/>
  <c r="N391" i="1"/>
  <c r="AX390" i="1"/>
  <c r="X390" i="1"/>
  <c r="S390" i="1"/>
  <c r="T390" i="1" s="1"/>
  <c r="Q390" i="1"/>
  <c r="O390" i="1"/>
  <c r="N390" i="1"/>
  <c r="AX389" i="1"/>
  <c r="X389" i="1"/>
  <c r="AF389" i="1" s="1"/>
  <c r="AG389" i="1" s="1"/>
  <c r="S389" i="1"/>
  <c r="Q389" i="1"/>
  <c r="O389" i="1"/>
  <c r="N389" i="1"/>
  <c r="AX388" i="1"/>
  <c r="X388" i="1"/>
  <c r="AF388" i="1" s="1"/>
  <c r="AG388" i="1" s="1"/>
  <c r="S388" i="1"/>
  <c r="T388" i="1" s="1"/>
  <c r="Q388" i="1"/>
  <c r="O388" i="1"/>
  <c r="N388" i="1"/>
  <c r="AX387" i="1"/>
  <c r="X387" i="1"/>
  <c r="AF387" i="1" s="1"/>
  <c r="AG387" i="1" s="1"/>
  <c r="S387" i="1"/>
  <c r="T387" i="1" s="1"/>
  <c r="Q387" i="1"/>
  <c r="O387" i="1"/>
  <c r="N387" i="1"/>
  <c r="AX386" i="1"/>
  <c r="X386" i="1"/>
  <c r="AF386" i="1" s="1"/>
  <c r="AG386" i="1" s="1"/>
  <c r="S386" i="1"/>
  <c r="Q386" i="1"/>
  <c r="O386" i="1"/>
  <c r="N386" i="1"/>
  <c r="AX385" i="1"/>
  <c r="X385" i="1"/>
  <c r="AF385" i="1" s="1"/>
  <c r="AG385" i="1" s="1"/>
  <c r="S385" i="1"/>
  <c r="Q385" i="1"/>
  <c r="O385" i="1"/>
  <c r="N385" i="1"/>
  <c r="AX384" i="1"/>
  <c r="X384" i="1"/>
  <c r="AF384" i="1" s="1"/>
  <c r="AG384" i="1" s="1"/>
  <c r="S384" i="1"/>
  <c r="T384" i="1" s="1"/>
  <c r="Q384" i="1"/>
  <c r="O384" i="1"/>
  <c r="N384" i="1"/>
  <c r="AX383" i="1"/>
  <c r="X383" i="1"/>
  <c r="AF383" i="1" s="1"/>
  <c r="AG383" i="1" s="1"/>
  <c r="S383" i="1"/>
  <c r="T383" i="1" s="1"/>
  <c r="Q383" i="1"/>
  <c r="O383" i="1"/>
  <c r="N383" i="1"/>
  <c r="AX382" i="1"/>
  <c r="X382" i="1"/>
  <c r="S382" i="1"/>
  <c r="Q382" i="1"/>
  <c r="O382" i="1"/>
  <c r="N382" i="1"/>
  <c r="AX381" i="1"/>
  <c r="X381" i="1"/>
  <c r="AF381" i="1" s="1"/>
  <c r="AG381" i="1" s="1"/>
  <c r="S381" i="1"/>
  <c r="Q381" i="1"/>
  <c r="O381" i="1"/>
  <c r="N381" i="1"/>
  <c r="AX380" i="1"/>
  <c r="X380" i="1"/>
  <c r="AF380" i="1" s="1"/>
  <c r="AG380" i="1" s="1"/>
  <c r="S380" i="1"/>
  <c r="T380" i="1" s="1"/>
  <c r="Q380" i="1"/>
  <c r="O380" i="1"/>
  <c r="N380" i="1"/>
  <c r="AX379" i="1"/>
  <c r="X379" i="1"/>
  <c r="AF379" i="1" s="1"/>
  <c r="AG379" i="1" s="1"/>
  <c r="S379" i="1"/>
  <c r="Q379" i="1"/>
  <c r="O379" i="1"/>
  <c r="N379" i="1"/>
  <c r="AX378" i="1"/>
  <c r="X378" i="1"/>
  <c r="AF378" i="1" s="1"/>
  <c r="AG378" i="1" s="1"/>
  <c r="S378" i="1"/>
  <c r="T378" i="1" s="1"/>
  <c r="Q378" i="1"/>
  <c r="O378" i="1"/>
  <c r="N378" i="1"/>
  <c r="AX377" i="1"/>
  <c r="X377" i="1"/>
  <c r="AF377" i="1" s="1"/>
  <c r="AG377" i="1" s="1"/>
  <c r="S377" i="1"/>
  <c r="Q377" i="1"/>
  <c r="O377" i="1"/>
  <c r="N377" i="1"/>
  <c r="AX376" i="1"/>
  <c r="X376" i="1"/>
  <c r="AF376" i="1" s="1"/>
  <c r="AG376" i="1" s="1"/>
  <c r="S376" i="1"/>
  <c r="T376" i="1" s="1"/>
  <c r="Q376" i="1"/>
  <c r="O376" i="1"/>
  <c r="N376" i="1"/>
  <c r="AX375" i="1"/>
  <c r="X375" i="1"/>
  <c r="AF375" i="1" s="1"/>
  <c r="AG375" i="1" s="1"/>
  <c r="S375" i="1"/>
  <c r="T375" i="1" s="1"/>
  <c r="Q375" i="1"/>
  <c r="O375" i="1"/>
  <c r="N375" i="1"/>
  <c r="AX374" i="1"/>
  <c r="X374" i="1"/>
  <c r="AF374" i="1" s="1"/>
  <c r="AG374" i="1" s="1"/>
  <c r="S374" i="1"/>
  <c r="Q374" i="1"/>
  <c r="O374" i="1"/>
  <c r="N374" i="1"/>
  <c r="AX373" i="1"/>
  <c r="X373" i="1"/>
  <c r="AF373" i="1" s="1"/>
  <c r="AG373" i="1" s="1"/>
  <c r="S373" i="1"/>
  <c r="Q373" i="1"/>
  <c r="O373" i="1"/>
  <c r="N373" i="1"/>
  <c r="AX372" i="1"/>
  <c r="X372" i="1"/>
  <c r="AF372" i="1" s="1"/>
  <c r="AG372" i="1" s="1"/>
  <c r="S372" i="1"/>
  <c r="T372" i="1" s="1"/>
  <c r="Q372" i="1"/>
  <c r="O372" i="1"/>
  <c r="N372" i="1"/>
  <c r="AX371" i="1"/>
  <c r="X371" i="1"/>
  <c r="AF371" i="1" s="1"/>
  <c r="AG371" i="1" s="1"/>
  <c r="S371" i="1"/>
  <c r="T371" i="1" s="1"/>
  <c r="Q371" i="1"/>
  <c r="O371" i="1"/>
  <c r="N371" i="1"/>
  <c r="AX370" i="1"/>
  <c r="X370" i="1"/>
  <c r="S370" i="1"/>
  <c r="Q370" i="1"/>
  <c r="O370" i="1"/>
  <c r="N370" i="1"/>
  <c r="AX369" i="1"/>
  <c r="X369" i="1"/>
  <c r="AF369" i="1" s="1"/>
  <c r="AG369" i="1" s="1"/>
  <c r="S369" i="1"/>
  <c r="Q369" i="1"/>
  <c r="O369" i="1"/>
  <c r="N369" i="1"/>
  <c r="AX368" i="1"/>
  <c r="X368" i="1"/>
  <c r="AF368" i="1" s="1"/>
  <c r="AG368" i="1" s="1"/>
  <c r="S368" i="1"/>
  <c r="T368" i="1" s="1"/>
  <c r="Q368" i="1"/>
  <c r="O368" i="1"/>
  <c r="N368" i="1"/>
  <c r="AX367" i="1"/>
  <c r="X367" i="1"/>
  <c r="AF367" i="1" s="1"/>
  <c r="AG367" i="1" s="1"/>
  <c r="S367" i="1"/>
  <c r="Q367" i="1"/>
  <c r="O367" i="1"/>
  <c r="N367" i="1"/>
  <c r="AX366" i="1"/>
  <c r="X366" i="1"/>
  <c r="AF366" i="1" s="1"/>
  <c r="AG366" i="1" s="1"/>
  <c r="S366" i="1"/>
  <c r="T366" i="1" s="1"/>
  <c r="Q366" i="1"/>
  <c r="O366" i="1"/>
  <c r="N366" i="1"/>
  <c r="AX365" i="1"/>
  <c r="X365" i="1"/>
  <c r="AF365" i="1" s="1"/>
  <c r="AG365" i="1" s="1"/>
  <c r="S365" i="1"/>
  <c r="Q365" i="1"/>
  <c r="O365" i="1"/>
  <c r="N365" i="1"/>
  <c r="AX364" i="1"/>
  <c r="X364" i="1"/>
  <c r="AF364" i="1" s="1"/>
  <c r="AG364" i="1" s="1"/>
  <c r="S364" i="1"/>
  <c r="T364" i="1" s="1"/>
  <c r="Q364" i="1"/>
  <c r="O364" i="1"/>
  <c r="N364" i="1"/>
  <c r="AX363" i="1"/>
  <c r="X363" i="1"/>
  <c r="AF363" i="1" s="1"/>
  <c r="AG363" i="1" s="1"/>
  <c r="S363" i="1"/>
  <c r="T363" i="1" s="1"/>
  <c r="Q363" i="1"/>
  <c r="O363" i="1"/>
  <c r="N363" i="1"/>
  <c r="AX362" i="1"/>
  <c r="X362" i="1"/>
  <c r="AF362" i="1" s="1"/>
  <c r="AG362" i="1" s="1"/>
  <c r="S362" i="1"/>
  <c r="Q362" i="1"/>
  <c r="O362" i="1"/>
  <c r="N362" i="1"/>
  <c r="AX360" i="1"/>
  <c r="X360" i="1"/>
  <c r="AF360" i="1" s="1"/>
  <c r="AG360" i="1" s="1"/>
  <c r="S360" i="1"/>
  <c r="T360" i="1" s="1"/>
  <c r="Q360" i="1"/>
  <c r="O360" i="1"/>
  <c r="N360" i="1"/>
  <c r="AX359" i="1"/>
  <c r="X359" i="1"/>
  <c r="AF359" i="1" s="1"/>
  <c r="AG359" i="1" s="1"/>
  <c r="S359" i="1"/>
  <c r="T359" i="1" s="1"/>
  <c r="Q359" i="1"/>
  <c r="O359" i="1"/>
  <c r="N359" i="1"/>
  <c r="AX358" i="1"/>
  <c r="X358" i="1"/>
  <c r="AF358" i="1" s="1"/>
  <c r="AG358" i="1" s="1"/>
  <c r="S358" i="1"/>
  <c r="Q358" i="1"/>
  <c r="O358" i="1"/>
  <c r="N358" i="1"/>
  <c r="AX357" i="1"/>
  <c r="X357" i="1"/>
  <c r="AF357" i="1" s="1"/>
  <c r="AG357" i="1" s="1"/>
  <c r="S357" i="1"/>
  <c r="Q357" i="1"/>
  <c r="O357" i="1"/>
  <c r="N357" i="1"/>
  <c r="AX356" i="1"/>
  <c r="X356" i="1"/>
  <c r="AF356" i="1" s="1"/>
  <c r="AG356" i="1" s="1"/>
  <c r="S356" i="1"/>
  <c r="T356" i="1" s="1"/>
  <c r="Q356" i="1"/>
  <c r="O356" i="1"/>
  <c r="N356" i="1"/>
  <c r="AX355" i="1"/>
  <c r="X355" i="1"/>
  <c r="AF355" i="1" s="1"/>
  <c r="AG355" i="1" s="1"/>
  <c r="S355" i="1"/>
  <c r="T355" i="1" s="1"/>
  <c r="Q355" i="1"/>
  <c r="O355" i="1"/>
  <c r="N355" i="1"/>
  <c r="AX354" i="1"/>
  <c r="X354" i="1"/>
  <c r="AF354" i="1" s="1"/>
  <c r="AG354" i="1" s="1"/>
  <c r="S354" i="1"/>
  <c r="Q354" i="1"/>
  <c r="O354" i="1"/>
  <c r="N354" i="1"/>
  <c r="AX353" i="1"/>
  <c r="X353" i="1"/>
  <c r="AF353" i="1" s="1"/>
  <c r="AG353" i="1" s="1"/>
  <c r="S353" i="1"/>
  <c r="T353" i="1" s="1"/>
  <c r="Q353" i="1"/>
  <c r="O353" i="1"/>
  <c r="N353" i="1"/>
  <c r="AX352" i="1"/>
  <c r="X352" i="1"/>
  <c r="AF352" i="1" s="1"/>
  <c r="AG352" i="1" s="1"/>
  <c r="S352" i="1"/>
  <c r="T352" i="1" s="1"/>
  <c r="Q352" i="1"/>
  <c r="O352" i="1"/>
  <c r="N352" i="1"/>
  <c r="AX351" i="1"/>
  <c r="X351" i="1"/>
  <c r="AF351" i="1" s="1"/>
  <c r="AG351" i="1" s="1"/>
  <c r="S351" i="1"/>
  <c r="Q351" i="1"/>
  <c r="O351" i="1"/>
  <c r="N351" i="1"/>
  <c r="AX350" i="1"/>
  <c r="X350" i="1"/>
  <c r="S350" i="1"/>
  <c r="T350" i="1" s="1"/>
  <c r="Q350" i="1"/>
  <c r="O350" i="1"/>
  <c r="N350" i="1"/>
  <c r="AX349" i="1"/>
  <c r="X349" i="1"/>
  <c r="AF349" i="1" s="1"/>
  <c r="AG349" i="1" s="1"/>
  <c r="S349" i="1"/>
  <c r="T349" i="1" s="1"/>
  <c r="Q349" i="1"/>
  <c r="O349" i="1"/>
  <c r="N349" i="1"/>
  <c r="AX348" i="1"/>
  <c r="X348" i="1"/>
  <c r="AF348" i="1" s="1"/>
  <c r="AG348" i="1" s="1"/>
  <c r="S348" i="1"/>
  <c r="Q348" i="1"/>
  <c r="O348" i="1"/>
  <c r="N348" i="1"/>
  <c r="AX347" i="1"/>
  <c r="X347" i="1"/>
  <c r="AF347" i="1" s="1"/>
  <c r="AG347" i="1" s="1"/>
  <c r="S347" i="1"/>
  <c r="T347" i="1" s="1"/>
  <c r="Q347" i="1"/>
  <c r="O347" i="1"/>
  <c r="N347" i="1"/>
  <c r="AX346" i="1"/>
  <c r="X346" i="1"/>
  <c r="AF346" i="1" s="1"/>
  <c r="AG346" i="1" s="1"/>
  <c r="S346" i="1"/>
  <c r="T346" i="1" s="1"/>
  <c r="Q346" i="1"/>
  <c r="O346" i="1"/>
  <c r="N346" i="1"/>
  <c r="AX345" i="1"/>
  <c r="X345" i="1"/>
  <c r="AF345" i="1" s="1"/>
  <c r="AG345" i="1" s="1"/>
  <c r="S345" i="1"/>
  <c r="Q345" i="1"/>
  <c r="O345" i="1"/>
  <c r="N345" i="1"/>
  <c r="AX344" i="1"/>
  <c r="X344" i="1"/>
  <c r="AF344" i="1" s="1"/>
  <c r="AG344" i="1" s="1"/>
  <c r="S344" i="1"/>
  <c r="T344" i="1" s="1"/>
  <c r="Q344" i="1"/>
  <c r="O344" i="1"/>
  <c r="N344" i="1"/>
  <c r="AX343" i="1"/>
  <c r="X343" i="1"/>
  <c r="AF343" i="1" s="1"/>
  <c r="AG343" i="1" s="1"/>
  <c r="S343" i="1"/>
  <c r="Q343" i="1"/>
  <c r="O343" i="1"/>
  <c r="N343" i="1"/>
  <c r="AX342" i="1"/>
  <c r="X342" i="1"/>
  <c r="AF342" i="1" s="1"/>
  <c r="AG342" i="1" s="1"/>
  <c r="S342" i="1"/>
  <c r="Q342" i="1"/>
  <c r="O342" i="1"/>
  <c r="N342" i="1"/>
  <c r="AX341" i="1"/>
  <c r="X341" i="1"/>
  <c r="AF341" i="1" s="1"/>
  <c r="AG341" i="1" s="1"/>
  <c r="S341" i="1"/>
  <c r="T341" i="1" s="1"/>
  <c r="Q341" i="1"/>
  <c r="O341" i="1"/>
  <c r="N341" i="1"/>
  <c r="AX340" i="1"/>
  <c r="X340" i="1"/>
  <c r="AF340" i="1" s="1"/>
  <c r="AG340" i="1" s="1"/>
  <c r="S340" i="1"/>
  <c r="T340" i="1" s="1"/>
  <c r="Q340" i="1"/>
  <c r="O340" i="1"/>
  <c r="N340" i="1"/>
  <c r="AX339" i="1"/>
  <c r="X339" i="1"/>
  <c r="S339" i="1"/>
  <c r="T339" i="1" s="1"/>
  <c r="Q339" i="1"/>
  <c r="O339" i="1"/>
  <c r="N339" i="1"/>
  <c r="AX338" i="1"/>
  <c r="X338" i="1"/>
  <c r="AF338" i="1" s="1"/>
  <c r="AG338" i="1" s="1"/>
  <c r="S338" i="1"/>
  <c r="T338" i="1" s="1"/>
  <c r="Q338" i="1"/>
  <c r="O338" i="1"/>
  <c r="N338" i="1"/>
  <c r="AX337" i="1"/>
  <c r="X337" i="1"/>
  <c r="S337" i="1"/>
  <c r="Q337" i="1"/>
  <c r="O337" i="1"/>
  <c r="N337" i="1"/>
  <c r="AX336" i="1"/>
  <c r="X336" i="1"/>
  <c r="AF336" i="1" s="1"/>
  <c r="AG336" i="1" s="1"/>
  <c r="S336" i="1"/>
  <c r="T336" i="1" s="1"/>
  <c r="Q336" i="1"/>
  <c r="O336" i="1"/>
  <c r="N336" i="1"/>
  <c r="AX335" i="1"/>
  <c r="X335" i="1"/>
  <c r="S335" i="1"/>
  <c r="T335" i="1" s="1"/>
  <c r="Q335" i="1"/>
  <c r="O335" i="1"/>
  <c r="N335" i="1"/>
  <c r="AX334" i="1"/>
  <c r="X334" i="1"/>
  <c r="AF334" i="1" s="1"/>
  <c r="AG334" i="1" s="1"/>
  <c r="S334" i="1"/>
  <c r="T334" i="1" s="1"/>
  <c r="Q334" i="1"/>
  <c r="O334" i="1"/>
  <c r="N334" i="1"/>
  <c r="AX333" i="1"/>
  <c r="X333" i="1"/>
  <c r="AF333" i="1" s="1"/>
  <c r="AG333" i="1" s="1"/>
  <c r="S333" i="1"/>
  <c r="T333" i="1" s="1"/>
  <c r="Q333" i="1"/>
  <c r="O333" i="1"/>
  <c r="N333" i="1"/>
  <c r="AX332" i="1"/>
  <c r="X332" i="1"/>
  <c r="AF332" i="1" s="1"/>
  <c r="AG332" i="1" s="1"/>
  <c r="S332" i="1"/>
  <c r="T332" i="1" s="1"/>
  <c r="Q332" i="1"/>
  <c r="O332" i="1"/>
  <c r="N332" i="1"/>
  <c r="AX331" i="1"/>
  <c r="X331" i="1"/>
  <c r="S331" i="1"/>
  <c r="Q331" i="1"/>
  <c r="O331" i="1"/>
  <c r="N331" i="1"/>
  <c r="AX330" i="1"/>
  <c r="X330" i="1"/>
  <c r="AF330" i="1" s="1"/>
  <c r="AG330" i="1" s="1"/>
  <c r="S330" i="1"/>
  <c r="Q330" i="1"/>
  <c r="O330" i="1"/>
  <c r="N330" i="1"/>
  <c r="AX329" i="1"/>
  <c r="X329" i="1"/>
  <c r="AF329" i="1" s="1"/>
  <c r="AG329" i="1" s="1"/>
  <c r="S329" i="1"/>
  <c r="T329" i="1" s="1"/>
  <c r="Q329" i="1"/>
  <c r="O329" i="1"/>
  <c r="N329" i="1"/>
  <c r="AX328" i="1"/>
  <c r="X328" i="1"/>
  <c r="AF328" i="1" s="1"/>
  <c r="AG328" i="1" s="1"/>
  <c r="S328" i="1"/>
  <c r="Q328" i="1"/>
  <c r="O328" i="1"/>
  <c r="N328" i="1"/>
  <c r="AX327" i="1"/>
  <c r="X327" i="1"/>
  <c r="AF327" i="1" s="1"/>
  <c r="AG327" i="1" s="1"/>
  <c r="S327" i="1"/>
  <c r="Q327" i="1"/>
  <c r="O327" i="1"/>
  <c r="N327" i="1"/>
  <c r="AX326" i="1"/>
  <c r="X326" i="1"/>
  <c r="S326" i="1"/>
  <c r="Q326" i="1"/>
  <c r="O326" i="1"/>
  <c r="N326" i="1"/>
  <c r="AX325" i="1"/>
  <c r="X325" i="1"/>
  <c r="AF325" i="1" s="1"/>
  <c r="AG325" i="1" s="1"/>
  <c r="S325" i="1"/>
  <c r="T325" i="1" s="1"/>
  <c r="Q325" i="1"/>
  <c r="O325" i="1"/>
  <c r="N325" i="1"/>
  <c r="AX324" i="1"/>
  <c r="X324" i="1"/>
  <c r="AF324" i="1" s="1"/>
  <c r="AG324" i="1" s="1"/>
  <c r="S324" i="1"/>
  <c r="T324" i="1" s="1"/>
  <c r="Q324" i="1"/>
  <c r="O324" i="1"/>
  <c r="N324" i="1"/>
  <c r="AX323" i="1"/>
  <c r="X323" i="1"/>
  <c r="AF323" i="1" s="1"/>
  <c r="AG323" i="1" s="1"/>
  <c r="S323" i="1"/>
  <c r="Q323" i="1"/>
  <c r="O323" i="1"/>
  <c r="N323" i="1"/>
  <c r="AX322" i="1"/>
  <c r="X322" i="1"/>
  <c r="AF322" i="1" s="1"/>
  <c r="AG322" i="1" s="1"/>
  <c r="S322" i="1"/>
  <c r="Q322" i="1"/>
  <c r="O322" i="1"/>
  <c r="N322" i="1"/>
  <c r="AX321" i="1"/>
  <c r="X321" i="1"/>
  <c r="AF321" i="1" s="1"/>
  <c r="AG321" i="1" s="1"/>
  <c r="S321" i="1"/>
  <c r="T321" i="1" s="1"/>
  <c r="Q321" i="1"/>
  <c r="O321" i="1"/>
  <c r="N321" i="1"/>
  <c r="AX320" i="1"/>
  <c r="X320" i="1"/>
  <c r="AF320" i="1" s="1"/>
  <c r="AG320" i="1" s="1"/>
  <c r="S320" i="1"/>
  <c r="T320" i="1" s="1"/>
  <c r="Q320" i="1"/>
  <c r="O320" i="1"/>
  <c r="N320" i="1"/>
  <c r="AX319" i="1"/>
  <c r="X319" i="1"/>
  <c r="S319" i="1"/>
  <c r="Q319" i="1"/>
  <c r="O319" i="1"/>
  <c r="N319" i="1"/>
  <c r="AX318" i="1"/>
  <c r="X318" i="1"/>
  <c r="AF318" i="1" s="1"/>
  <c r="AG318" i="1" s="1"/>
  <c r="S318" i="1"/>
  <c r="Q318" i="1"/>
  <c r="O318" i="1"/>
  <c r="N318" i="1"/>
  <c r="AX317" i="1"/>
  <c r="X317" i="1"/>
  <c r="AF317" i="1" s="1"/>
  <c r="AG317" i="1" s="1"/>
  <c r="S317" i="1"/>
  <c r="T317" i="1" s="1"/>
  <c r="Q317" i="1"/>
  <c r="O317" i="1"/>
  <c r="N317" i="1"/>
  <c r="AX316" i="1"/>
  <c r="X316" i="1"/>
  <c r="AF316" i="1" s="1"/>
  <c r="AG316" i="1" s="1"/>
  <c r="S316" i="1"/>
  <c r="Q316" i="1"/>
  <c r="O316" i="1"/>
  <c r="N316" i="1"/>
  <c r="AX315" i="1"/>
  <c r="X315" i="1"/>
  <c r="AF315" i="1" s="1"/>
  <c r="AG315" i="1" s="1"/>
  <c r="S315" i="1"/>
  <c r="Q315" i="1"/>
  <c r="O315" i="1"/>
  <c r="N315" i="1"/>
  <c r="AX314" i="1"/>
  <c r="X314" i="1"/>
  <c r="S314" i="1"/>
  <c r="Q314" i="1"/>
  <c r="O314" i="1"/>
  <c r="N314" i="1"/>
  <c r="AX313" i="1"/>
  <c r="X313" i="1"/>
  <c r="AF313" i="1" s="1"/>
  <c r="AG313" i="1" s="1"/>
  <c r="S313" i="1"/>
  <c r="T313" i="1" s="1"/>
  <c r="Q313" i="1"/>
  <c r="O313" i="1"/>
  <c r="N313" i="1"/>
  <c r="AX312" i="1"/>
  <c r="X312" i="1"/>
  <c r="AF312" i="1" s="1"/>
  <c r="AG312" i="1" s="1"/>
  <c r="S312" i="1"/>
  <c r="T312" i="1" s="1"/>
  <c r="Q312" i="1"/>
  <c r="O312" i="1"/>
  <c r="N312" i="1"/>
  <c r="AX311" i="1"/>
  <c r="X311" i="1"/>
  <c r="AF311" i="1" s="1"/>
  <c r="AG311" i="1" s="1"/>
  <c r="S311" i="1"/>
  <c r="Q311" i="1"/>
  <c r="O311" i="1"/>
  <c r="N311" i="1"/>
  <c r="AX310" i="1"/>
  <c r="X310" i="1"/>
  <c r="AF310" i="1" s="1"/>
  <c r="AG310" i="1" s="1"/>
  <c r="S310" i="1"/>
  <c r="T310" i="1" s="1"/>
  <c r="Q310" i="1"/>
  <c r="O310" i="1"/>
  <c r="N310" i="1"/>
  <c r="AX309" i="1"/>
  <c r="X309" i="1"/>
  <c r="AF309" i="1" s="1"/>
  <c r="AG309" i="1" s="1"/>
  <c r="S309" i="1"/>
  <c r="Q309" i="1"/>
  <c r="O309" i="1"/>
  <c r="N309" i="1"/>
  <c r="AX308" i="1"/>
  <c r="X308" i="1"/>
  <c r="AF308" i="1" s="1"/>
  <c r="AG308" i="1" s="1"/>
  <c r="S308" i="1"/>
  <c r="T308" i="1" s="1"/>
  <c r="Q308" i="1"/>
  <c r="O308" i="1"/>
  <c r="N308" i="1"/>
  <c r="AX307" i="1"/>
  <c r="X307" i="1"/>
  <c r="S307" i="1"/>
  <c r="Q307" i="1"/>
  <c r="O307" i="1"/>
  <c r="N307" i="1"/>
  <c r="AX306" i="1"/>
  <c r="X306" i="1"/>
  <c r="AF306" i="1" s="1"/>
  <c r="AG306" i="1" s="1"/>
  <c r="S306" i="1"/>
  <c r="T306" i="1" s="1"/>
  <c r="Q306" i="1"/>
  <c r="O306" i="1"/>
  <c r="N306" i="1"/>
  <c r="AX305" i="1"/>
  <c r="X305" i="1"/>
  <c r="AF305" i="1" s="1"/>
  <c r="AG305" i="1" s="1"/>
  <c r="S305" i="1"/>
  <c r="Q305" i="1"/>
  <c r="O305" i="1"/>
  <c r="N305" i="1"/>
  <c r="AX304" i="1"/>
  <c r="X304" i="1"/>
  <c r="AF304" i="1" s="1"/>
  <c r="AG304" i="1" s="1"/>
  <c r="S304" i="1"/>
  <c r="Q304" i="1"/>
  <c r="O304" i="1"/>
  <c r="N304" i="1"/>
  <c r="AX303" i="1"/>
  <c r="X303" i="1"/>
  <c r="AF303" i="1" s="1"/>
  <c r="AG303" i="1" s="1"/>
  <c r="S303" i="1"/>
  <c r="T303" i="1" s="1"/>
  <c r="Q303" i="1"/>
  <c r="O303" i="1"/>
  <c r="N303" i="1"/>
  <c r="AX302" i="1"/>
  <c r="AD302" i="1"/>
  <c r="X302" i="1"/>
  <c r="AF302" i="1" s="1"/>
  <c r="AG302" i="1" s="1"/>
  <c r="S302" i="1"/>
  <c r="Q302" i="1"/>
  <c r="O302" i="1"/>
  <c r="N302" i="1"/>
  <c r="AX301" i="1"/>
  <c r="X301" i="1"/>
  <c r="AF301" i="1" s="1"/>
  <c r="AG301" i="1" s="1"/>
  <c r="S301" i="1"/>
  <c r="Q301" i="1"/>
  <c r="O301" i="1"/>
  <c r="N301" i="1"/>
  <c r="AX300" i="1"/>
  <c r="X300" i="1"/>
  <c r="AF300" i="1" s="1"/>
  <c r="AG300" i="1" s="1"/>
  <c r="S300" i="1"/>
  <c r="Q300" i="1"/>
  <c r="O300" i="1"/>
  <c r="N300" i="1"/>
  <c r="AX299" i="1"/>
  <c r="X299" i="1"/>
  <c r="AF299" i="1" s="1"/>
  <c r="AG299" i="1" s="1"/>
  <c r="S299" i="1"/>
  <c r="Q299" i="1"/>
  <c r="O299" i="1"/>
  <c r="N299" i="1"/>
  <c r="AX298" i="1"/>
  <c r="Y298" i="1"/>
  <c r="X298" i="1" s="1"/>
  <c r="AF298" i="1" s="1"/>
  <c r="AG298" i="1" s="1"/>
  <c r="S298" i="1"/>
  <c r="Q298" i="1"/>
  <c r="O298" i="1"/>
  <c r="N298" i="1"/>
  <c r="AX297" i="1"/>
  <c r="Y297" i="1"/>
  <c r="X297" i="1" s="1"/>
  <c r="AF297" i="1" s="1"/>
  <c r="AG297" i="1" s="1"/>
  <c r="S297" i="1"/>
  <c r="T297" i="1" s="1"/>
  <c r="Q297" i="1"/>
  <c r="O297" i="1"/>
  <c r="N297" i="1"/>
  <c r="AX296" i="1"/>
  <c r="Y296" i="1"/>
  <c r="X296" i="1" s="1"/>
  <c r="AF296" i="1" s="1"/>
  <c r="AG296" i="1" s="1"/>
  <c r="S296" i="1"/>
  <c r="Q296" i="1"/>
  <c r="O296" i="1"/>
  <c r="N296" i="1"/>
  <c r="AX295" i="1"/>
  <c r="X295" i="1"/>
  <c r="AF295" i="1" s="1"/>
  <c r="AG295" i="1" s="1"/>
  <c r="S295" i="1"/>
  <c r="Q295" i="1"/>
  <c r="O295" i="1"/>
  <c r="N295" i="1"/>
  <c r="AX294" i="1"/>
  <c r="X294" i="1"/>
  <c r="AF294" i="1" s="1"/>
  <c r="AG294" i="1" s="1"/>
  <c r="S294" i="1"/>
  <c r="Q294" i="1"/>
  <c r="O294" i="1"/>
  <c r="N294" i="1"/>
  <c r="AX293" i="1"/>
  <c r="Z293" i="1"/>
  <c r="Y293" i="1"/>
  <c r="S293" i="1"/>
  <c r="T293" i="1" s="1"/>
  <c r="Q293" i="1"/>
  <c r="O293" i="1"/>
  <c r="N293" i="1"/>
  <c r="AX292" i="1"/>
  <c r="Y292" i="1"/>
  <c r="X292" i="1" s="1"/>
  <c r="AF292" i="1" s="1"/>
  <c r="AG292" i="1" s="1"/>
  <c r="S292" i="1"/>
  <c r="Q292" i="1"/>
  <c r="O292" i="1"/>
  <c r="N292" i="1"/>
  <c r="AX291" i="1"/>
  <c r="X291" i="1"/>
  <c r="AF291" i="1" s="1"/>
  <c r="AG291" i="1" s="1"/>
  <c r="S291" i="1"/>
  <c r="Q291" i="1"/>
  <c r="O291" i="1"/>
  <c r="N291" i="1"/>
  <c r="AX290" i="1"/>
  <c r="X290" i="1"/>
  <c r="AF290" i="1" s="1"/>
  <c r="AG290" i="1" s="1"/>
  <c r="S290" i="1"/>
  <c r="Q290" i="1"/>
  <c r="O290" i="1"/>
  <c r="N290" i="1"/>
  <c r="AX289" i="1"/>
  <c r="Y289" i="1"/>
  <c r="X289" i="1" s="1"/>
  <c r="S289" i="1"/>
  <c r="Q289" i="1"/>
  <c r="O289" i="1"/>
  <c r="N289" i="1"/>
  <c r="AX288" i="1"/>
  <c r="X288" i="1"/>
  <c r="AF288" i="1" s="1"/>
  <c r="AG288" i="1" s="1"/>
  <c r="S288" i="1"/>
  <c r="T288" i="1" s="1"/>
  <c r="Q288" i="1"/>
  <c r="O288" i="1"/>
  <c r="N288" i="1"/>
  <c r="AX287" i="1"/>
  <c r="Y287" i="1"/>
  <c r="X287" i="1" s="1"/>
  <c r="AF287" i="1" s="1"/>
  <c r="AG287" i="1" s="1"/>
  <c r="T287" i="1"/>
  <c r="Q287" i="1"/>
  <c r="O287" i="1"/>
  <c r="N287" i="1"/>
  <c r="AX286" i="1"/>
  <c r="X286" i="1"/>
  <c r="AF286" i="1" s="1"/>
  <c r="AG286" i="1" s="1"/>
  <c r="S286" i="1"/>
  <c r="Q286" i="1"/>
  <c r="O286" i="1"/>
  <c r="N286" i="1"/>
  <c r="AX285" i="1"/>
  <c r="X285" i="1"/>
  <c r="S285" i="1"/>
  <c r="Q285" i="1"/>
  <c r="O285" i="1"/>
  <c r="N285" i="1"/>
  <c r="AX284" i="1"/>
  <c r="X284" i="1"/>
  <c r="AF284" i="1" s="1"/>
  <c r="AG284" i="1" s="1"/>
  <c r="S284" i="1"/>
  <c r="Q284" i="1"/>
  <c r="O284" i="1"/>
  <c r="N284" i="1"/>
  <c r="AX283" i="1"/>
  <c r="X283" i="1"/>
  <c r="AF283" i="1" s="1"/>
  <c r="AG283" i="1" s="1"/>
  <c r="S283" i="1"/>
  <c r="Q283" i="1"/>
  <c r="O283" i="1"/>
  <c r="N283" i="1"/>
  <c r="AX282" i="1"/>
  <c r="X282" i="1"/>
  <c r="AF282" i="1" s="1"/>
  <c r="AG282" i="1" s="1"/>
  <c r="S282" i="1"/>
  <c r="T282" i="1" s="1"/>
  <c r="Q282" i="1"/>
  <c r="O282" i="1"/>
  <c r="N282" i="1"/>
  <c r="AX281" i="1"/>
  <c r="X281" i="1"/>
  <c r="AF281" i="1" s="1"/>
  <c r="AG281" i="1" s="1"/>
  <c r="S281" i="1"/>
  <c r="T281" i="1" s="1"/>
  <c r="Q281" i="1"/>
  <c r="O281" i="1"/>
  <c r="N281" i="1"/>
  <c r="AX280" i="1"/>
  <c r="X280" i="1"/>
  <c r="AF280" i="1" s="1"/>
  <c r="AG280" i="1" s="1"/>
  <c r="S280" i="1"/>
  <c r="T280" i="1" s="1"/>
  <c r="Q280" i="1"/>
  <c r="O280" i="1"/>
  <c r="N280" i="1"/>
  <c r="AX279" i="1"/>
  <c r="X279" i="1"/>
  <c r="AF279" i="1" s="1"/>
  <c r="AG279" i="1" s="1"/>
  <c r="S279" i="1"/>
  <c r="T279" i="1" s="1"/>
  <c r="Q279" i="1"/>
  <c r="O279" i="1"/>
  <c r="N279" i="1"/>
  <c r="AX278" i="1"/>
  <c r="X278" i="1"/>
  <c r="AF278" i="1" s="1"/>
  <c r="AG278" i="1" s="1"/>
  <c r="S278" i="1"/>
  <c r="T278" i="1" s="1"/>
  <c r="Q278" i="1"/>
  <c r="O278" i="1"/>
  <c r="N278" i="1"/>
  <c r="AX277" i="1"/>
  <c r="X277" i="1"/>
  <c r="AF277" i="1" s="1"/>
  <c r="AG277" i="1" s="1"/>
  <c r="S277" i="1"/>
  <c r="T277" i="1" s="1"/>
  <c r="Q277" i="1"/>
  <c r="O277" i="1"/>
  <c r="N277" i="1"/>
  <c r="AX276" i="1"/>
  <c r="X276" i="1"/>
  <c r="AF276" i="1" s="1"/>
  <c r="AG276" i="1" s="1"/>
  <c r="S276" i="1"/>
  <c r="T276" i="1" s="1"/>
  <c r="Q276" i="1"/>
  <c r="O276" i="1"/>
  <c r="N276" i="1"/>
  <c r="AX275" i="1"/>
  <c r="X275" i="1"/>
  <c r="AF275" i="1" s="1"/>
  <c r="AG275" i="1" s="1"/>
  <c r="S275" i="1"/>
  <c r="T275" i="1" s="1"/>
  <c r="Q275" i="1"/>
  <c r="O275" i="1"/>
  <c r="N275" i="1"/>
  <c r="AX274" i="1"/>
  <c r="X274" i="1"/>
  <c r="AF274" i="1" s="1"/>
  <c r="AG274" i="1" s="1"/>
  <c r="S274" i="1"/>
  <c r="T274" i="1" s="1"/>
  <c r="Q274" i="1"/>
  <c r="O274" i="1"/>
  <c r="N274" i="1"/>
  <c r="AX273" i="1"/>
  <c r="X273" i="1"/>
  <c r="AF273" i="1" s="1"/>
  <c r="AG273" i="1" s="1"/>
  <c r="S273" i="1"/>
  <c r="Q273" i="1"/>
  <c r="O273" i="1"/>
  <c r="N273" i="1"/>
  <c r="AX272" i="1"/>
  <c r="X272" i="1"/>
  <c r="AF272" i="1" s="1"/>
  <c r="AG272" i="1" s="1"/>
  <c r="S272" i="1"/>
  <c r="T272" i="1" s="1"/>
  <c r="Q272" i="1"/>
  <c r="O272" i="1"/>
  <c r="N272" i="1"/>
  <c r="AX271" i="1"/>
  <c r="X271" i="1"/>
  <c r="AF271" i="1" s="1"/>
  <c r="AG271" i="1" s="1"/>
  <c r="S271" i="1"/>
  <c r="T271" i="1" s="1"/>
  <c r="Q271" i="1"/>
  <c r="O271" i="1"/>
  <c r="N271" i="1"/>
  <c r="AX270" i="1"/>
  <c r="X270" i="1"/>
  <c r="AF270" i="1" s="1"/>
  <c r="AG270" i="1" s="1"/>
  <c r="S270" i="1"/>
  <c r="T270" i="1" s="1"/>
  <c r="Q270" i="1"/>
  <c r="O270" i="1"/>
  <c r="N270" i="1"/>
  <c r="AX269" i="1"/>
  <c r="X269" i="1"/>
  <c r="AF269" i="1" s="1"/>
  <c r="AG269" i="1" s="1"/>
  <c r="S269" i="1"/>
  <c r="T269" i="1" s="1"/>
  <c r="Q269" i="1"/>
  <c r="O269" i="1"/>
  <c r="N269" i="1"/>
  <c r="AX268" i="1"/>
  <c r="X268" i="1"/>
  <c r="AF268" i="1" s="1"/>
  <c r="AG268" i="1" s="1"/>
  <c r="S268" i="1"/>
  <c r="T268" i="1" s="1"/>
  <c r="Q268" i="1"/>
  <c r="O268" i="1"/>
  <c r="N268" i="1"/>
  <c r="AX267" i="1"/>
  <c r="X267" i="1"/>
  <c r="AF267" i="1" s="1"/>
  <c r="AG267" i="1" s="1"/>
  <c r="S267" i="1"/>
  <c r="T267" i="1" s="1"/>
  <c r="Q267" i="1"/>
  <c r="O267" i="1"/>
  <c r="N267" i="1"/>
  <c r="AX266" i="1"/>
  <c r="X266" i="1"/>
  <c r="AF266" i="1" s="1"/>
  <c r="AG266" i="1" s="1"/>
  <c r="S266" i="1"/>
  <c r="T266" i="1" s="1"/>
  <c r="Q266" i="1"/>
  <c r="O266" i="1"/>
  <c r="N266" i="1"/>
  <c r="AX265" i="1"/>
  <c r="X265" i="1"/>
  <c r="AF265" i="1" s="1"/>
  <c r="AG265" i="1" s="1"/>
  <c r="S265" i="1"/>
  <c r="T265" i="1" s="1"/>
  <c r="Q265" i="1"/>
  <c r="O265" i="1"/>
  <c r="N265" i="1"/>
  <c r="AX264" i="1"/>
  <c r="X264" i="1"/>
  <c r="AF264" i="1" s="1"/>
  <c r="AG264" i="1" s="1"/>
  <c r="S264" i="1"/>
  <c r="Q264" i="1"/>
  <c r="O264" i="1"/>
  <c r="N264" i="1"/>
  <c r="AX263" i="1"/>
  <c r="X263" i="1"/>
  <c r="AF263" i="1" s="1"/>
  <c r="AG263" i="1" s="1"/>
  <c r="S263" i="1"/>
  <c r="Q263" i="1"/>
  <c r="O263" i="1"/>
  <c r="N263" i="1"/>
  <c r="AX262" i="1"/>
  <c r="X262" i="1"/>
  <c r="AF262" i="1" s="1"/>
  <c r="AG262" i="1" s="1"/>
  <c r="S262" i="1"/>
  <c r="Q262" i="1"/>
  <c r="O262" i="1"/>
  <c r="N262" i="1"/>
  <c r="AX261" i="1"/>
  <c r="X261" i="1"/>
  <c r="AF261" i="1" s="1"/>
  <c r="AG261" i="1" s="1"/>
  <c r="S261" i="1"/>
  <c r="Q261" i="1"/>
  <c r="O261" i="1"/>
  <c r="N261" i="1"/>
  <c r="AX260" i="1"/>
  <c r="X260" i="1"/>
  <c r="AF260" i="1" s="1"/>
  <c r="AG260" i="1" s="1"/>
  <c r="S260" i="1"/>
  <c r="Q260" i="1"/>
  <c r="O260" i="1"/>
  <c r="N260" i="1"/>
  <c r="AX259" i="1"/>
  <c r="X259" i="1"/>
  <c r="AF259" i="1" s="1"/>
  <c r="AG259" i="1" s="1"/>
  <c r="S259" i="1"/>
  <c r="T259" i="1" s="1"/>
  <c r="Q259" i="1"/>
  <c r="O259" i="1"/>
  <c r="N259" i="1"/>
  <c r="AX258" i="1"/>
  <c r="X258" i="1"/>
  <c r="AF258" i="1" s="1"/>
  <c r="AG258" i="1" s="1"/>
  <c r="S258" i="1"/>
  <c r="T258" i="1" s="1"/>
  <c r="Q258" i="1"/>
  <c r="O258" i="1"/>
  <c r="N258" i="1"/>
  <c r="AX257" i="1"/>
  <c r="X257" i="1"/>
  <c r="AF257" i="1" s="1"/>
  <c r="AG257" i="1" s="1"/>
  <c r="S257" i="1"/>
  <c r="T257" i="1" s="1"/>
  <c r="Q257" i="1"/>
  <c r="O257" i="1"/>
  <c r="N257" i="1"/>
  <c r="AX256" i="1"/>
  <c r="X256" i="1"/>
  <c r="AF256" i="1" s="1"/>
  <c r="AG256" i="1" s="1"/>
  <c r="S256" i="1"/>
  <c r="T256" i="1" s="1"/>
  <c r="Q256" i="1"/>
  <c r="O256" i="1"/>
  <c r="N256" i="1"/>
  <c r="AX255" i="1"/>
  <c r="X255" i="1"/>
  <c r="AF255" i="1" s="1"/>
  <c r="AG255" i="1" s="1"/>
  <c r="S255" i="1"/>
  <c r="Q255" i="1"/>
  <c r="O255" i="1"/>
  <c r="N255" i="1"/>
  <c r="AX254" i="1"/>
  <c r="X254" i="1"/>
  <c r="AF254" i="1" s="1"/>
  <c r="AG254" i="1" s="1"/>
  <c r="S254" i="1"/>
  <c r="Q254" i="1"/>
  <c r="O254" i="1"/>
  <c r="N254" i="1"/>
  <c r="AX253" i="1"/>
  <c r="X253" i="1"/>
  <c r="S253" i="1"/>
  <c r="T253" i="1" s="1"/>
  <c r="Q253" i="1"/>
  <c r="O253" i="1"/>
  <c r="N253" i="1"/>
  <c r="AX252" i="1"/>
  <c r="X252" i="1"/>
  <c r="AF252" i="1" s="1"/>
  <c r="AG252" i="1" s="1"/>
  <c r="S252" i="1"/>
  <c r="T252" i="1" s="1"/>
  <c r="Q252" i="1"/>
  <c r="O252" i="1"/>
  <c r="N252" i="1"/>
  <c r="AX251" i="1"/>
  <c r="X251" i="1"/>
  <c r="AF251" i="1" s="1"/>
  <c r="AG251" i="1" s="1"/>
  <c r="S251" i="1"/>
  <c r="Q251" i="1"/>
  <c r="O251" i="1"/>
  <c r="N251" i="1"/>
  <c r="AX250" i="1"/>
  <c r="X250" i="1"/>
  <c r="AF250" i="1" s="1"/>
  <c r="AG250" i="1" s="1"/>
  <c r="S250" i="1"/>
  <c r="Q250" i="1"/>
  <c r="O250" i="1"/>
  <c r="N250" i="1"/>
  <c r="AX249" i="1"/>
  <c r="X249" i="1"/>
  <c r="AF249" i="1" s="1"/>
  <c r="AG249" i="1" s="1"/>
  <c r="S249" i="1"/>
  <c r="Q249" i="1"/>
  <c r="O249" i="1"/>
  <c r="N249" i="1"/>
  <c r="AX248" i="1"/>
  <c r="X248" i="1"/>
  <c r="AF248" i="1" s="1"/>
  <c r="AG248" i="1" s="1"/>
  <c r="S248" i="1"/>
  <c r="Q248" i="1"/>
  <c r="O248" i="1"/>
  <c r="N248" i="1"/>
  <c r="AX247" i="1"/>
  <c r="X247" i="1"/>
  <c r="AF247" i="1" s="1"/>
  <c r="AG247" i="1" s="1"/>
  <c r="S247" i="1"/>
  <c r="T247" i="1" s="1"/>
  <c r="Q247" i="1"/>
  <c r="O247" i="1"/>
  <c r="N247" i="1"/>
  <c r="AX246" i="1"/>
  <c r="X246" i="1"/>
  <c r="AF246" i="1" s="1"/>
  <c r="AG246" i="1" s="1"/>
  <c r="T246" i="1"/>
  <c r="Q246" i="1"/>
  <c r="O246" i="1"/>
  <c r="N246" i="1"/>
  <c r="AX245" i="1"/>
  <c r="X245" i="1"/>
  <c r="AF245" i="1" s="1"/>
  <c r="AG245" i="1" s="1"/>
  <c r="S245" i="1"/>
  <c r="T245" i="1" s="1"/>
  <c r="Q245" i="1"/>
  <c r="O245" i="1"/>
  <c r="N245" i="1"/>
  <c r="AX244" i="1"/>
  <c r="X244" i="1"/>
  <c r="AF244" i="1" s="1"/>
  <c r="AG244" i="1" s="1"/>
  <c r="S244" i="1"/>
  <c r="T244" i="1" s="1"/>
  <c r="Q244" i="1"/>
  <c r="O244" i="1"/>
  <c r="N244" i="1"/>
  <c r="AX243" i="1"/>
  <c r="X243" i="1"/>
  <c r="AF243" i="1" s="1"/>
  <c r="AG243" i="1" s="1"/>
  <c r="S243" i="1"/>
  <c r="Q243" i="1"/>
  <c r="O243" i="1"/>
  <c r="N243" i="1"/>
  <c r="AX242" i="1"/>
  <c r="X242" i="1"/>
  <c r="AF242" i="1" s="1"/>
  <c r="AG242" i="1" s="1"/>
  <c r="S242" i="1"/>
  <c r="T242" i="1" s="1"/>
  <c r="Q242" i="1"/>
  <c r="O242" i="1"/>
  <c r="N242" i="1"/>
  <c r="AX241" i="1"/>
  <c r="X241" i="1"/>
  <c r="AF241" i="1" s="1"/>
  <c r="AG241" i="1" s="1"/>
  <c r="S241" i="1"/>
  <c r="Q241" i="1"/>
  <c r="O241" i="1"/>
  <c r="N241" i="1"/>
  <c r="AX240" i="1"/>
  <c r="X240" i="1"/>
  <c r="AF240" i="1" s="1"/>
  <c r="AG240" i="1" s="1"/>
  <c r="S240" i="1"/>
  <c r="T240" i="1" s="1"/>
  <c r="Q240" i="1"/>
  <c r="O240" i="1"/>
  <c r="N240" i="1"/>
  <c r="AX239" i="1"/>
  <c r="X239" i="1"/>
  <c r="AF239" i="1" s="1"/>
  <c r="AG239" i="1" s="1"/>
  <c r="S239" i="1"/>
  <c r="T239" i="1" s="1"/>
  <c r="Q239" i="1"/>
  <c r="O239" i="1"/>
  <c r="N239" i="1"/>
  <c r="AX238" i="1"/>
  <c r="X238" i="1"/>
  <c r="AF238" i="1" s="1"/>
  <c r="AG238" i="1" s="1"/>
  <c r="S238" i="1"/>
  <c r="Q238" i="1"/>
  <c r="O238" i="1"/>
  <c r="N238" i="1"/>
  <c r="AX237" i="1"/>
  <c r="X237" i="1"/>
  <c r="AF237" i="1" s="1"/>
  <c r="AG237" i="1" s="1"/>
  <c r="S237" i="1"/>
  <c r="Q237" i="1"/>
  <c r="O237" i="1"/>
  <c r="N237" i="1"/>
  <c r="AX236" i="1"/>
  <c r="X236" i="1"/>
  <c r="AF236" i="1" s="1"/>
  <c r="AG236" i="1" s="1"/>
  <c r="S236" i="1"/>
  <c r="T236" i="1" s="1"/>
  <c r="Q236" i="1"/>
  <c r="O236" i="1"/>
  <c r="N236" i="1"/>
  <c r="AX235" i="1"/>
  <c r="X235" i="1"/>
  <c r="AF235" i="1" s="1"/>
  <c r="AG235" i="1" s="1"/>
  <c r="S235" i="1"/>
  <c r="Q235" i="1"/>
  <c r="O235" i="1"/>
  <c r="N235" i="1"/>
  <c r="AX234" i="1"/>
  <c r="X234" i="1"/>
  <c r="AF234" i="1" s="1"/>
  <c r="AG234" i="1" s="1"/>
  <c r="S234" i="1"/>
  <c r="T234" i="1" s="1"/>
  <c r="Q234" i="1"/>
  <c r="O234" i="1"/>
  <c r="N234" i="1"/>
  <c r="AX233" i="1"/>
  <c r="X233" i="1"/>
  <c r="V233" i="1" s="1"/>
  <c r="Q233" i="1"/>
  <c r="O233" i="1"/>
  <c r="N233" i="1"/>
  <c r="AX232" i="1"/>
  <c r="Y232" i="1"/>
  <c r="X232" i="1" s="1"/>
  <c r="AF232" i="1" s="1"/>
  <c r="AG232" i="1" s="1"/>
  <c r="T232" i="1"/>
  <c r="Q232" i="1"/>
  <c r="O232" i="1"/>
  <c r="N232" i="1"/>
  <c r="AX231" i="1"/>
  <c r="X231" i="1"/>
  <c r="AF231" i="1" s="1"/>
  <c r="AG231" i="1" s="1"/>
  <c r="S231" i="1"/>
  <c r="T231" i="1" s="1"/>
  <c r="Q231" i="1"/>
  <c r="O231" i="1"/>
  <c r="N231" i="1"/>
  <c r="AX230" i="1"/>
  <c r="X230" i="1"/>
  <c r="AF230" i="1" s="1"/>
  <c r="AG230" i="1" s="1"/>
  <c r="S230" i="1"/>
  <c r="Q230" i="1"/>
  <c r="O230" i="1"/>
  <c r="N230" i="1"/>
  <c r="AX229" i="1"/>
  <c r="X229" i="1"/>
  <c r="AF229" i="1" s="1"/>
  <c r="AG229" i="1" s="1"/>
  <c r="S229" i="1"/>
  <c r="T229" i="1" s="1"/>
  <c r="Q229" i="1"/>
  <c r="O229" i="1"/>
  <c r="N229" i="1"/>
  <c r="AX228" i="1"/>
  <c r="X228" i="1"/>
  <c r="AF228" i="1" s="1"/>
  <c r="AG228" i="1" s="1"/>
  <c r="S228" i="1"/>
  <c r="T228" i="1" s="1"/>
  <c r="Q228" i="1"/>
  <c r="O228" i="1"/>
  <c r="N228" i="1"/>
  <c r="AX227" i="1"/>
  <c r="X227" i="1"/>
  <c r="AF227" i="1" s="1"/>
  <c r="AG227" i="1" s="1"/>
  <c r="S227" i="1"/>
  <c r="Q227" i="1"/>
  <c r="O227" i="1"/>
  <c r="N227" i="1"/>
  <c r="AX226" i="1"/>
  <c r="X226" i="1"/>
  <c r="AF226" i="1" s="1"/>
  <c r="AG226" i="1" s="1"/>
  <c r="S226" i="1"/>
  <c r="T226" i="1" s="1"/>
  <c r="Q226" i="1"/>
  <c r="O226" i="1"/>
  <c r="N226" i="1"/>
  <c r="AX225" i="1"/>
  <c r="X225" i="1"/>
  <c r="AF225" i="1" s="1"/>
  <c r="AG225" i="1" s="1"/>
  <c r="S225" i="1"/>
  <c r="T225" i="1" s="1"/>
  <c r="Q225" i="1"/>
  <c r="O225" i="1"/>
  <c r="N225" i="1"/>
  <c r="AX224" i="1"/>
  <c r="X224" i="1"/>
  <c r="AF224" i="1" s="1"/>
  <c r="AG224" i="1" s="1"/>
  <c r="S224" i="1"/>
  <c r="T224" i="1" s="1"/>
  <c r="Q224" i="1"/>
  <c r="O224" i="1"/>
  <c r="N224" i="1"/>
  <c r="AX223" i="1"/>
  <c r="X223" i="1"/>
  <c r="AF223" i="1" s="1"/>
  <c r="AG223" i="1" s="1"/>
  <c r="S223" i="1"/>
  <c r="Q223" i="1"/>
  <c r="O223" i="1"/>
  <c r="N223" i="1"/>
  <c r="AX222" i="1"/>
  <c r="X222" i="1"/>
  <c r="AF222" i="1" s="1"/>
  <c r="AG222" i="1" s="1"/>
  <c r="S222" i="1"/>
  <c r="Q222" i="1"/>
  <c r="O222" i="1"/>
  <c r="N222" i="1"/>
  <c r="AX221" i="1"/>
  <c r="X221" i="1"/>
  <c r="AF221" i="1" s="1"/>
  <c r="AG221" i="1" s="1"/>
  <c r="S221" i="1"/>
  <c r="Q221" i="1"/>
  <c r="O221" i="1"/>
  <c r="N221" i="1"/>
  <c r="AX220" i="1"/>
  <c r="X220" i="1"/>
  <c r="AF220" i="1" s="1"/>
  <c r="AG220" i="1" s="1"/>
  <c r="S220" i="1"/>
  <c r="Q220" i="1"/>
  <c r="O220" i="1"/>
  <c r="N220" i="1"/>
  <c r="AX219" i="1"/>
  <c r="X219" i="1"/>
  <c r="AF219" i="1" s="1"/>
  <c r="AG219" i="1" s="1"/>
  <c r="S219" i="1"/>
  <c r="Q219" i="1"/>
  <c r="O219" i="1"/>
  <c r="N219" i="1"/>
  <c r="AX218" i="1"/>
  <c r="X218" i="1"/>
  <c r="AF218" i="1" s="1"/>
  <c r="AG218" i="1" s="1"/>
  <c r="S218" i="1"/>
  <c r="T218" i="1" s="1"/>
  <c r="Q218" i="1"/>
  <c r="O218" i="1"/>
  <c r="N218" i="1"/>
  <c r="AX217" i="1"/>
  <c r="X217" i="1"/>
  <c r="AF217" i="1" s="1"/>
  <c r="AG217" i="1" s="1"/>
  <c r="S217" i="1"/>
  <c r="T217" i="1" s="1"/>
  <c r="Q217" i="1"/>
  <c r="O217" i="1"/>
  <c r="N217" i="1"/>
  <c r="AX216" i="1"/>
  <c r="X216" i="1"/>
  <c r="AF216" i="1" s="1"/>
  <c r="AG216" i="1" s="1"/>
  <c r="T216" i="1"/>
  <c r="Q216" i="1"/>
  <c r="O216" i="1"/>
  <c r="N216" i="1"/>
  <c r="AX215" i="1"/>
  <c r="AD215" i="1"/>
  <c r="AB215" i="1"/>
  <c r="Z215" i="1"/>
  <c r="Y215" i="1"/>
  <c r="S215" i="1"/>
  <c r="Q215" i="1"/>
  <c r="O215" i="1"/>
  <c r="N215" i="1"/>
  <c r="AX214" i="1"/>
  <c r="X214" i="1"/>
  <c r="AF214" i="1" s="1"/>
  <c r="AG214" i="1" s="1"/>
  <c r="S214" i="1"/>
  <c r="T214" i="1" s="1"/>
  <c r="Q214" i="1"/>
  <c r="O214" i="1"/>
  <c r="N214" i="1"/>
  <c r="AX213" i="1"/>
  <c r="X213" i="1"/>
  <c r="AF213" i="1" s="1"/>
  <c r="AG213" i="1" s="1"/>
  <c r="S213" i="1"/>
  <c r="T213" i="1" s="1"/>
  <c r="Q213" i="1"/>
  <c r="O213" i="1"/>
  <c r="N213" i="1"/>
  <c r="AX212" i="1"/>
  <c r="X212" i="1"/>
  <c r="AF212" i="1" s="1"/>
  <c r="AG212" i="1" s="1"/>
  <c r="S212" i="1"/>
  <c r="T212" i="1" s="1"/>
  <c r="Q212" i="1"/>
  <c r="O212" i="1"/>
  <c r="N212" i="1"/>
  <c r="AX211" i="1"/>
  <c r="X211" i="1"/>
  <c r="AF211" i="1" s="1"/>
  <c r="AG211" i="1" s="1"/>
  <c r="S211" i="1"/>
  <c r="T211" i="1" s="1"/>
  <c r="Q211" i="1"/>
  <c r="O211" i="1"/>
  <c r="N211" i="1"/>
  <c r="AX210" i="1"/>
  <c r="X210" i="1"/>
  <c r="S210" i="1"/>
  <c r="Q210" i="1"/>
  <c r="O210" i="1"/>
  <c r="N210" i="1"/>
  <c r="AX209" i="1"/>
  <c r="X209" i="1"/>
  <c r="AF209" i="1" s="1"/>
  <c r="AG209" i="1" s="1"/>
  <c r="S209" i="1"/>
  <c r="T209" i="1" s="1"/>
  <c r="Q209" i="1"/>
  <c r="O209" i="1"/>
  <c r="N209" i="1"/>
  <c r="AX208" i="1"/>
  <c r="X208" i="1"/>
  <c r="AF208" i="1" s="1"/>
  <c r="AG208" i="1" s="1"/>
  <c r="S208" i="1"/>
  <c r="Q208" i="1"/>
  <c r="O208" i="1"/>
  <c r="N208" i="1"/>
  <c r="AX207" i="1"/>
  <c r="X207" i="1"/>
  <c r="AF207" i="1" s="1"/>
  <c r="AG207" i="1" s="1"/>
  <c r="S207" i="1"/>
  <c r="Q207" i="1"/>
  <c r="O207" i="1"/>
  <c r="N207" i="1"/>
  <c r="AX206" i="1"/>
  <c r="X206" i="1"/>
  <c r="AF206" i="1" s="1"/>
  <c r="AG206" i="1" s="1"/>
  <c r="S206" i="1"/>
  <c r="T206" i="1" s="1"/>
  <c r="Q206" i="1"/>
  <c r="O206" i="1"/>
  <c r="N206" i="1"/>
  <c r="AX205" i="1"/>
  <c r="Y205" i="1"/>
  <c r="X205" i="1" s="1"/>
  <c r="S205" i="1"/>
  <c r="T205" i="1" s="1"/>
  <c r="Q205" i="1"/>
  <c r="O205" i="1"/>
  <c r="N205" i="1"/>
  <c r="AX204" i="1"/>
  <c r="Y204" i="1"/>
  <c r="X204" i="1" s="1"/>
  <c r="AF204" i="1" s="1"/>
  <c r="AG204" i="1" s="1"/>
  <c r="S204" i="1"/>
  <c r="Q204" i="1"/>
  <c r="O204" i="1"/>
  <c r="N204" i="1"/>
  <c r="AX203" i="1"/>
  <c r="Y203" i="1"/>
  <c r="X203" i="1" s="1"/>
  <c r="S203" i="1"/>
  <c r="T203" i="1" s="1"/>
  <c r="Q203" i="1"/>
  <c r="O203" i="1"/>
  <c r="N203" i="1"/>
  <c r="AX202" i="1"/>
  <c r="Y202" i="1"/>
  <c r="X202" i="1" s="1"/>
  <c r="S202" i="1"/>
  <c r="Q202" i="1"/>
  <c r="O202" i="1"/>
  <c r="N202" i="1"/>
  <c r="AX201" i="1"/>
  <c r="X201" i="1"/>
  <c r="AF201" i="1" s="1"/>
  <c r="AG201" i="1" s="1"/>
  <c r="S201" i="1"/>
  <c r="T201" i="1" s="1"/>
  <c r="Q201" i="1"/>
  <c r="O201" i="1"/>
  <c r="N201" i="1"/>
  <c r="AX200" i="1"/>
  <c r="Y200" i="1"/>
  <c r="X200" i="1" s="1"/>
  <c r="AF200" i="1" s="1"/>
  <c r="AG200" i="1" s="1"/>
  <c r="S200" i="1"/>
  <c r="Q200" i="1"/>
  <c r="O200" i="1"/>
  <c r="N200" i="1"/>
  <c r="AX199" i="1"/>
  <c r="AF199" i="1"/>
  <c r="AG199" i="1" s="1"/>
  <c r="Y199" i="1"/>
  <c r="V199" i="1"/>
  <c r="W199" i="1" s="1"/>
  <c r="U199" i="1"/>
  <c r="S199" i="1"/>
  <c r="O199" i="1"/>
  <c r="N199" i="1"/>
  <c r="AX198" i="1"/>
  <c r="Y198" i="1"/>
  <c r="X198" i="1" s="1"/>
  <c r="AF198" i="1" s="1"/>
  <c r="AG198" i="1" s="1"/>
  <c r="S198" i="1"/>
  <c r="T198" i="1" s="1"/>
  <c r="Q198" i="1"/>
  <c r="O198" i="1"/>
  <c r="N198" i="1"/>
  <c r="AX197" i="1"/>
  <c r="X197" i="1"/>
  <c r="AF197" i="1" s="1"/>
  <c r="AG197" i="1" s="1"/>
  <c r="S197" i="1"/>
  <c r="Q197" i="1"/>
  <c r="O197" i="1"/>
  <c r="N197" i="1"/>
  <c r="AX196" i="1"/>
  <c r="AD196" i="1"/>
  <c r="AB196" i="1"/>
  <c r="Z196" i="1"/>
  <c r="Y196" i="1"/>
  <c r="S196" i="1"/>
  <c r="Q196" i="1"/>
  <c r="O196" i="1"/>
  <c r="N196" i="1"/>
  <c r="AX195" i="1"/>
  <c r="Y195" i="1"/>
  <c r="X195" i="1" s="1"/>
  <c r="AF195" i="1" s="1"/>
  <c r="AG195" i="1" s="1"/>
  <c r="S195" i="1"/>
  <c r="Q195" i="1"/>
  <c r="O195" i="1"/>
  <c r="N195" i="1"/>
  <c r="AX194" i="1"/>
  <c r="Y194" i="1"/>
  <c r="S194" i="1"/>
  <c r="Q194" i="1"/>
  <c r="O194" i="1"/>
  <c r="N194" i="1"/>
  <c r="AX193" i="1"/>
  <c r="X193" i="1"/>
  <c r="AF193" i="1" s="1"/>
  <c r="AG193" i="1" s="1"/>
  <c r="S193" i="1"/>
  <c r="Q193" i="1"/>
  <c r="O193" i="1"/>
  <c r="N193" i="1"/>
  <c r="AX192" i="1"/>
  <c r="AD192" i="1"/>
  <c r="AB192" i="1"/>
  <c r="Z192" i="1"/>
  <c r="Y192" i="1"/>
  <c r="T192" i="1"/>
  <c r="Q192" i="1"/>
  <c r="O192" i="1"/>
  <c r="N192" i="1"/>
  <c r="AX191" i="1"/>
  <c r="X191" i="1"/>
  <c r="AF191" i="1" s="1"/>
  <c r="AG191" i="1" s="1"/>
  <c r="S191" i="1"/>
  <c r="Q191" i="1"/>
  <c r="O191" i="1"/>
  <c r="N191" i="1"/>
  <c r="AX190" i="1"/>
  <c r="X190" i="1"/>
  <c r="AF190" i="1" s="1"/>
  <c r="AG190" i="1" s="1"/>
  <c r="S190" i="1"/>
  <c r="Q190" i="1"/>
  <c r="O190" i="1"/>
  <c r="N190" i="1"/>
  <c r="AX189" i="1"/>
  <c r="X189" i="1"/>
  <c r="AF189" i="1" s="1"/>
  <c r="AG189" i="1" s="1"/>
  <c r="S189" i="1"/>
  <c r="Q189" i="1"/>
  <c r="O189" i="1"/>
  <c r="N189" i="1"/>
  <c r="AX188" i="1"/>
  <c r="Y188" i="1"/>
  <c r="X188" i="1" s="1"/>
  <c r="S188" i="1"/>
  <c r="T188" i="1" s="1"/>
  <c r="Q188" i="1"/>
  <c r="O188" i="1"/>
  <c r="N188" i="1"/>
  <c r="AX187" i="1"/>
  <c r="X187" i="1"/>
  <c r="AF187" i="1" s="1"/>
  <c r="AG187" i="1" s="1"/>
  <c r="S187" i="1"/>
  <c r="Q187" i="1"/>
  <c r="O187" i="1"/>
  <c r="N187" i="1"/>
  <c r="AX186" i="1"/>
  <c r="Y186" i="1"/>
  <c r="X186" i="1" s="1"/>
  <c r="AF186" i="1" s="1"/>
  <c r="AG186" i="1" s="1"/>
  <c r="S186" i="1"/>
  <c r="Q186" i="1"/>
  <c r="O186" i="1"/>
  <c r="N186" i="1"/>
  <c r="AX185" i="1"/>
  <c r="Y185" i="1"/>
  <c r="T185" i="1"/>
  <c r="Q185" i="1"/>
  <c r="O185" i="1"/>
  <c r="N185" i="1"/>
  <c r="AX184" i="1"/>
  <c r="X184" i="1"/>
  <c r="AF184" i="1" s="1"/>
  <c r="AG184" i="1" s="1"/>
  <c r="S184" i="1"/>
  <c r="T184" i="1" s="1"/>
  <c r="Q184" i="1"/>
  <c r="O184" i="1"/>
  <c r="N184" i="1"/>
  <c r="AX183" i="1"/>
  <c r="Y183" i="1"/>
  <c r="X183" i="1" s="1"/>
  <c r="T183" i="1"/>
  <c r="Q183" i="1"/>
  <c r="O183" i="1"/>
  <c r="N183" i="1"/>
  <c r="AX182" i="1"/>
  <c r="X182" i="1"/>
  <c r="AF182" i="1" s="1"/>
  <c r="AG182" i="1" s="1"/>
  <c r="S182" i="1"/>
  <c r="T182" i="1" s="1"/>
  <c r="Q182" i="1"/>
  <c r="O182" i="1"/>
  <c r="N182" i="1"/>
  <c r="AX181" i="1"/>
  <c r="X181" i="1"/>
  <c r="AF181" i="1" s="1"/>
  <c r="AG181" i="1" s="1"/>
  <c r="S181" i="1"/>
  <c r="Q181" i="1"/>
  <c r="O181" i="1"/>
  <c r="N181" i="1"/>
  <c r="AX180" i="1"/>
  <c r="X180" i="1"/>
  <c r="AF180" i="1" s="1"/>
  <c r="AG180" i="1" s="1"/>
  <c r="S180" i="1"/>
  <c r="Q180" i="1"/>
  <c r="O180" i="1"/>
  <c r="N180" i="1"/>
  <c r="AX179" i="1"/>
  <c r="X179" i="1"/>
  <c r="U179" i="1" s="1"/>
  <c r="Q179" i="1"/>
  <c r="O179" i="1"/>
  <c r="N179" i="1"/>
  <c r="AX178" i="1"/>
  <c r="X178" i="1"/>
  <c r="AF178" i="1" s="1"/>
  <c r="AG178" i="1" s="1"/>
  <c r="S178" i="1"/>
  <c r="Q178" i="1"/>
  <c r="O178" i="1"/>
  <c r="N178" i="1"/>
  <c r="AX177" i="1"/>
  <c r="X177" i="1"/>
  <c r="AF177" i="1" s="1"/>
  <c r="AG177" i="1" s="1"/>
  <c r="S177" i="1"/>
  <c r="Q177" i="1"/>
  <c r="O177" i="1"/>
  <c r="N177" i="1"/>
  <c r="AX176" i="1"/>
  <c r="X176" i="1"/>
  <c r="AF176" i="1" s="1"/>
  <c r="AG176" i="1" s="1"/>
  <c r="S176" i="1"/>
  <c r="T176" i="1" s="1"/>
  <c r="Q176" i="1"/>
  <c r="O176" i="1"/>
  <c r="N176" i="1"/>
  <c r="AX175" i="1"/>
  <c r="X175" i="1"/>
  <c r="AF175" i="1" s="1"/>
  <c r="AG175" i="1" s="1"/>
  <c r="T175" i="1"/>
  <c r="Q175" i="1"/>
  <c r="O175" i="1"/>
  <c r="N175" i="1"/>
  <c r="AX174" i="1"/>
  <c r="X174" i="1"/>
  <c r="S174" i="1"/>
  <c r="Q174" i="1"/>
  <c r="O174" i="1"/>
  <c r="N174" i="1"/>
  <c r="AX173" i="1"/>
  <c r="X173" i="1"/>
  <c r="AF173" i="1" s="1"/>
  <c r="AG173" i="1" s="1"/>
  <c r="T173" i="1"/>
  <c r="Q173" i="1"/>
  <c r="O173" i="1"/>
  <c r="N173" i="1"/>
  <c r="AX172" i="1"/>
  <c r="X172" i="1"/>
  <c r="AF172" i="1" s="1"/>
  <c r="AG172" i="1" s="1"/>
  <c r="S172" i="1"/>
  <c r="Q172" i="1"/>
  <c r="O172" i="1"/>
  <c r="N172" i="1"/>
  <c r="AX171" i="1"/>
  <c r="X171" i="1"/>
  <c r="AF171" i="1" s="1"/>
  <c r="AG171" i="1" s="1"/>
  <c r="S171" i="1"/>
  <c r="T171" i="1" s="1"/>
  <c r="Q171" i="1"/>
  <c r="O171" i="1"/>
  <c r="N171" i="1"/>
  <c r="AX170" i="1"/>
  <c r="X170" i="1"/>
  <c r="AF170" i="1" s="1"/>
  <c r="AG170" i="1" s="1"/>
  <c r="S170" i="1"/>
  <c r="Q170" i="1"/>
  <c r="O170" i="1"/>
  <c r="N170" i="1"/>
  <c r="AX169" i="1"/>
  <c r="X169" i="1"/>
  <c r="AF169" i="1" s="1"/>
  <c r="AG169" i="1" s="1"/>
  <c r="S169" i="1"/>
  <c r="T169" i="1" s="1"/>
  <c r="Q169" i="1"/>
  <c r="O169" i="1"/>
  <c r="N169" i="1"/>
  <c r="AX168" i="1"/>
  <c r="X168" i="1"/>
  <c r="AF168" i="1" s="1"/>
  <c r="AG168" i="1" s="1"/>
  <c r="S168" i="1"/>
  <c r="Q168" i="1"/>
  <c r="O168" i="1"/>
  <c r="N168" i="1"/>
  <c r="AX167" i="1"/>
  <c r="X167" i="1"/>
  <c r="AF167" i="1" s="1"/>
  <c r="AG167" i="1" s="1"/>
  <c r="S167" i="1"/>
  <c r="Q167" i="1"/>
  <c r="O167" i="1"/>
  <c r="N167" i="1"/>
  <c r="AX166" i="1"/>
  <c r="Y166" i="1"/>
  <c r="X166" i="1" s="1"/>
  <c r="AF166" i="1" s="1"/>
  <c r="AG166" i="1" s="1"/>
  <c r="S166" i="1"/>
  <c r="Q166" i="1"/>
  <c r="O166" i="1"/>
  <c r="N166" i="1"/>
  <c r="AX165" i="1"/>
  <c r="Y165" i="1"/>
  <c r="S165" i="1"/>
  <c r="T165" i="1" s="1"/>
  <c r="Q165" i="1"/>
  <c r="O165" i="1"/>
  <c r="N165" i="1"/>
  <c r="AX164" i="1"/>
  <c r="X164" i="1"/>
  <c r="AF164" i="1" s="1"/>
  <c r="AG164" i="1" s="1"/>
  <c r="S164" i="1"/>
  <c r="Q164" i="1"/>
  <c r="O164" i="1"/>
  <c r="N164" i="1"/>
  <c r="AX163" i="1"/>
  <c r="Y163" i="1"/>
  <c r="X163" i="1" s="1"/>
  <c r="AF163" i="1" s="1"/>
  <c r="AG163" i="1" s="1"/>
  <c r="S163" i="1"/>
  <c r="Q163" i="1"/>
  <c r="O163" i="1"/>
  <c r="N163" i="1"/>
  <c r="AX162" i="1"/>
  <c r="Y162" i="1"/>
  <c r="X162" i="1" s="1"/>
  <c r="AF162" i="1" s="1"/>
  <c r="AG162" i="1" s="1"/>
  <c r="S162" i="1"/>
  <c r="Q162" i="1"/>
  <c r="O162" i="1"/>
  <c r="N162" i="1"/>
  <c r="AX161" i="1"/>
  <c r="AD161" i="1"/>
  <c r="AB161" i="1"/>
  <c r="Z161" i="1"/>
  <c r="Y161" i="1"/>
  <c r="S161" i="1"/>
  <c r="Q161" i="1"/>
  <c r="O161" i="1"/>
  <c r="N161" i="1"/>
  <c r="AX160" i="1"/>
  <c r="AD160" i="1"/>
  <c r="AB160" i="1"/>
  <c r="Z160" i="1"/>
  <c r="Y160" i="1"/>
  <c r="S160" i="1"/>
  <c r="T160" i="1" s="1"/>
  <c r="Q160" i="1"/>
  <c r="O160" i="1"/>
  <c r="N160" i="1"/>
  <c r="AX159" i="1"/>
  <c r="Y159" i="1"/>
  <c r="X159" i="1" s="1"/>
  <c r="S159" i="1"/>
  <c r="Q159" i="1"/>
  <c r="O159" i="1"/>
  <c r="N159" i="1"/>
  <c r="AX158" i="1"/>
  <c r="X158" i="1"/>
  <c r="S158" i="1"/>
  <c r="Q158" i="1"/>
  <c r="O158" i="1"/>
  <c r="N158" i="1"/>
  <c r="AX157" i="1"/>
  <c r="X157" i="1"/>
  <c r="AF157" i="1" s="1"/>
  <c r="AG157" i="1" s="1"/>
  <c r="S157" i="1"/>
  <c r="Q157" i="1"/>
  <c r="O157" i="1"/>
  <c r="N157" i="1"/>
  <c r="AX156" i="1"/>
  <c r="AF156" i="1"/>
  <c r="AG156" i="1" s="1"/>
  <c r="AD156" i="1"/>
  <c r="AB156" i="1"/>
  <c r="Z156" i="1"/>
  <c r="Y156" i="1"/>
  <c r="V156" i="1"/>
  <c r="U156" i="1"/>
  <c r="S156" i="1"/>
  <c r="Q156" i="1"/>
  <c r="O156" i="1"/>
  <c r="N156" i="1"/>
  <c r="AX155" i="1"/>
  <c r="X155" i="1"/>
  <c r="AF155" i="1" s="1"/>
  <c r="AG155" i="1" s="1"/>
  <c r="S155" i="1"/>
  <c r="T155" i="1" s="1"/>
  <c r="Q155" i="1"/>
  <c r="O155" i="1"/>
  <c r="N155" i="1"/>
  <c r="AX154" i="1"/>
  <c r="X154" i="1"/>
  <c r="AF154" i="1" s="1"/>
  <c r="AG154" i="1" s="1"/>
  <c r="S154" i="1"/>
  <c r="T154" i="1" s="1"/>
  <c r="Q154" i="1"/>
  <c r="O154" i="1"/>
  <c r="N154" i="1"/>
  <c r="AX153" i="1"/>
  <c r="Y153" i="1"/>
  <c r="X153" i="1" s="1"/>
  <c r="AF153" i="1" s="1"/>
  <c r="AG153" i="1" s="1"/>
  <c r="S153" i="1"/>
  <c r="Q153" i="1"/>
  <c r="O153" i="1"/>
  <c r="N153" i="1"/>
  <c r="AX152" i="1"/>
  <c r="X152" i="1"/>
  <c r="AF152" i="1" s="1"/>
  <c r="AG152" i="1" s="1"/>
  <c r="S152" i="1"/>
  <c r="T152" i="1" s="1"/>
  <c r="Q152" i="1"/>
  <c r="O152" i="1"/>
  <c r="N152" i="1"/>
  <c r="AX151" i="1"/>
  <c r="AD151" i="1"/>
  <c r="AB151" i="1"/>
  <c r="Z151" i="1"/>
  <c r="Y151" i="1"/>
  <c r="S151" i="1"/>
  <c r="Q151" i="1"/>
  <c r="O151" i="1"/>
  <c r="N151" i="1"/>
  <c r="AX150" i="1"/>
  <c r="Y150" i="1"/>
  <c r="X150" i="1" s="1"/>
  <c r="AF150" i="1" s="1"/>
  <c r="AG150" i="1" s="1"/>
  <c r="S150" i="1"/>
  <c r="Q150" i="1"/>
  <c r="O150" i="1"/>
  <c r="N150" i="1"/>
  <c r="AX149" i="1"/>
  <c r="Y149" i="1"/>
  <c r="X149" i="1" s="1"/>
  <c r="S149" i="1"/>
  <c r="T149" i="1" s="1"/>
  <c r="Q149" i="1"/>
  <c r="O149" i="1"/>
  <c r="N149" i="1"/>
  <c r="AX148" i="1"/>
  <c r="Y148" i="1"/>
  <c r="X148" i="1" s="1"/>
  <c r="AF148" i="1" s="1"/>
  <c r="AG148" i="1" s="1"/>
  <c r="S148" i="1"/>
  <c r="T148" i="1" s="1"/>
  <c r="Q148" i="1"/>
  <c r="O148" i="1"/>
  <c r="N148" i="1"/>
  <c r="AX147" i="1"/>
  <c r="X147" i="1"/>
  <c r="AF147" i="1" s="1"/>
  <c r="AG147" i="1" s="1"/>
  <c r="T147" i="1"/>
  <c r="Q147" i="1"/>
  <c r="O147" i="1"/>
  <c r="N147" i="1"/>
  <c r="AX146" i="1"/>
  <c r="X146" i="1"/>
  <c r="AF146" i="1" s="1"/>
  <c r="AG146" i="1" s="1"/>
  <c r="S146" i="1"/>
  <c r="T146" i="1" s="1"/>
  <c r="Q146" i="1"/>
  <c r="O146" i="1"/>
  <c r="N146" i="1"/>
  <c r="AX145" i="1"/>
  <c r="Y145" i="1"/>
  <c r="X145" i="1" s="1"/>
  <c r="AF145" i="1" s="1"/>
  <c r="AG145" i="1" s="1"/>
  <c r="S145" i="1"/>
  <c r="Q145" i="1"/>
  <c r="O145" i="1"/>
  <c r="N145" i="1"/>
  <c r="AX144" i="1"/>
  <c r="X144" i="1"/>
  <c r="S144" i="1"/>
  <c r="Q144" i="1"/>
  <c r="O144" i="1"/>
  <c r="N144" i="1"/>
  <c r="AX143" i="1"/>
  <c r="AD143" i="1"/>
  <c r="AB143" i="1"/>
  <c r="Z143" i="1"/>
  <c r="Y143" i="1"/>
  <c r="S143" i="1"/>
  <c r="T143" i="1" s="1"/>
  <c r="Q143" i="1"/>
  <c r="O143" i="1"/>
  <c r="N143" i="1"/>
  <c r="AX142" i="1"/>
  <c r="AD142" i="1"/>
  <c r="AB142" i="1"/>
  <c r="Z142" i="1"/>
  <c r="Y142" i="1"/>
  <c r="V142" i="1"/>
  <c r="W142" i="1" s="1"/>
  <c r="U142" i="1"/>
  <c r="S142" i="1"/>
  <c r="Q142" i="1"/>
  <c r="O142" i="1"/>
  <c r="N142" i="1"/>
  <c r="AX141" i="1"/>
  <c r="X141" i="1"/>
  <c r="AF141" i="1" s="1"/>
  <c r="AG141" i="1" s="1"/>
  <c r="S141" i="1"/>
  <c r="T141" i="1" s="1"/>
  <c r="Q141" i="1"/>
  <c r="O141" i="1"/>
  <c r="N141" i="1"/>
  <c r="AX140" i="1"/>
  <c r="X140" i="1"/>
  <c r="AF140" i="1" s="1"/>
  <c r="AG140" i="1" s="1"/>
  <c r="S140" i="1"/>
  <c r="Q140" i="1"/>
  <c r="O140" i="1"/>
  <c r="N140" i="1"/>
  <c r="AX139" i="1"/>
  <c r="X139" i="1"/>
  <c r="AF139" i="1" s="1"/>
  <c r="AG139" i="1" s="1"/>
  <c r="S139" i="1"/>
  <c r="Q139" i="1"/>
  <c r="O139" i="1"/>
  <c r="N139" i="1"/>
  <c r="AX138" i="1"/>
  <c r="X138" i="1"/>
  <c r="AF138" i="1" s="1"/>
  <c r="AG138" i="1" s="1"/>
  <c r="T138" i="1"/>
  <c r="Q138" i="1"/>
  <c r="O138" i="1"/>
  <c r="N138" i="1"/>
  <c r="AX137" i="1"/>
  <c r="AD137" i="1"/>
  <c r="AB137" i="1"/>
  <c r="Z137" i="1"/>
  <c r="Y137" i="1"/>
  <c r="X137" i="1" s="1"/>
  <c r="AF137" i="1" s="1"/>
  <c r="AG137" i="1" s="1"/>
  <c r="S137" i="1"/>
  <c r="Q137" i="1"/>
  <c r="O137" i="1"/>
  <c r="N137" i="1"/>
  <c r="AX136" i="1"/>
  <c r="X136" i="1"/>
  <c r="AF136" i="1" s="1"/>
  <c r="AG136" i="1" s="1"/>
  <c r="S136" i="1"/>
  <c r="Q136" i="1"/>
  <c r="O136" i="1"/>
  <c r="N136" i="1"/>
  <c r="AX135" i="1"/>
  <c r="X135" i="1"/>
  <c r="AF135" i="1" s="1"/>
  <c r="AG135" i="1" s="1"/>
  <c r="S135" i="1"/>
  <c r="Q135" i="1"/>
  <c r="O135" i="1"/>
  <c r="N135" i="1"/>
  <c r="AX134" i="1"/>
  <c r="AF134" i="1"/>
  <c r="AG134" i="1" s="1"/>
  <c r="AD134" i="1"/>
  <c r="AB134" i="1"/>
  <c r="S134" i="1"/>
  <c r="Q134" i="1"/>
  <c r="O134" i="1"/>
  <c r="N134" i="1"/>
  <c r="AX133" i="1"/>
  <c r="AF133" i="1"/>
  <c r="AG133" i="1" s="1"/>
  <c r="S133" i="1"/>
  <c r="Q133" i="1"/>
  <c r="O133" i="1"/>
  <c r="N133" i="1"/>
  <c r="AX132" i="1"/>
  <c r="AF132" i="1"/>
  <c r="AG132" i="1" s="1"/>
  <c r="S132" i="1"/>
  <c r="Q132" i="1"/>
  <c r="O132" i="1"/>
  <c r="N132" i="1"/>
  <c r="AX131" i="1"/>
  <c r="AF131" i="1"/>
  <c r="AG131" i="1" s="1"/>
  <c r="S131" i="1"/>
  <c r="T131" i="1" s="1"/>
  <c r="Q131" i="1"/>
  <c r="O131" i="1"/>
  <c r="N131" i="1"/>
  <c r="AX130" i="1"/>
  <c r="AF130" i="1"/>
  <c r="AG130" i="1" s="1"/>
  <c r="S130" i="1"/>
  <c r="Q130" i="1"/>
  <c r="O130" i="1"/>
  <c r="N130" i="1"/>
  <c r="AX129" i="1"/>
  <c r="AF129" i="1"/>
  <c r="AG129" i="1" s="1"/>
  <c r="S129" i="1"/>
  <c r="T129" i="1" s="1"/>
  <c r="Q129" i="1"/>
  <c r="O129" i="1"/>
  <c r="N129" i="1"/>
  <c r="AX128" i="1"/>
  <c r="AF128" i="1"/>
  <c r="AG128" i="1" s="1"/>
  <c r="S128" i="1"/>
  <c r="Q128" i="1"/>
  <c r="O128" i="1"/>
  <c r="N128" i="1"/>
  <c r="AX127" i="1"/>
  <c r="AF127" i="1"/>
  <c r="AG127" i="1" s="1"/>
  <c r="AD127" i="1"/>
  <c r="Y127" i="1"/>
  <c r="V127" i="1"/>
  <c r="U127" i="1"/>
  <c r="S127" i="1"/>
  <c r="Q127" i="1"/>
  <c r="O127" i="1"/>
  <c r="N127" i="1"/>
  <c r="AX126" i="1"/>
  <c r="AF126" i="1"/>
  <c r="AG126" i="1" s="1"/>
  <c r="Y126" i="1"/>
  <c r="S126" i="1"/>
  <c r="T126" i="1" s="1"/>
  <c r="V126" i="1" s="1"/>
  <c r="Q126" i="1"/>
  <c r="O126" i="1"/>
  <c r="N126" i="1"/>
  <c r="AX125" i="1"/>
  <c r="AF125" i="1"/>
  <c r="AG125" i="1" s="1"/>
  <c r="S125" i="1"/>
  <c r="Q125" i="1"/>
  <c r="O125" i="1"/>
  <c r="N125" i="1"/>
  <c r="AX124" i="1"/>
  <c r="AD124" i="1"/>
  <c r="X124" i="1"/>
  <c r="AF124" i="1" s="1"/>
  <c r="AG124" i="1" s="1"/>
  <c r="S124" i="1"/>
  <c r="Q124" i="1"/>
  <c r="O124" i="1"/>
  <c r="N124" i="1"/>
  <c r="AX123" i="1"/>
  <c r="AF123" i="1"/>
  <c r="AG123" i="1" s="1"/>
  <c r="T123" i="1"/>
  <c r="V123" i="1" s="1"/>
  <c r="Q123" i="1"/>
  <c r="O123" i="1"/>
  <c r="N123" i="1"/>
  <c r="AX122" i="1"/>
  <c r="AF122" i="1"/>
  <c r="AG122" i="1" s="1"/>
  <c r="S122" i="1"/>
  <c r="T122" i="1" s="1"/>
  <c r="Q122" i="1"/>
  <c r="O122" i="1"/>
  <c r="N122" i="1"/>
  <c r="AX121" i="1"/>
  <c r="AF121" i="1"/>
  <c r="AG121" i="1" s="1"/>
  <c r="AD121" i="1"/>
  <c r="AB121" i="1"/>
  <c r="Z121" i="1"/>
  <c r="Y121" i="1"/>
  <c r="V121" i="1"/>
  <c r="W121" i="1" s="1"/>
  <c r="U121" i="1"/>
  <c r="S121" i="1"/>
  <c r="O121" i="1"/>
  <c r="N121" i="1"/>
  <c r="AX120" i="1"/>
  <c r="AF120" i="1"/>
  <c r="AG120" i="1" s="1"/>
  <c r="T120" i="1"/>
  <c r="V120" i="1" s="1"/>
  <c r="W120" i="1" s="1"/>
  <c r="Q120" i="1"/>
  <c r="O120" i="1"/>
  <c r="N120" i="1"/>
  <c r="AX119" i="1"/>
  <c r="AF119" i="1"/>
  <c r="AG119" i="1" s="1"/>
  <c r="S119" i="1"/>
  <c r="Q119" i="1"/>
  <c r="O119" i="1"/>
  <c r="N119" i="1"/>
  <c r="AX118" i="1"/>
  <c r="AF118" i="1"/>
  <c r="AG118" i="1" s="1"/>
  <c r="S118" i="1"/>
  <c r="Q118" i="1"/>
  <c r="O118" i="1"/>
  <c r="N118" i="1"/>
  <c r="AX117" i="1"/>
  <c r="AF117" i="1"/>
  <c r="AG117" i="1" s="1"/>
  <c r="S117" i="1"/>
  <c r="Q117" i="1"/>
  <c r="O117" i="1"/>
  <c r="N117" i="1"/>
  <c r="AX116" i="1"/>
  <c r="AF116" i="1"/>
  <c r="AG116" i="1" s="1"/>
  <c r="S116" i="1"/>
  <c r="Q116" i="1"/>
  <c r="O116" i="1"/>
  <c r="N116" i="1"/>
  <c r="AX115" i="1"/>
  <c r="AF115" i="1"/>
  <c r="AG115" i="1" s="1"/>
  <c r="S115" i="1"/>
  <c r="T115" i="1" s="1"/>
  <c r="V115" i="1" s="1"/>
  <c r="Q115" i="1"/>
  <c r="O115" i="1"/>
  <c r="N115" i="1"/>
  <c r="AX114" i="1"/>
  <c r="AF114" i="1"/>
  <c r="AG114" i="1" s="1"/>
  <c r="S114" i="1"/>
  <c r="T114" i="1" s="1"/>
  <c r="U114" i="1" s="1"/>
  <c r="Q114" i="1"/>
  <c r="O114" i="1"/>
  <c r="N114" i="1"/>
  <c r="AX113" i="1"/>
  <c r="AF113" i="1"/>
  <c r="AG113" i="1" s="1"/>
  <c r="T113" i="1"/>
  <c r="V113" i="1" s="1"/>
  <c r="W113" i="1" s="1"/>
  <c r="Q113" i="1"/>
  <c r="O113" i="1"/>
  <c r="N113" i="1"/>
  <c r="AX112" i="1"/>
  <c r="AF112" i="1"/>
  <c r="AG112" i="1" s="1"/>
  <c r="AD112" i="1"/>
  <c r="AB112" i="1"/>
  <c r="S112" i="1"/>
  <c r="Q112" i="1"/>
  <c r="O112" i="1"/>
  <c r="N112" i="1"/>
  <c r="AX111" i="1"/>
  <c r="AF111" i="1"/>
  <c r="AG111" i="1" s="1"/>
  <c r="S111" i="1"/>
  <c r="Q111" i="1"/>
  <c r="O111" i="1"/>
  <c r="N111" i="1"/>
  <c r="AX110" i="1"/>
  <c r="AF110" i="1"/>
  <c r="AG110" i="1" s="1"/>
  <c r="S110" i="1"/>
  <c r="T110" i="1" s="1"/>
  <c r="V110" i="1" s="1"/>
  <c r="AC110" i="1" s="1"/>
  <c r="Q110" i="1"/>
  <c r="O110" i="1"/>
  <c r="N110" i="1"/>
  <c r="AX109" i="1"/>
  <c r="AF109" i="1"/>
  <c r="AG109" i="1" s="1"/>
  <c r="T109" i="1"/>
  <c r="V109" i="1" s="1"/>
  <c r="Q109" i="1"/>
  <c r="O109" i="1"/>
  <c r="N109" i="1"/>
  <c r="AX108" i="1"/>
  <c r="AF108" i="1"/>
  <c r="AG108" i="1" s="1"/>
  <c r="S108" i="1"/>
  <c r="T108" i="1" s="1"/>
  <c r="V108" i="1" s="1"/>
  <c r="AC108" i="1" s="1"/>
  <c r="Q108" i="1"/>
  <c r="O108" i="1"/>
  <c r="N108" i="1"/>
  <c r="AX107" i="1"/>
  <c r="AF107" i="1"/>
  <c r="AG107" i="1" s="1"/>
  <c r="S107" i="1"/>
  <c r="T107" i="1" s="1"/>
  <c r="V107" i="1" s="1"/>
  <c r="Q107" i="1"/>
  <c r="O107" i="1"/>
  <c r="N107" i="1"/>
  <c r="AX106" i="1"/>
  <c r="AF106" i="1"/>
  <c r="AG106" i="1" s="1"/>
  <c r="S106" i="1"/>
  <c r="T106" i="1" s="1"/>
  <c r="V106" i="1" s="1"/>
  <c r="AC106" i="1" s="1"/>
  <c r="Q106" i="1"/>
  <c r="O106" i="1"/>
  <c r="N106" i="1"/>
  <c r="AX105" i="1"/>
  <c r="AF105" i="1"/>
  <c r="AG105" i="1" s="1"/>
  <c r="S105" i="1"/>
  <c r="T105" i="1" s="1"/>
  <c r="V105" i="1" s="1"/>
  <c r="AE105" i="1" s="1"/>
  <c r="Q105" i="1"/>
  <c r="O105" i="1"/>
  <c r="N105" i="1"/>
  <c r="AX104" i="1"/>
  <c r="AF104" i="1"/>
  <c r="AG104" i="1" s="1"/>
  <c r="S104" i="1"/>
  <c r="T104" i="1" s="1"/>
  <c r="V104" i="1" s="1"/>
  <c r="AC104" i="1" s="1"/>
  <c r="Q104" i="1"/>
  <c r="O104" i="1"/>
  <c r="N104" i="1"/>
  <c r="AX103" i="1"/>
  <c r="AF103" i="1"/>
  <c r="AG103" i="1" s="1"/>
  <c r="AD103" i="1"/>
  <c r="S103" i="1"/>
  <c r="Q103" i="1"/>
  <c r="O103" i="1"/>
  <c r="N103" i="1"/>
  <c r="AX102" i="1"/>
  <c r="AF102" i="1"/>
  <c r="AG102" i="1" s="1"/>
  <c r="S102" i="1"/>
  <c r="T102" i="1" s="1"/>
  <c r="Q102" i="1"/>
  <c r="O102" i="1"/>
  <c r="N102" i="1"/>
  <c r="AX101" i="1"/>
  <c r="AF101" i="1"/>
  <c r="AG101" i="1" s="1"/>
  <c r="T101" i="1"/>
  <c r="U101" i="1" s="1"/>
  <c r="Q101" i="1"/>
  <c r="O101" i="1"/>
  <c r="N101" i="1"/>
  <c r="AX100" i="1"/>
  <c r="AF100" i="1"/>
  <c r="AG100" i="1" s="1"/>
  <c r="S100" i="1"/>
  <c r="T100" i="1" s="1"/>
  <c r="V100" i="1" s="1"/>
  <c r="AE100" i="1" s="1"/>
  <c r="Q100" i="1"/>
  <c r="O100" i="1"/>
  <c r="N100" i="1"/>
  <c r="AX99" i="1"/>
  <c r="AF99" i="1"/>
  <c r="AG99" i="1" s="1"/>
  <c r="S99" i="1"/>
  <c r="T99" i="1" s="1"/>
  <c r="Q99" i="1"/>
  <c r="O99" i="1"/>
  <c r="N99" i="1"/>
  <c r="AX98" i="1"/>
  <c r="AF98" i="1"/>
  <c r="AG98" i="1" s="1"/>
  <c r="S98" i="1"/>
  <c r="T98" i="1" s="1"/>
  <c r="V98" i="1" s="1"/>
  <c r="AE98" i="1" s="1"/>
  <c r="Q98" i="1"/>
  <c r="O98" i="1"/>
  <c r="N98" i="1"/>
  <c r="AX97" i="1"/>
  <c r="AF97" i="1"/>
  <c r="AG97" i="1" s="1"/>
  <c r="AD97" i="1"/>
  <c r="S97" i="1"/>
  <c r="Q97" i="1"/>
  <c r="O97" i="1"/>
  <c r="N97" i="1"/>
  <c r="AX96" i="1"/>
  <c r="AF96" i="1"/>
  <c r="AG96" i="1" s="1"/>
  <c r="S96" i="1"/>
  <c r="T96" i="1" s="1"/>
  <c r="V96" i="1" s="1"/>
  <c r="AC96" i="1" s="1"/>
  <c r="Q96" i="1"/>
  <c r="O96" i="1"/>
  <c r="N96" i="1"/>
  <c r="AX95" i="1"/>
  <c r="AF95" i="1"/>
  <c r="AG95" i="1" s="1"/>
  <c r="S95" i="1"/>
  <c r="Q95" i="1"/>
  <c r="O95" i="1"/>
  <c r="N95" i="1"/>
  <c r="AX94" i="1"/>
  <c r="AF94" i="1"/>
  <c r="AG94" i="1" s="1"/>
  <c r="S94" i="1"/>
  <c r="T94" i="1" s="1"/>
  <c r="Q94" i="1"/>
  <c r="O94" i="1"/>
  <c r="N94" i="1"/>
  <c r="AX93" i="1"/>
  <c r="AF93" i="1"/>
  <c r="AG93" i="1" s="1"/>
  <c r="S93" i="1"/>
  <c r="Q93" i="1"/>
  <c r="O93" i="1"/>
  <c r="N93" i="1"/>
  <c r="AX92" i="1"/>
  <c r="V92" i="1"/>
  <c r="Q92" i="1"/>
  <c r="O92" i="1"/>
  <c r="N92" i="1"/>
  <c r="AX91" i="1"/>
  <c r="AF91" i="1"/>
  <c r="AG91" i="1" s="1"/>
  <c r="S91" i="1"/>
  <c r="T91" i="1" s="1"/>
  <c r="Q91" i="1"/>
  <c r="O91" i="1"/>
  <c r="N91" i="1"/>
  <c r="AX90" i="1"/>
  <c r="AF90" i="1"/>
  <c r="AG90" i="1" s="1"/>
  <c r="S90" i="1"/>
  <c r="T90" i="1" s="1"/>
  <c r="V90" i="1" s="1"/>
  <c r="Q90" i="1"/>
  <c r="O90" i="1"/>
  <c r="N90" i="1"/>
  <c r="AX89" i="1"/>
  <c r="AF89" i="1"/>
  <c r="AG89" i="1" s="1"/>
  <c r="S89" i="1"/>
  <c r="Q89" i="1"/>
  <c r="O89" i="1"/>
  <c r="N89" i="1"/>
  <c r="AX88" i="1"/>
  <c r="AF88" i="1"/>
  <c r="AG88" i="1" s="1"/>
  <c r="S88" i="1"/>
  <c r="T88" i="1" s="1"/>
  <c r="V88" i="1" s="1"/>
  <c r="Q88" i="1"/>
  <c r="O88" i="1"/>
  <c r="N88" i="1"/>
  <c r="AX87" i="1"/>
  <c r="AF87" i="1"/>
  <c r="AG87" i="1" s="1"/>
  <c r="S87" i="1"/>
  <c r="T87" i="1" s="1"/>
  <c r="Q87" i="1"/>
  <c r="O87" i="1"/>
  <c r="N87" i="1"/>
  <c r="AX86" i="1"/>
  <c r="AF86" i="1"/>
  <c r="AG86" i="1" s="1"/>
  <c r="S86" i="1"/>
  <c r="T86" i="1" s="1"/>
  <c r="Q86" i="1"/>
  <c r="O86" i="1"/>
  <c r="N86" i="1"/>
  <c r="AX85" i="1"/>
  <c r="AF85" i="1"/>
  <c r="AG85" i="1" s="1"/>
  <c r="S85" i="1"/>
  <c r="T85" i="1" s="1"/>
  <c r="Q85" i="1"/>
  <c r="O85" i="1"/>
  <c r="N85" i="1"/>
  <c r="AX84" i="1"/>
  <c r="AF84" i="1"/>
  <c r="AG84" i="1" s="1"/>
  <c r="S84" i="1"/>
  <c r="Q84" i="1"/>
  <c r="O84" i="1"/>
  <c r="N84" i="1"/>
  <c r="AX83" i="1"/>
  <c r="AF83" i="1"/>
  <c r="AG83" i="1" s="1"/>
  <c r="S83" i="1"/>
  <c r="T83" i="1" s="1"/>
  <c r="Q83" i="1"/>
  <c r="O83" i="1"/>
  <c r="N83" i="1"/>
  <c r="AX82" i="1"/>
  <c r="AF82" i="1"/>
  <c r="AG82" i="1" s="1"/>
  <c r="S82" i="1"/>
  <c r="T82" i="1" s="1"/>
  <c r="V82" i="1" s="1"/>
  <c r="Q82" i="1"/>
  <c r="O82" i="1"/>
  <c r="N82" i="1"/>
  <c r="AX81" i="1"/>
  <c r="AF81" i="1"/>
  <c r="AG81" i="1" s="1"/>
  <c r="T81" i="1"/>
  <c r="V81" i="1" s="1"/>
  <c r="AE81" i="1" s="1"/>
  <c r="Q81" i="1"/>
  <c r="O81" i="1"/>
  <c r="N81" i="1"/>
  <c r="AX80" i="1"/>
  <c r="AF80" i="1"/>
  <c r="AG80" i="1" s="1"/>
  <c r="R80" i="1"/>
  <c r="S80" i="1" s="1"/>
  <c r="O80" i="1"/>
  <c r="N80" i="1"/>
  <c r="AX79" i="1"/>
  <c r="AF79" i="1"/>
  <c r="AG79" i="1" s="1"/>
  <c r="R79" i="1"/>
  <c r="Q79" i="1" s="1"/>
  <c r="O79" i="1"/>
  <c r="N79" i="1"/>
  <c r="AX78" i="1"/>
  <c r="AF78" i="1"/>
  <c r="AG78" i="1" s="1"/>
  <c r="R78" i="1"/>
  <c r="Q78" i="1" s="1"/>
  <c r="O78" i="1"/>
  <c r="N78" i="1"/>
  <c r="AX77" i="1"/>
  <c r="AF77" i="1"/>
  <c r="AG77" i="1" s="1"/>
  <c r="R77" i="1"/>
  <c r="Q77" i="1" s="1"/>
  <c r="O77" i="1"/>
  <c r="N77" i="1"/>
  <c r="AX76" i="1"/>
  <c r="AF76" i="1"/>
  <c r="AG76" i="1" s="1"/>
  <c r="R76" i="1"/>
  <c r="Q76" i="1" s="1"/>
  <c r="O76" i="1"/>
  <c r="N76" i="1"/>
  <c r="AX75" i="1"/>
  <c r="AF75" i="1"/>
  <c r="AG75" i="1" s="1"/>
  <c r="R75" i="1"/>
  <c r="Q75" i="1" s="1"/>
  <c r="O75" i="1"/>
  <c r="N75" i="1"/>
  <c r="AX74" i="1"/>
  <c r="AF74" i="1"/>
  <c r="AG74" i="1" s="1"/>
  <c r="R74" i="1"/>
  <c r="S74" i="1" s="1"/>
  <c r="O74" i="1"/>
  <c r="N74" i="1"/>
  <c r="AX73" i="1"/>
  <c r="AF73" i="1"/>
  <c r="AG73" i="1" s="1"/>
  <c r="R73" i="1"/>
  <c r="S73" i="1" s="1"/>
  <c r="O73" i="1"/>
  <c r="N73" i="1"/>
  <c r="AX72" i="1"/>
  <c r="AF72" i="1"/>
  <c r="AG72" i="1" s="1"/>
  <c r="S72" i="1"/>
  <c r="T72" i="1" s="1"/>
  <c r="V72" i="1" s="1"/>
  <c r="Q72" i="1"/>
  <c r="O72" i="1"/>
  <c r="N72" i="1"/>
  <c r="AX71" i="1"/>
  <c r="AF71" i="1"/>
  <c r="AG71" i="1" s="1"/>
  <c r="S71" i="1"/>
  <c r="Q71" i="1"/>
  <c r="N71" i="1"/>
  <c r="AX70" i="1"/>
  <c r="AF70" i="1"/>
  <c r="AG70" i="1" s="1"/>
  <c r="S70" i="1"/>
  <c r="T70" i="1" s="1"/>
  <c r="Q70" i="1"/>
  <c r="N70" i="1"/>
  <c r="AX69" i="1"/>
  <c r="AF69" i="1"/>
  <c r="AG69" i="1" s="1"/>
  <c r="S69" i="1"/>
  <c r="T69" i="1" s="1"/>
  <c r="Q69" i="1"/>
  <c r="N69" i="1"/>
  <c r="AX68" i="1"/>
  <c r="AF68" i="1"/>
  <c r="AG68" i="1" s="1"/>
  <c r="T68" i="1"/>
  <c r="V68" i="1" s="1"/>
  <c r="Q68" i="1"/>
  <c r="N68" i="1"/>
  <c r="AX67" i="1"/>
  <c r="X67" i="1"/>
  <c r="AF67" i="1" s="1"/>
  <c r="AG67" i="1" s="1"/>
  <c r="T67" i="1"/>
  <c r="Q67" i="1"/>
  <c r="N67" i="1"/>
  <c r="AX66" i="1"/>
  <c r="AF66" i="1"/>
  <c r="AG66" i="1" s="1"/>
  <c r="S66" i="1"/>
  <c r="Q66" i="1"/>
  <c r="N66" i="1"/>
  <c r="AX65" i="1"/>
  <c r="AF65" i="1"/>
  <c r="AG65" i="1" s="1"/>
  <c r="S65" i="1"/>
  <c r="T65" i="1" s="1"/>
  <c r="Q65" i="1"/>
  <c r="N65" i="1"/>
  <c r="AX64" i="1"/>
  <c r="AF64" i="1"/>
  <c r="AG64" i="1" s="1"/>
  <c r="S64" i="1"/>
  <c r="T64" i="1" s="1"/>
  <c r="Q64" i="1"/>
  <c r="N64" i="1"/>
  <c r="AX63" i="1"/>
  <c r="AF63" i="1"/>
  <c r="AG63" i="1" s="1"/>
  <c r="S63" i="1"/>
  <c r="T63" i="1" s="1"/>
  <c r="V63" i="1" s="1"/>
  <c r="Q63" i="1"/>
  <c r="N63" i="1"/>
  <c r="AX62" i="1"/>
  <c r="AF62" i="1"/>
  <c r="AG62" i="1" s="1"/>
  <c r="S62" i="1"/>
  <c r="Q62" i="1"/>
  <c r="O62" i="1"/>
  <c r="N62" i="1"/>
  <c r="AX61" i="1"/>
  <c r="AF61" i="1"/>
  <c r="AG61" i="1" s="1"/>
  <c r="S61" i="1"/>
  <c r="T61" i="1" s="1"/>
  <c r="V61" i="1" s="1"/>
  <c r="Q61" i="1"/>
  <c r="O61" i="1"/>
  <c r="N61" i="1"/>
  <c r="AX60" i="1"/>
  <c r="AF60" i="1"/>
  <c r="AG60" i="1" s="1"/>
  <c r="S60" i="1"/>
  <c r="Q60" i="1"/>
  <c r="O60" i="1"/>
  <c r="N60" i="1"/>
  <c r="AX59" i="1"/>
  <c r="AF59" i="1"/>
  <c r="AG59" i="1" s="1"/>
  <c r="S59" i="1"/>
  <c r="Q59" i="1"/>
  <c r="O59" i="1"/>
  <c r="N59" i="1"/>
  <c r="AX58" i="1"/>
  <c r="AF58" i="1"/>
  <c r="AG58" i="1" s="1"/>
  <c r="S58" i="1"/>
  <c r="Q58" i="1"/>
  <c r="O58" i="1"/>
  <c r="N58" i="1"/>
  <c r="AX57" i="1"/>
  <c r="AF57" i="1"/>
  <c r="AG57" i="1" s="1"/>
  <c r="S57" i="1"/>
  <c r="T57" i="1" s="1"/>
  <c r="Q57" i="1"/>
  <c r="O57" i="1"/>
  <c r="N57" i="1"/>
  <c r="Z56" i="1"/>
  <c r="X56" i="1" s="1"/>
  <c r="AF56" i="1" s="1"/>
  <c r="AG56" i="1" s="1"/>
  <c r="T56" i="1"/>
  <c r="Q56" i="1"/>
  <c r="O56" i="1"/>
  <c r="N56" i="1"/>
  <c r="AF55" i="1"/>
  <c r="AG55" i="1" s="1"/>
  <c r="S55" i="1"/>
  <c r="Q55" i="1"/>
  <c r="O55" i="1"/>
  <c r="N55" i="1"/>
  <c r="AF54" i="1"/>
  <c r="AG54" i="1" s="1"/>
  <c r="S54" i="1"/>
  <c r="Q54" i="1"/>
  <c r="O54" i="1"/>
  <c r="N54" i="1"/>
  <c r="AF53" i="1"/>
  <c r="AG53" i="1" s="1"/>
  <c r="T53" i="1"/>
  <c r="V53" i="1" s="1"/>
  <c r="Q53" i="1"/>
  <c r="O53" i="1"/>
  <c r="N53" i="1"/>
  <c r="AF52" i="1"/>
  <c r="AG52" i="1" s="1"/>
  <c r="T52" i="1"/>
  <c r="U52" i="1" s="1"/>
  <c r="Q52" i="1"/>
  <c r="O52" i="1"/>
  <c r="N52" i="1"/>
  <c r="AF51" i="1"/>
  <c r="AG51" i="1" s="1"/>
  <c r="T51" i="1"/>
  <c r="V51" i="1" s="1"/>
  <c r="Q51" i="1"/>
  <c r="O51" i="1"/>
  <c r="N51" i="1"/>
  <c r="X50" i="1"/>
  <c r="AF50" i="1" s="1"/>
  <c r="AG50" i="1" s="1"/>
  <c r="T50" i="1"/>
  <c r="Q50" i="1"/>
  <c r="O50" i="1"/>
  <c r="N50" i="1"/>
  <c r="AF49" i="1"/>
  <c r="AG49" i="1" s="1"/>
  <c r="S49" i="1"/>
  <c r="T49" i="1" s="1"/>
  <c r="Q49" i="1"/>
  <c r="O49" i="1"/>
  <c r="N49" i="1"/>
  <c r="AF48" i="1"/>
  <c r="AG48" i="1" s="1"/>
  <c r="T48" i="1"/>
  <c r="U48" i="1" s="1"/>
  <c r="Q48" i="1"/>
  <c r="O48" i="1"/>
  <c r="N48" i="1"/>
  <c r="AF47" i="1"/>
  <c r="AG47" i="1" s="1"/>
  <c r="T47" i="1"/>
  <c r="V47" i="1" s="1"/>
  <c r="Q47" i="1"/>
  <c r="O47" i="1"/>
  <c r="N47" i="1"/>
  <c r="AF46" i="1"/>
  <c r="AG46" i="1" s="1"/>
  <c r="S46" i="1"/>
  <c r="T46" i="1" s="1"/>
  <c r="U46" i="1" s="1"/>
  <c r="Q46" i="1"/>
  <c r="O46" i="1"/>
  <c r="N46" i="1"/>
  <c r="AF45" i="1"/>
  <c r="AG45" i="1" s="1"/>
  <c r="T45" i="1"/>
  <c r="U45" i="1" s="1"/>
  <c r="Q45" i="1"/>
  <c r="O45" i="1"/>
  <c r="N45" i="1"/>
  <c r="AF44" i="1"/>
  <c r="AG44" i="1" s="1"/>
  <c r="T44" i="1"/>
  <c r="V44" i="1" s="1"/>
  <c r="W44" i="1" s="1"/>
  <c r="Q44" i="1"/>
  <c r="O44" i="1"/>
  <c r="N44" i="1"/>
  <c r="AF43" i="1"/>
  <c r="AG43" i="1" s="1"/>
  <c r="T43" i="1"/>
  <c r="V43" i="1" s="1"/>
  <c r="AC43" i="1" s="1"/>
  <c r="Q43" i="1"/>
  <c r="O43" i="1"/>
  <c r="N43" i="1"/>
  <c r="AF42" i="1"/>
  <c r="AG42" i="1" s="1"/>
  <c r="T42" i="1"/>
  <c r="U42" i="1" s="1"/>
  <c r="Q42" i="1"/>
  <c r="O42" i="1"/>
  <c r="N42" i="1"/>
  <c r="AF41" i="1"/>
  <c r="AG41" i="1" s="1"/>
  <c r="T41" i="1"/>
  <c r="V41" i="1" s="1"/>
  <c r="Q41" i="1"/>
  <c r="O41" i="1"/>
  <c r="N41" i="1"/>
  <c r="AF40" i="1"/>
  <c r="AG40" i="1" s="1"/>
  <c r="T40" i="1"/>
  <c r="V40" i="1" s="1"/>
  <c r="AE40" i="1" s="1"/>
  <c r="Q40" i="1"/>
  <c r="O40" i="1"/>
  <c r="N40" i="1"/>
  <c r="AF39" i="1"/>
  <c r="AG39" i="1" s="1"/>
  <c r="T39" i="1"/>
  <c r="U39" i="1" s="1"/>
  <c r="Q39" i="1"/>
  <c r="O39" i="1"/>
  <c r="N39" i="1"/>
  <c r="AF38" i="1"/>
  <c r="AG38" i="1" s="1"/>
  <c r="T38" i="1"/>
  <c r="V38" i="1" s="1"/>
  <c r="Q38" i="1"/>
  <c r="O38" i="1"/>
  <c r="N38" i="1"/>
  <c r="AF37" i="1"/>
  <c r="AG37" i="1" s="1"/>
  <c r="T37" i="1"/>
  <c r="U37" i="1" s="1"/>
  <c r="Q37" i="1"/>
  <c r="O37" i="1"/>
  <c r="N37" i="1"/>
  <c r="AF36" i="1"/>
  <c r="AG36" i="1" s="1"/>
  <c r="T36" i="1"/>
  <c r="V36" i="1" s="1"/>
  <c r="W36" i="1" s="1"/>
  <c r="Q36" i="1"/>
  <c r="O36" i="1"/>
  <c r="N36" i="1"/>
  <c r="AF35" i="1"/>
  <c r="AG35" i="1" s="1"/>
  <c r="T35" i="1"/>
  <c r="V35" i="1" s="1"/>
  <c r="Q35" i="1"/>
  <c r="O35" i="1"/>
  <c r="N35" i="1"/>
  <c r="AF34" i="1"/>
  <c r="AG34" i="1" s="1"/>
  <c r="T34" i="1"/>
  <c r="V34" i="1" s="1"/>
  <c r="AC34" i="1" s="1"/>
  <c r="Q34" i="1"/>
  <c r="O34" i="1"/>
  <c r="N34" i="1"/>
  <c r="X33" i="1"/>
  <c r="AF33" i="1" s="1"/>
  <c r="AG33" i="1" s="1"/>
  <c r="T33" i="1"/>
  <c r="Q33" i="1"/>
  <c r="O33" i="1"/>
  <c r="N33" i="1"/>
  <c r="AF32" i="1"/>
  <c r="AG32" i="1" s="1"/>
  <c r="T32" i="1"/>
  <c r="V32" i="1" s="1"/>
  <c r="AE32" i="1" s="1"/>
  <c r="Q32" i="1"/>
  <c r="O32" i="1"/>
  <c r="N32" i="1"/>
  <c r="V31" i="1"/>
  <c r="AC31" i="1" s="1"/>
  <c r="U31" i="1"/>
  <c r="V30" i="1"/>
  <c r="W30" i="1" s="1"/>
  <c r="U30" i="1"/>
  <c r="V29" i="1"/>
  <c r="AE29" i="1" s="1"/>
  <c r="U29" i="1"/>
  <c r="V28" i="1"/>
  <c r="AE28" i="1" s="1"/>
  <c r="U28" i="1"/>
  <c r="Z27" i="1"/>
  <c r="V27" i="1"/>
  <c r="AC27" i="1" s="1"/>
  <c r="U27" i="1"/>
  <c r="AX26" i="1"/>
  <c r="AF26" i="1"/>
  <c r="AG26" i="1" s="1"/>
  <c r="V26" i="1"/>
  <c r="AE26" i="1" s="1"/>
  <c r="U26" i="1"/>
  <c r="O26" i="1"/>
  <c r="N26" i="1"/>
  <c r="V25" i="1"/>
  <c r="W25" i="1" s="1"/>
  <c r="U25" i="1"/>
  <c r="V24" i="1"/>
  <c r="AC24" i="1" s="1"/>
  <c r="U24" i="1"/>
  <c r="V23" i="1"/>
  <c r="AE23" i="1" s="1"/>
  <c r="U23" i="1"/>
  <c r="AE22" i="1"/>
  <c r="AC22" i="1"/>
  <c r="V21" i="1"/>
  <c r="AE21" i="1" s="1"/>
  <c r="U21" i="1"/>
  <c r="X20" i="1"/>
  <c r="U20" i="1" s="1"/>
  <c r="V19" i="1"/>
  <c r="AE19" i="1" s="1"/>
  <c r="U19" i="1"/>
  <c r="Z18" i="1"/>
  <c r="X18" i="1"/>
  <c r="V18" i="1" s="1"/>
  <c r="AE18" i="1" s="1"/>
  <c r="V17" i="1"/>
  <c r="AC17" i="1" s="1"/>
  <c r="U17" i="1"/>
  <c r="X16" i="1"/>
  <c r="U16" i="1" s="1"/>
  <c r="V15" i="1"/>
  <c r="AE15" i="1" s="1"/>
  <c r="U15" i="1"/>
  <c r="V14" i="1"/>
  <c r="AE14" i="1" s="1"/>
  <c r="U14" i="1"/>
  <c r="V13" i="1"/>
  <c r="AC13" i="1" s="1"/>
  <c r="U13" i="1"/>
  <c r="V12" i="1"/>
  <c r="AE12" i="1" s="1"/>
  <c r="U12" i="1"/>
  <c r="V11" i="1"/>
  <c r="W11" i="1" s="1"/>
  <c r="U11" i="1"/>
  <c r="V10" i="1"/>
  <c r="W10" i="1" s="1"/>
  <c r="U10" i="1"/>
  <c r="V9" i="1"/>
  <c r="AC9" i="1" s="1"/>
  <c r="U9" i="1"/>
  <c r="V8" i="1"/>
  <c r="AC8" i="1" s="1"/>
  <c r="U8" i="1"/>
  <c r="V7" i="1"/>
  <c r="W7" i="1" s="1"/>
  <c r="U7" i="1"/>
  <c r="V6" i="1"/>
  <c r="W6" i="1" s="1"/>
  <c r="U6" i="1"/>
  <c r="AX5" i="1"/>
  <c r="V5" i="1"/>
  <c r="AE5" i="1" s="1"/>
  <c r="U5" i="1"/>
  <c r="S5" i="1"/>
  <c r="AF5" i="1" s="1"/>
  <c r="AG5" i="1" s="1"/>
  <c r="Q5" i="1"/>
  <c r="O5" i="1"/>
  <c r="N5" i="1"/>
  <c r="AX4" i="1"/>
  <c r="AF4" i="1"/>
  <c r="AG4" i="1" s="1"/>
  <c r="V4" i="1"/>
  <c r="AC4" i="1" s="1"/>
  <c r="U4" i="1"/>
  <c r="Q4" i="1"/>
  <c r="O4" i="1"/>
  <c r="N4" i="1"/>
  <c r="AX3" i="1"/>
  <c r="AF3" i="1"/>
  <c r="AG3" i="1" s="1"/>
  <c r="V3" i="1"/>
  <c r="W3" i="1" s="1"/>
  <c r="U3" i="1"/>
  <c r="Q3" i="1"/>
  <c r="O3" i="1"/>
  <c r="N3" i="1"/>
  <c r="U188" i="1" l="1"/>
  <c r="V52" i="1"/>
  <c r="V449" i="1"/>
  <c r="AC142" i="1"/>
  <c r="V277" i="1"/>
  <c r="U359" i="1"/>
  <c r="X192" i="1"/>
  <c r="AF192" i="1" s="1"/>
  <c r="AG192" i="1" s="1"/>
  <c r="U442" i="1"/>
  <c r="V37" i="1"/>
  <c r="W37" i="1" s="1"/>
  <c r="W4" i="1"/>
  <c r="S79" i="1"/>
  <c r="T79" i="1" s="1"/>
  <c r="U79" i="1" s="1"/>
  <c r="AE127" i="1"/>
  <c r="U391" i="1"/>
  <c r="U399" i="1"/>
  <c r="AE4" i="1"/>
  <c r="AC121" i="1"/>
  <c r="U67" i="1"/>
  <c r="T137" i="1"/>
  <c r="V137" i="1" s="1"/>
  <c r="V279" i="1"/>
  <c r="AE279" i="1" s="1"/>
  <c r="T348" i="1"/>
  <c r="V348" i="1" s="1"/>
  <c r="V356" i="1"/>
  <c r="W356" i="1" s="1"/>
  <c r="V378" i="1"/>
  <c r="AE378" i="1" s="1"/>
  <c r="T125" i="1"/>
  <c r="V125" i="1" s="1"/>
  <c r="AE125" i="1" s="1"/>
  <c r="U402" i="1"/>
  <c r="U203" i="1"/>
  <c r="V287" i="1"/>
  <c r="V317" i="1"/>
  <c r="V265" i="1"/>
  <c r="V347" i="1"/>
  <c r="AC347" i="1" s="1"/>
  <c r="T486" i="1"/>
  <c r="V486" i="1" s="1"/>
  <c r="AE486" i="1" s="1"/>
  <c r="U44" i="1"/>
  <c r="T111" i="1"/>
  <c r="V111" i="1" s="1"/>
  <c r="U453" i="1"/>
  <c r="V148" i="1"/>
  <c r="AE148" i="1" s="1"/>
  <c r="U173" i="1"/>
  <c r="V415" i="1"/>
  <c r="AE415" i="1" s="1"/>
  <c r="V101" i="1"/>
  <c r="AE101" i="1" s="1"/>
  <c r="AE121" i="1"/>
  <c r="T180" i="1"/>
  <c r="T357" i="1"/>
  <c r="U371" i="1"/>
  <c r="T503" i="1"/>
  <c r="V503" i="1" s="1"/>
  <c r="AE503" i="1" s="1"/>
  <c r="T62" i="1"/>
  <c r="V62" i="1" s="1"/>
  <c r="W62" i="1" s="1"/>
  <c r="X196" i="1"/>
  <c r="AF196" i="1" s="1"/>
  <c r="AG196" i="1" s="1"/>
  <c r="T250" i="1"/>
  <c r="V250" i="1" s="1"/>
  <c r="AC25" i="1"/>
  <c r="T260" i="1"/>
  <c r="V260" i="1" s="1"/>
  <c r="AE8" i="1"/>
  <c r="U35" i="1"/>
  <c r="U51" i="1"/>
  <c r="V146" i="1"/>
  <c r="T207" i="1"/>
  <c r="V207" i="1" s="1"/>
  <c r="V209" i="1"/>
  <c r="AE209" i="1" s="1"/>
  <c r="V224" i="1"/>
  <c r="AE224" i="1" s="1"/>
  <c r="V226" i="1"/>
  <c r="AE226" i="1" s="1"/>
  <c r="T485" i="1"/>
  <c r="V485" i="1" s="1"/>
  <c r="AC485" i="1" s="1"/>
  <c r="AC156" i="1"/>
  <c r="V282" i="1"/>
  <c r="W282" i="1" s="1"/>
  <c r="U350" i="1"/>
  <c r="V422" i="1"/>
  <c r="W422" i="1" s="1"/>
  <c r="T458" i="1"/>
  <c r="S76" i="1"/>
  <c r="T161" i="1"/>
  <c r="T166" i="1"/>
  <c r="T230" i="1"/>
  <c r="V230" i="1" s="1"/>
  <c r="AC230" i="1" s="1"/>
  <c r="V232" i="1"/>
  <c r="AE232" i="1" s="1"/>
  <c r="T323" i="1"/>
  <c r="V323" i="1" s="1"/>
  <c r="T370" i="1"/>
  <c r="V370" i="1" s="1"/>
  <c r="W370" i="1" s="1"/>
  <c r="V372" i="1"/>
  <c r="AC29" i="1"/>
  <c r="T181" i="1"/>
  <c r="V181" i="1" s="1"/>
  <c r="AE156" i="1"/>
  <c r="T174" i="1"/>
  <c r="V174" i="1" s="1"/>
  <c r="T411" i="1"/>
  <c r="U411" i="1" s="1"/>
  <c r="AE13" i="1"/>
  <c r="AE104" i="1"/>
  <c r="AC127" i="1"/>
  <c r="T221" i="1"/>
  <c r="U221" i="1" s="1"/>
  <c r="V278" i="1"/>
  <c r="AE278" i="1" s="1"/>
  <c r="V398" i="1"/>
  <c r="AC398" i="1" s="1"/>
  <c r="T497" i="1"/>
  <c r="V497" i="1" s="1"/>
  <c r="U355" i="1"/>
  <c r="U427" i="1"/>
  <c r="T446" i="1"/>
  <c r="V446" i="1" s="1"/>
  <c r="W233" i="1"/>
  <c r="V57" i="1"/>
  <c r="U57" i="1"/>
  <c r="U122" i="1"/>
  <c r="V122" i="1"/>
  <c r="W122" i="1" s="1"/>
  <c r="AE25" i="1"/>
  <c r="U34" i="1"/>
  <c r="V45" i="1"/>
  <c r="T60" i="1"/>
  <c r="V60" i="1" s="1"/>
  <c r="AC60" i="1" s="1"/>
  <c r="T97" i="1"/>
  <c r="V97" i="1" s="1"/>
  <c r="AC97" i="1" s="1"/>
  <c r="U100" i="1"/>
  <c r="T150" i="1"/>
  <c r="U150" i="1" s="1"/>
  <c r="V173" i="1"/>
  <c r="T210" i="1"/>
  <c r="U210" i="1" s="1"/>
  <c r="T302" i="1"/>
  <c r="T309" i="1"/>
  <c r="T365" i="1"/>
  <c r="U365" i="1" s="1"/>
  <c r="T506" i="1"/>
  <c r="V506" i="1" s="1"/>
  <c r="V20" i="1"/>
  <c r="AC20" i="1" s="1"/>
  <c r="W100" i="1"/>
  <c r="T135" i="1"/>
  <c r="U135" i="1" s="1"/>
  <c r="AE142" i="1"/>
  <c r="V228" i="1"/>
  <c r="AE228" i="1" s="1"/>
  <c r="V267" i="1"/>
  <c r="T367" i="1"/>
  <c r="T379" i="1"/>
  <c r="T409" i="1"/>
  <c r="T471" i="1"/>
  <c r="AC100" i="1"/>
  <c r="V240" i="1"/>
  <c r="AE240" i="1" s="1"/>
  <c r="U356" i="1"/>
  <c r="T416" i="1"/>
  <c r="U416" i="1" s="1"/>
  <c r="T448" i="1"/>
  <c r="T460" i="1"/>
  <c r="V460" i="1" s="1"/>
  <c r="W23" i="1"/>
  <c r="W31" i="1"/>
  <c r="V33" i="1"/>
  <c r="V216" i="1"/>
  <c r="AC216" i="1" s="1"/>
  <c r="U258" i="1"/>
  <c r="V271" i="1"/>
  <c r="W271" i="1" s="1"/>
  <c r="V402" i="1"/>
  <c r="AE402" i="1" s="1"/>
  <c r="U418" i="1"/>
  <c r="T423" i="1"/>
  <c r="U423" i="1" s="1"/>
  <c r="V453" i="1"/>
  <c r="AE453" i="1" s="1"/>
  <c r="T480" i="1"/>
  <c r="V480" i="1" s="1"/>
  <c r="AC480" i="1" s="1"/>
  <c r="T496" i="1"/>
  <c r="V496" i="1" s="1"/>
  <c r="W496" i="1" s="1"/>
  <c r="V418" i="1"/>
  <c r="W418" i="1" s="1"/>
  <c r="T425" i="1"/>
  <c r="V425" i="1" s="1"/>
  <c r="V438" i="1"/>
  <c r="V445" i="1"/>
  <c r="T54" i="1"/>
  <c r="V54" i="1" s="1"/>
  <c r="T59" i="1"/>
  <c r="V59" i="1" s="1"/>
  <c r="AC59" i="1" s="1"/>
  <c r="U106" i="1"/>
  <c r="U113" i="1"/>
  <c r="T140" i="1"/>
  <c r="V140" i="1" s="1"/>
  <c r="T144" i="1"/>
  <c r="U144" i="1" s="1"/>
  <c r="T170" i="1"/>
  <c r="V170" i="1" s="1"/>
  <c r="T194" i="1"/>
  <c r="T286" i="1"/>
  <c r="V286" i="1" s="1"/>
  <c r="W286" i="1" s="1"/>
  <c r="T289" i="1"/>
  <c r="V289" i="1" s="1"/>
  <c r="W14" i="1"/>
  <c r="W21" i="1"/>
  <c r="S75" i="1"/>
  <c r="U90" i="1"/>
  <c r="W106" i="1"/>
  <c r="U109" i="1"/>
  <c r="T116" i="1"/>
  <c r="U116" i="1" s="1"/>
  <c r="T220" i="1"/>
  <c r="U220" i="1" s="1"/>
  <c r="T227" i="1"/>
  <c r="U227" i="1" s="1"/>
  <c r="T249" i="1"/>
  <c r="U249" i="1" s="1"/>
  <c r="T470" i="1"/>
  <c r="V470" i="1" s="1"/>
  <c r="T473" i="1"/>
  <c r="V473" i="1" s="1"/>
  <c r="T484" i="1"/>
  <c r="T498" i="1"/>
  <c r="T516" i="1"/>
  <c r="V516" i="1" s="1"/>
  <c r="AC516" i="1" s="1"/>
  <c r="AE106" i="1"/>
  <c r="X215" i="1"/>
  <c r="AF215" i="1" s="1"/>
  <c r="AG215" i="1" s="1"/>
  <c r="T237" i="1"/>
  <c r="V237" i="1" s="1"/>
  <c r="U239" i="1"/>
  <c r="U246" i="1"/>
  <c r="V268" i="1"/>
  <c r="W268" i="1" s="1"/>
  <c r="V276" i="1"/>
  <c r="AE276" i="1" s="1"/>
  <c r="T291" i="1"/>
  <c r="V291" i="1" s="1"/>
  <c r="T298" i="1"/>
  <c r="V298" i="1" s="1"/>
  <c r="V303" i="1"/>
  <c r="T373" i="1"/>
  <c r="U384" i="1"/>
  <c r="U401" i="1"/>
  <c r="T429" i="1"/>
  <c r="V429" i="1" s="1"/>
  <c r="U38" i="1"/>
  <c r="U63" i="1"/>
  <c r="T84" i="1"/>
  <c r="V84" i="1" s="1"/>
  <c r="AC84" i="1" s="1"/>
  <c r="U104" i="1"/>
  <c r="X143" i="1"/>
  <c r="AF143" i="1" s="1"/>
  <c r="AG143" i="1" s="1"/>
  <c r="V201" i="1"/>
  <c r="AE201" i="1" s="1"/>
  <c r="U229" i="1"/>
  <c r="V239" i="1"/>
  <c r="V246" i="1"/>
  <c r="W246" i="1" s="1"/>
  <c r="V270" i="1"/>
  <c r="W270" i="1" s="1"/>
  <c r="V280" i="1"/>
  <c r="AE280" i="1" s="1"/>
  <c r="V384" i="1"/>
  <c r="AE384" i="1" s="1"/>
  <c r="W104" i="1"/>
  <c r="V48" i="1"/>
  <c r="AC48" i="1" s="1"/>
  <c r="U53" i="1"/>
  <c r="W92" i="1"/>
  <c r="U120" i="1"/>
  <c r="T151" i="1"/>
  <c r="T243" i="1"/>
  <c r="V243" i="1" s="1"/>
  <c r="W243" i="1" s="1"/>
  <c r="T285" i="1"/>
  <c r="V285" i="1" s="1"/>
  <c r="T305" i="1"/>
  <c r="V305" i="1" s="1"/>
  <c r="V410" i="1"/>
  <c r="AC410" i="1" s="1"/>
  <c r="V419" i="1"/>
  <c r="T467" i="1"/>
  <c r="U467" i="1" s="1"/>
  <c r="T472" i="1"/>
  <c r="T483" i="1"/>
  <c r="V483" i="1" s="1"/>
  <c r="AE483" i="1" s="1"/>
  <c r="T515" i="1"/>
  <c r="V515" i="1" s="1"/>
  <c r="AE515" i="1" s="1"/>
  <c r="V83" i="1"/>
  <c r="AC83" i="1" s="1"/>
  <c r="U83" i="1"/>
  <c r="W33" i="1"/>
  <c r="AE33" i="1"/>
  <c r="AE88" i="1"/>
  <c r="AC88" i="1"/>
  <c r="AC126" i="1"/>
  <c r="AE90" i="1"/>
  <c r="AC90" i="1"/>
  <c r="AE82" i="1"/>
  <c r="AC82" i="1"/>
  <c r="AE41" i="1"/>
  <c r="W41" i="1"/>
  <c r="AE51" i="1"/>
  <c r="AC51" i="1"/>
  <c r="W51" i="1"/>
  <c r="AC53" i="1"/>
  <c r="AE53" i="1"/>
  <c r="W53" i="1"/>
  <c r="U86" i="1"/>
  <c r="V86" i="1"/>
  <c r="AE86" i="1" s="1"/>
  <c r="AC14" i="1"/>
  <c r="AE24" i="1"/>
  <c r="W28" i="1"/>
  <c r="U68" i="1"/>
  <c r="U88" i="1"/>
  <c r="U123" i="1"/>
  <c r="T133" i="1"/>
  <c r="V133" i="1" s="1"/>
  <c r="T191" i="1"/>
  <c r="T197" i="1"/>
  <c r="V166" i="1"/>
  <c r="U166" i="1"/>
  <c r="AC28" i="1"/>
  <c r="AC30" i="1"/>
  <c r="AC36" i="1"/>
  <c r="U105" i="1"/>
  <c r="W110" i="1"/>
  <c r="AC120" i="1"/>
  <c r="U148" i="1"/>
  <c r="V152" i="1"/>
  <c r="T168" i="1"/>
  <c r="V168" i="1" s="1"/>
  <c r="T330" i="1"/>
  <c r="V330" i="1" s="1"/>
  <c r="U404" i="1"/>
  <c r="V404" i="1"/>
  <c r="AF460" i="1"/>
  <c r="AG460" i="1" s="1"/>
  <c r="T158" i="1"/>
  <c r="U158" i="1" s="1"/>
  <c r="AE30" i="1"/>
  <c r="T58" i="1"/>
  <c r="U58" i="1" s="1"/>
  <c r="AE110" i="1"/>
  <c r="T119" i="1"/>
  <c r="U126" i="1"/>
  <c r="T163" i="1"/>
  <c r="T273" i="1"/>
  <c r="V273" i="1" s="1"/>
  <c r="V393" i="1"/>
  <c r="AF393" i="1"/>
  <c r="AG393" i="1" s="1"/>
  <c r="U18" i="1"/>
  <c r="AE36" i="1"/>
  <c r="AE43" i="1"/>
  <c r="V67" i="1"/>
  <c r="W67" i="1" s="1"/>
  <c r="S77" i="1"/>
  <c r="T77" i="1" s="1"/>
  <c r="V77" i="1" s="1"/>
  <c r="AC92" i="1"/>
  <c r="T93" i="1"/>
  <c r="T103" i="1"/>
  <c r="V103" i="1" s="1"/>
  <c r="AE103" i="1" s="1"/>
  <c r="AC109" i="1"/>
  <c r="T118" i="1"/>
  <c r="W127" i="1"/>
  <c r="T128" i="1"/>
  <c r="V147" i="1"/>
  <c r="V188" i="1"/>
  <c r="AE188" i="1" s="1"/>
  <c r="U406" i="1"/>
  <c r="V406" i="1"/>
  <c r="AE406" i="1" s="1"/>
  <c r="T468" i="1"/>
  <c r="V468" i="1" s="1"/>
  <c r="AE468" i="1" s="1"/>
  <c r="T89" i="1"/>
  <c r="V89" i="1" s="1"/>
  <c r="AE92" i="1"/>
  <c r="V150" i="1"/>
  <c r="AE150" i="1" s="1"/>
  <c r="T264" i="1"/>
  <c r="V264" i="1" s="1"/>
  <c r="AE264" i="1" s="1"/>
  <c r="AF289" i="1"/>
  <c r="AG289" i="1" s="1"/>
  <c r="V353" i="1"/>
  <c r="AE353" i="1" s="1"/>
  <c r="U353" i="1"/>
  <c r="V366" i="1"/>
  <c r="AE366" i="1" s="1"/>
  <c r="U366" i="1"/>
  <c r="V397" i="1"/>
  <c r="AE397" i="1" s="1"/>
  <c r="AF397" i="1"/>
  <c r="AG397" i="1" s="1"/>
  <c r="T157" i="1"/>
  <c r="V157" i="1" s="1"/>
  <c r="T159" i="1"/>
  <c r="V159" i="1" s="1"/>
  <c r="AE303" i="1"/>
  <c r="T447" i="1"/>
  <c r="V447" i="1" s="1"/>
  <c r="AE447" i="1" s="1"/>
  <c r="T452" i="1"/>
  <c r="U33" i="1"/>
  <c r="U81" i="1"/>
  <c r="T117" i="1"/>
  <c r="V117" i="1" s="1"/>
  <c r="AE117" i="1" s="1"/>
  <c r="AC298" i="1"/>
  <c r="AE298" i="1"/>
  <c r="AF473" i="1"/>
  <c r="AG473" i="1" s="1"/>
  <c r="W81" i="1"/>
  <c r="U146" i="1"/>
  <c r="T167" i="1"/>
  <c r="V167" i="1" s="1"/>
  <c r="AC167" i="1" s="1"/>
  <c r="AF253" i="1"/>
  <c r="AG253" i="1" s="1"/>
  <c r="U253" i="1"/>
  <c r="T502" i="1"/>
  <c r="AC11" i="1"/>
  <c r="AC21" i="1"/>
  <c r="U41" i="1"/>
  <c r="AC81" i="1"/>
  <c r="U82" i="1"/>
  <c r="W98" i="1"/>
  <c r="V116" i="1"/>
  <c r="W116" i="1" s="1"/>
  <c r="U138" i="1"/>
  <c r="T139" i="1"/>
  <c r="V139" i="1" s="1"/>
  <c r="T295" i="1"/>
  <c r="V295" i="1" s="1"/>
  <c r="AF390" i="1"/>
  <c r="AG390" i="1" s="1"/>
  <c r="U390" i="1"/>
  <c r="T437" i="1"/>
  <c r="U437" i="1" s="1"/>
  <c r="T443" i="1"/>
  <c r="U443" i="1" s="1"/>
  <c r="AE11" i="1"/>
  <c r="U56" i="1"/>
  <c r="S78" i="1"/>
  <c r="T78" i="1" s="1"/>
  <c r="V78" i="1" s="1"/>
  <c r="V138" i="1"/>
  <c r="AE138" i="1" s="1"/>
  <c r="V169" i="1"/>
  <c r="W169" i="1" s="1"/>
  <c r="V182" i="1"/>
  <c r="AC182" i="1" s="1"/>
  <c r="T187" i="1"/>
  <c r="T195" i="1"/>
  <c r="V195" i="1" s="1"/>
  <c r="V205" i="1"/>
  <c r="AC205" i="1" s="1"/>
  <c r="T337" i="1"/>
  <c r="V337" i="1" s="1"/>
  <c r="T405" i="1"/>
  <c r="V405" i="1" s="1"/>
  <c r="AC449" i="1"/>
  <c r="Q80" i="1"/>
  <c r="AF179" i="1"/>
  <c r="AG179" i="1" s="1"/>
  <c r="V179" i="1"/>
  <c r="AE179" i="1" s="1"/>
  <c r="U205" i="1"/>
  <c r="AF205" i="1"/>
  <c r="AG205" i="1" s="1"/>
  <c r="V266" i="1"/>
  <c r="V281" i="1"/>
  <c r="AE281" i="1" s="1"/>
  <c r="V335" i="1"/>
  <c r="W335" i="1" s="1"/>
  <c r="U431" i="1"/>
  <c r="U214" i="1"/>
  <c r="T318" i="1"/>
  <c r="V318" i="1" s="1"/>
  <c r="T326" i="1"/>
  <c r="U326" i="1" s="1"/>
  <c r="T342" i="1"/>
  <c r="V359" i="1"/>
  <c r="AE359" i="1" s="1"/>
  <c r="U363" i="1"/>
  <c r="T381" i="1"/>
  <c r="V381" i="1" s="1"/>
  <c r="T389" i="1"/>
  <c r="V389" i="1" s="1"/>
  <c r="W389" i="1" s="1"/>
  <c r="V451" i="1"/>
  <c r="AE451" i="1" s="1"/>
  <c r="AE199" i="1"/>
  <c r="T202" i="1"/>
  <c r="V202" i="1" s="1"/>
  <c r="AC202" i="1" s="1"/>
  <c r="V214" i="1"/>
  <c r="AE214" i="1" s="1"/>
  <c r="U226" i="1"/>
  <c r="V242" i="1"/>
  <c r="T248" i="1"/>
  <c r="T283" i="1"/>
  <c r="V283" i="1" s="1"/>
  <c r="T314" i="1"/>
  <c r="V314" i="1" s="1"/>
  <c r="T345" i="1"/>
  <c r="T351" i="1"/>
  <c r="V351" i="1" s="1"/>
  <c r="AC351" i="1" s="1"/>
  <c r="V363" i="1"/>
  <c r="AE363" i="1" s="1"/>
  <c r="U383" i="1"/>
  <c r="T392" i="1"/>
  <c r="U392" i="1" s="1"/>
  <c r="T395" i="1"/>
  <c r="V395" i="1" s="1"/>
  <c r="W395" i="1" s="1"/>
  <c r="V428" i="1"/>
  <c r="AE428" i="1" s="1"/>
  <c r="U439" i="1"/>
  <c r="T455" i="1"/>
  <c r="V455" i="1" s="1"/>
  <c r="U465" i="1"/>
  <c r="T508" i="1"/>
  <c r="V508" i="1" s="1"/>
  <c r="W508" i="1" s="1"/>
  <c r="U198" i="1"/>
  <c r="U206" i="1"/>
  <c r="V339" i="1"/>
  <c r="W339" i="1" s="1"/>
  <c r="V414" i="1"/>
  <c r="AC414" i="1" s="1"/>
  <c r="V458" i="1"/>
  <c r="AE458" i="1" s="1"/>
  <c r="T186" i="1"/>
  <c r="V186" i="1" s="1"/>
  <c r="T190" i="1"/>
  <c r="V190" i="1" s="1"/>
  <c r="V198" i="1"/>
  <c r="AC198" i="1" s="1"/>
  <c r="V206" i="1"/>
  <c r="AE206" i="1" s="1"/>
  <c r="U217" i="1"/>
  <c r="T223" i="1"/>
  <c r="V223" i="1" s="1"/>
  <c r="AC223" i="1" s="1"/>
  <c r="T241" i="1"/>
  <c r="T263" i="1"/>
  <c r="V263" i="1" s="1"/>
  <c r="W263" i="1" s="1"/>
  <c r="T294" i="1"/>
  <c r="V294" i="1" s="1"/>
  <c r="T386" i="1"/>
  <c r="V386" i="1" s="1"/>
  <c r="W386" i="1" s="1"/>
  <c r="U414" i="1"/>
  <c r="T433" i="1"/>
  <c r="U433" i="1" s="1"/>
  <c r="V442" i="1"/>
  <c r="W442" i="1" s="1"/>
  <c r="V467" i="1"/>
  <c r="AE467" i="1" s="1"/>
  <c r="AF202" i="1"/>
  <c r="AG202" i="1" s="1"/>
  <c r="T219" i="1"/>
  <c r="T254" i="1"/>
  <c r="T300" i="1"/>
  <c r="V300" i="1" s="1"/>
  <c r="AC300" i="1" s="1"/>
  <c r="T304" i="1"/>
  <c r="V304" i="1" s="1"/>
  <c r="AE304" i="1" s="1"/>
  <c r="T311" i="1"/>
  <c r="T358" i="1"/>
  <c r="V358" i="1" s="1"/>
  <c r="AE358" i="1" s="1"/>
  <c r="T374" i="1"/>
  <c r="T377" i="1"/>
  <c r="U377" i="1" s="1"/>
  <c r="T394" i="1"/>
  <c r="V394" i="1" s="1"/>
  <c r="T407" i="1"/>
  <c r="U407" i="1" s="1"/>
  <c r="V427" i="1"/>
  <c r="AC427" i="1" s="1"/>
  <c r="U445" i="1"/>
  <c r="T457" i="1"/>
  <c r="T474" i="1"/>
  <c r="T479" i="1"/>
  <c r="T482" i="1"/>
  <c r="V482" i="1" s="1"/>
  <c r="T491" i="1"/>
  <c r="T492" i="1"/>
  <c r="V492" i="1" s="1"/>
  <c r="AE492" i="1" s="1"/>
  <c r="T510" i="1"/>
  <c r="V510" i="1" s="1"/>
  <c r="AE510" i="1" s="1"/>
  <c r="T193" i="1"/>
  <c r="U193" i="1" s="1"/>
  <c r="T235" i="1"/>
  <c r="T251" i="1"/>
  <c r="V251" i="1" s="1"/>
  <c r="W251" i="1" s="1"/>
  <c r="T262" i="1"/>
  <c r="V262" i="1" s="1"/>
  <c r="W262" i="1" s="1"/>
  <c r="T290" i="1"/>
  <c r="V290" i="1" s="1"/>
  <c r="AE290" i="1" s="1"/>
  <c r="T296" i="1"/>
  <c r="T307" i="1"/>
  <c r="T316" i="1"/>
  <c r="T322" i="1"/>
  <c r="T328" i="1"/>
  <c r="T331" i="1"/>
  <c r="V331" i="1" s="1"/>
  <c r="T354" i="1"/>
  <c r="U354" i="1" s="1"/>
  <c r="T362" i="1"/>
  <c r="V362" i="1" s="1"/>
  <c r="AE362" i="1" s="1"/>
  <c r="U398" i="1"/>
  <c r="T403" i="1"/>
  <c r="V403" i="1" s="1"/>
  <c r="T413" i="1"/>
  <c r="T421" i="1"/>
  <c r="V421" i="1" s="1"/>
  <c r="T432" i="1"/>
  <c r="V432" i="1" s="1"/>
  <c r="W432" i="1" s="1"/>
  <c r="T441" i="1"/>
  <c r="T462" i="1"/>
  <c r="V462" i="1" s="1"/>
  <c r="W462" i="1" s="1"/>
  <c r="U184" i="1"/>
  <c r="T189" i="1"/>
  <c r="U189" i="1" s="1"/>
  <c r="U216" i="1"/>
  <c r="T222" i="1"/>
  <c r="V222" i="1" s="1"/>
  <c r="V269" i="1"/>
  <c r="W269" i="1" s="1"/>
  <c r="T319" i="1"/>
  <c r="V319" i="1" s="1"/>
  <c r="T327" i="1"/>
  <c r="U347" i="1"/>
  <c r="V350" i="1"/>
  <c r="W350" i="1" s="1"/>
  <c r="T382" i="1"/>
  <c r="T385" i="1"/>
  <c r="U410" i="1"/>
  <c r="T435" i="1"/>
  <c r="U435" i="1" s="1"/>
  <c r="T461" i="1"/>
  <c r="T494" i="1"/>
  <c r="U494" i="1" s="1"/>
  <c r="T504" i="1"/>
  <c r="V504" i="1" s="1"/>
  <c r="AC504" i="1" s="1"/>
  <c r="T518" i="1"/>
  <c r="V518" i="1" s="1"/>
  <c r="AC518" i="1" s="1"/>
  <c r="V184" i="1"/>
  <c r="W184" i="1" s="1"/>
  <c r="T208" i="1"/>
  <c r="V208" i="1" s="1"/>
  <c r="AE208" i="1" s="1"/>
  <c r="V253" i="1"/>
  <c r="W253" i="1" s="1"/>
  <c r="T261" i="1"/>
  <c r="T315" i="1"/>
  <c r="T343" i="1"/>
  <c r="U343" i="1" s="1"/>
  <c r="U352" i="1"/>
  <c r="V390" i="1"/>
  <c r="U393" i="1"/>
  <c r="U397" i="1"/>
  <c r="V498" i="1"/>
  <c r="AE498" i="1" s="1"/>
  <c r="U514" i="1"/>
  <c r="V210" i="1"/>
  <c r="AE210" i="1" s="1"/>
  <c r="V274" i="1"/>
  <c r="AE274" i="1" s="1"/>
  <c r="V275" i="1"/>
  <c r="AE275" i="1" s="1"/>
  <c r="V288" i="1"/>
  <c r="W288" i="1" s="1"/>
  <c r="V302" i="1"/>
  <c r="V379" i="1"/>
  <c r="AC379" i="1" s="1"/>
  <c r="V434" i="1"/>
  <c r="V514" i="1"/>
  <c r="AE514" i="1" s="1"/>
  <c r="AE35" i="1"/>
  <c r="AC35" i="1"/>
  <c r="W35" i="1"/>
  <c r="AE63" i="1"/>
  <c r="AC63" i="1"/>
  <c r="W63" i="1"/>
  <c r="AE38" i="1"/>
  <c r="AC38" i="1"/>
  <c r="W38" i="1"/>
  <c r="AC3" i="1"/>
  <c r="AC7" i="1"/>
  <c r="AC10" i="1"/>
  <c r="W13" i="1"/>
  <c r="V16" i="1"/>
  <c r="AE17" i="1"/>
  <c r="W24" i="1"/>
  <c r="AE31" i="1"/>
  <c r="AC41" i="1"/>
  <c r="U43" i="1"/>
  <c r="V56" i="1"/>
  <c r="AC57" i="1"/>
  <c r="W57" i="1"/>
  <c r="AE57" i="1"/>
  <c r="V65" i="1"/>
  <c r="U65" i="1"/>
  <c r="AE68" i="1"/>
  <c r="AC68" i="1"/>
  <c r="W68" i="1"/>
  <c r="V85" i="1"/>
  <c r="U85" i="1"/>
  <c r="AE115" i="1"/>
  <c r="AC115" i="1"/>
  <c r="W115" i="1"/>
  <c r="AE3" i="1"/>
  <c r="AE7" i="1"/>
  <c r="AE10" i="1"/>
  <c r="AC33" i="1"/>
  <c r="W43" i="1"/>
  <c r="T80" i="1"/>
  <c r="AC47" i="1"/>
  <c r="W47" i="1"/>
  <c r="AE47" i="1"/>
  <c r="V70" i="1"/>
  <c r="U70" i="1"/>
  <c r="V99" i="1"/>
  <c r="U99" i="1"/>
  <c r="W9" i="1"/>
  <c r="W34" i="1"/>
  <c r="V39" i="1"/>
  <c r="AE44" i="1"/>
  <c r="AC44" i="1"/>
  <c r="V46" i="1"/>
  <c r="U47" i="1"/>
  <c r="T55" i="1"/>
  <c r="V91" i="1"/>
  <c r="U91" i="1"/>
  <c r="W12" i="1"/>
  <c r="AE34" i="1"/>
  <c r="AC61" i="1"/>
  <c r="W61" i="1"/>
  <c r="AE61" i="1"/>
  <c r="AE72" i="1"/>
  <c r="AC72" i="1"/>
  <c r="W72" i="1"/>
  <c r="W5" i="1"/>
  <c r="AC5" i="1"/>
  <c r="AE9" i="1"/>
  <c r="AC12" i="1"/>
  <c r="W15" i="1"/>
  <c r="AC23" i="1"/>
  <c r="W27" i="1"/>
  <c r="U61" i="1"/>
  <c r="T74" i="1"/>
  <c r="AE6" i="1"/>
  <c r="AC15" i="1"/>
  <c r="W18" i="1"/>
  <c r="W19" i="1"/>
  <c r="W26" i="1"/>
  <c r="U32" i="1"/>
  <c r="U40" i="1"/>
  <c r="V64" i="1"/>
  <c r="U64" i="1"/>
  <c r="U102" i="1"/>
  <c r="V102" i="1"/>
  <c r="AC6" i="1"/>
  <c r="AC19" i="1"/>
  <c r="AC26" i="1"/>
  <c r="AE27" i="1"/>
  <c r="W32" i="1"/>
  <c r="U36" i="1"/>
  <c r="W40" i="1"/>
  <c r="V50" i="1"/>
  <c r="U50" i="1"/>
  <c r="AE52" i="1"/>
  <c r="AC52" i="1"/>
  <c r="W52" i="1"/>
  <c r="T66" i="1"/>
  <c r="W8" i="1"/>
  <c r="W29" i="1"/>
  <c r="AC32" i="1"/>
  <c r="AC40" i="1"/>
  <c r="V69" i="1"/>
  <c r="U69" i="1"/>
  <c r="T71" i="1"/>
  <c r="AC18" i="1"/>
  <c r="V49" i="1"/>
  <c r="U49" i="1"/>
  <c r="V87" i="1"/>
  <c r="U87" i="1"/>
  <c r="V94" i="1"/>
  <c r="U94" i="1"/>
  <c r="AE107" i="1"/>
  <c r="AC107" i="1"/>
  <c r="W107" i="1"/>
  <c r="V149" i="1"/>
  <c r="AF149" i="1"/>
  <c r="AG149" i="1" s="1"/>
  <c r="W17" i="1"/>
  <c r="V42" i="1"/>
  <c r="T73" i="1"/>
  <c r="AE169" i="1"/>
  <c r="AE108" i="1"/>
  <c r="AE123" i="1"/>
  <c r="AC123" i="1"/>
  <c r="AE146" i="1"/>
  <c r="AC146" i="1"/>
  <c r="W146" i="1"/>
  <c r="U115" i="1"/>
  <c r="W123" i="1"/>
  <c r="W126" i="1"/>
  <c r="T134" i="1"/>
  <c r="AF158" i="1"/>
  <c r="AG158" i="1" s="1"/>
  <c r="T164" i="1"/>
  <c r="U169" i="1"/>
  <c r="AF174" i="1"/>
  <c r="AG174" i="1" s="1"/>
  <c r="Q74" i="1"/>
  <c r="W82" i="1"/>
  <c r="W86" i="1"/>
  <c r="W88" i="1"/>
  <c r="W90" i="1"/>
  <c r="U98" i="1"/>
  <c r="W109" i="1"/>
  <c r="AE113" i="1"/>
  <c r="AC113" i="1"/>
  <c r="V114" i="1"/>
  <c r="U152" i="1"/>
  <c r="V163" i="1"/>
  <c r="T172" i="1"/>
  <c r="U72" i="1"/>
  <c r="U96" i="1"/>
  <c r="AC98" i="1"/>
  <c r="W101" i="1"/>
  <c r="U107" i="1"/>
  <c r="AE109" i="1"/>
  <c r="AE126" i="1"/>
  <c r="T132" i="1"/>
  <c r="T136" i="1"/>
  <c r="V141" i="1"/>
  <c r="U141" i="1"/>
  <c r="AE168" i="1"/>
  <c r="AC168" i="1"/>
  <c r="W168" i="1"/>
  <c r="T177" i="1"/>
  <c r="W96" i="1"/>
  <c r="AC101" i="1"/>
  <c r="U110" i="1"/>
  <c r="T130" i="1"/>
  <c r="V131" i="1"/>
  <c r="U131" i="1"/>
  <c r="U149" i="1"/>
  <c r="V155" i="1"/>
  <c r="U155" i="1"/>
  <c r="V176" i="1"/>
  <c r="U176" i="1"/>
  <c r="AE96" i="1"/>
  <c r="V128" i="1"/>
  <c r="U128" i="1"/>
  <c r="V129" i="1"/>
  <c r="U129" i="1"/>
  <c r="U171" i="1"/>
  <c r="V171" i="1"/>
  <c r="X185" i="1"/>
  <c r="U185" i="1" s="1"/>
  <c r="Q73" i="1"/>
  <c r="U111" i="1"/>
  <c r="AE166" i="1"/>
  <c r="AC166" i="1"/>
  <c r="W166" i="1"/>
  <c r="V175" i="1"/>
  <c r="U175" i="1"/>
  <c r="V180" i="1"/>
  <c r="U180" i="1"/>
  <c r="U183" i="1"/>
  <c r="AF183" i="1"/>
  <c r="AG183" i="1" s="1"/>
  <c r="V183" i="1"/>
  <c r="W105" i="1"/>
  <c r="U108" i="1"/>
  <c r="T112" i="1"/>
  <c r="AF144" i="1"/>
  <c r="AG144" i="1" s="1"/>
  <c r="AE147" i="1"/>
  <c r="AC147" i="1"/>
  <c r="W147" i="1"/>
  <c r="V154" i="1"/>
  <c r="U154" i="1"/>
  <c r="AF159" i="1"/>
  <c r="AG159" i="1" s="1"/>
  <c r="T95" i="1"/>
  <c r="AC105" i="1"/>
  <c r="W108" i="1"/>
  <c r="X165" i="1"/>
  <c r="U225" i="1"/>
  <c r="V225" i="1"/>
  <c r="U209" i="1"/>
  <c r="V212" i="1"/>
  <c r="U212" i="1"/>
  <c r="V218" i="1"/>
  <c r="U218" i="1"/>
  <c r="V236" i="1"/>
  <c r="U236" i="1"/>
  <c r="W242" i="1"/>
  <c r="AE242" i="1"/>
  <c r="AC242" i="1"/>
  <c r="AE120" i="1"/>
  <c r="X161" i="1"/>
  <c r="U242" i="1"/>
  <c r="T145" i="1"/>
  <c r="X160" i="1"/>
  <c r="AE287" i="1"/>
  <c r="AC287" i="1"/>
  <c r="W287" i="1"/>
  <c r="X151" i="1"/>
  <c r="AF151" i="1" s="1"/>
  <c r="AG151" i="1" s="1"/>
  <c r="V191" i="1"/>
  <c r="U191" i="1"/>
  <c r="V211" i="1"/>
  <c r="U211" i="1"/>
  <c r="U231" i="1"/>
  <c r="V231" i="1"/>
  <c r="T255" i="1"/>
  <c r="U147" i="1"/>
  <c r="T153" i="1"/>
  <c r="W156" i="1"/>
  <c r="U163" i="1"/>
  <c r="U168" i="1"/>
  <c r="AE173" i="1"/>
  <c r="U182" i="1"/>
  <c r="V217" i="1"/>
  <c r="U224" i="1"/>
  <c r="W173" i="1"/>
  <c r="T178" i="1"/>
  <c r="V193" i="1"/>
  <c r="X194" i="1"/>
  <c r="AF194" i="1" s="1"/>
  <c r="AG194" i="1" s="1"/>
  <c r="AF203" i="1"/>
  <c r="AG203" i="1" s="1"/>
  <c r="V203" i="1"/>
  <c r="V213" i="1"/>
  <c r="U213" i="1"/>
  <c r="AE207" i="1"/>
  <c r="AC207" i="1"/>
  <c r="AE216" i="1"/>
  <c r="T124" i="1"/>
  <c r="T162" i="1"/>
  <c r="AC173" i="1"/>
  <c r="AF188" i="1"/>
  <c r="AG188" i="1" s="1"/>
  <c r="W207" i="1"/>
  <c r="V219" i="1"/>
  <c r="U219" i="1"/>
  <c r="U201" i="1"/>
  <c r="V229" i="1"/>
  <c r="AC199" i="1"/>
  <c r="AF210" i="1"/>
  <c r="AG210" i="1" s="1"/>
  <c r="V306" i="1"/>
  <c r="U306" i="1"/>
  <c r="AE277" i="1"/>
  <c r="AC277" i="1"/>
  <c r="W277" i="1"/>
  <c r="T301" i="1"/>
  <c r="V301" i="1" s="1"/>
  <c r="T200" i="1"/>
  <c r="T238" i="1"/>
  <c r="V257" i="1"/>
  <c r="U257" i="1"/>
  <c r="AE239" i="1"/>
  <c r="AE273" i="1"/>
  <c r="AC273" i="1"/>
  <c r="W273" i="1"/>
  <c r="T215" i="1"/>
  <c r="U228" i="1"/>
  <c r="U233" i="1"/>
  <c r="AF233" i="1"/>
  <c r="AG233" i="1" s="1"/>
  <c r="W239" i="1"/>
  <c r="U240" i="1"/>
  <c r="U243" i="1"/>
  <c r="U259" i="1"/>
  <c r="V259" i="1"/>
  <c r="T284" i="1"/>
  <c r="V284" i="1" s="1"/>
  <c r="AC233" i="1"/>
  <c r="U234" i="1"/>
  <c r="AE233" i="1"/>
  <c r="V234" i="1"/>
  <c r="AC239" i="1"/>
  <c r="AC243" i="1"/>
  <c r="V244" i="1"/>
  <c r="U244" i="1"/>
  <c r="U245" i="1"/>
  <c r="U247" i="1"/>
  <c r="AE265" i="1"/>
  <c r="AC265" i="1"/>
  <c r="T196" i="1"/>
  <c r="AE243" i="1"/>
  <c r="V245" i="1"/>
  <c r="V247" i="1"/>
  <c r="W265" i="1"/>
  <c r="V272" i="1"/>
  <c r="U272" i="1"/>
  <c r="T292" i="1"/>
  <c r="V292" i="1" s="1"/>
  <c r="V256" i="1"/>
  <c r="U256" i="1"/>
  <c r="AE267" i="1"/>
  <c r="AC267" i="1"/>
  <c r="T204" i="1"/>
  <c r="U207" i="1"/>
  <c r="V252" i="1"/>
  <c r="U252" i="1"/>
  <c r="V258" i="1"/>
  <c r="W267" i="1"/>
  <c r="AC302" i="1"/>
  <c r="W302" i="1"/>
  <c r="AE302" i="1"/>
  <c r="U232" i="1"/>
  <c r="X293" i="1"/>
  <c r="AF293" i="1" s="1"/>
  <c r="AG293" i="1" s="1"/>
  <c r="V296" i="1"/>
  <c r="V308" i="1"/>
  <c r="U308" i="1"/>
  <c r="V324" i="1"/>
  <c r="U324" i="1"/>
  <c r="AE330" i="1"/>
  <c r="AC330" i="1"/>
  <c r="W330" i="1"/>
  <c r="V346" i="1"/>
  <c r="U346" i="1"/>
  <c r="V349" i="1"/>
  <c r="U349" i="1"/>
  <c r="W298" i="1"/>
  <c r="V312" i="1"/>
  <c r="U312" i="1"/>
  <c r="AE318" i="1"/>
  <c r="AC318" i="1"/>
  <c r="W318" i="1"/>
  <c r="V332" i="1"/>
  <c r="U332" i="1"/>
  <c r="AF285" i="1"/>
  <c r="AG285" i="1" s="1"/>
  <c r="T299" i="1"/>
  <c r="V299" i="1" s="1"/>
  <c r="V320" i="1"/>
  <c r="U320" i="1"/>
  <c r="W351" i="1"/>
  <c r="V334" i="1"/>
  <c r="U334" i="1"/>
  <c r="V329" i="1"/>
  <c r="U329" i="1"/>
  <c r="V341" i="1"/>
  <c r="U341" i="1"/>
  <c r="AC317" i="1"/>
  <c r="W317" i="1"/>
  <c r="AE317" i="1"/>
  <c r="V336" i="1"/>
  <c r="U336" i="1"/>
  <c r="U344" i="1"/>
  <c r="V344" i="1"/>
  <c r="V307" i="1"/>
  <c r="U307" i="1"/>
  <c r="AF307" i="1"/>
  <c r="AG307" i="1" s="1"/>
  <c r="V325" i="1"/>
  <c r="U325" i="1"/>
  <c r="V313" i="1"/>
  <c r="U313" i="1"/>
  <c r="V338" i="1"/>
  <c r="U338" i="1"/>
  <c r="AC303" i="1"/>
  <c r="W303" i="1"/>
  <c r="V310" i="1"/>
  <c r="U310" i="1"/>
  <c r="V333" i="1"/>
  <c r="U333" i="1"/>
  <c r="V297" i="1"/>
  <c r="U321" i="1"/>
  <c r="V321" i="1"/>
  <c r="U340" i="1"/>
  <c r="V340" i="1"/>
  <c r="V357" i="1"/>
  <c r="U357" i="1"/>
  <c r="W358" i="1"/>
  <c r="W363" i="1"/>
  <c r="U372" i="1"/>
  <c r="V373" i="1"/>
  <c r="U373" i="1"/>
  <c r="V388" i="1"/>
  <c r="U388" i="1"/>
  <c r="AE393" i="1"/>
  <c r="AC393" i="1"/>
  <c r="U318" i="1"/>
  <c r="U330" i="1"/>
  <c r="U358" i="1"/>
  <c r="V371" i="1"/>
  <c r="V382" i="1"/>
  <c r="W393" i="1"/>
  <c r="V399" i="1"/>
  <c r="AF319" i="1"/>
  <c r="AG319" i="1" s="1"/>
  <c r="AF331" i="1"/>
  <c r="AG331" i="1" s="1"/>
  <c r="AF335" i="1"/>
  <c r="AG335" i="1" s="1"/>
  <c r="AF337" i="1"/>
  <c r="AG337" i="1" s="1"/>
  <c r="AF339" i="1"/>
  <c r="AG339" i="1" s="1"/>
  <c r="AF350" i="1"/>
  <c r="AG350" i="1" s="1"/>
  <c r="U382" i="1"/>
  <c r="AF382" i="1"/>
  <c r="AG382" i="1" s="1"/>
  <c r="V387" i="1"/>
  <c r="U387" i="1"/>
  <c r="AF314" i="1"/>
  <c r="AG314" i="1" s="1"/>
  <c r="AF326" i="1"/>
  <c r="AG326" i="1" s="1"/>
  <c r="AC358" i="1"/>
  <c r="V412" i="1"/>
  <c r="U412" i="1"/>
  <c r="AE425" i="1"/>
  <c r="AC425" i="1"/>
  <c r="W425" i="1"/>
  <c r="AE370" i="1"/>
  <c r="U379" i="1"/>
  <c r="V380" i="1"/>
  <c r="U380" i="1"/>
  <c r="V352" i="1"/>
  <c r="U378" i="1"/>
  <c r="U386" i="1"/>
  <c r="V391" i="1"/>
  <c r="V424" i="1"/>
  <c r="U424" i="1"/>
  <c r="U317" i="1"/>
  <c r="T369" i="1"/>
  <c r="AF370" i="1"/>
  <c r="AG370" i="1" s="1"/>
  <c r="V385" i="1"/>
  <c r="U385" i="1"/>
  <c r="V368" i="1"/>
  <c r="U368" i="1"/>
  <c r="V376" i="1"/>
  <c r="U376" i="1"/>
  <c r="V401" i="1"/>
  <c r="V416" i="1"/>
  <c r="U335" i="1"/>
  <c r="U339" i="1"/>
  <c r="V396" i="1"/>
  <c r="U396" i="1"/>
  <c r="V355" i="1"/>
  <c r="V383" i="1"/>
  <c r="V400" i="1"/>
  <c r="T408" i="1"/>
  <c r="U415" i="1"/>
  <c r="V360" i="1"/>
  <c r="U360" i="1"/>
  <c r="V364" i="1"/>
  <c r="U364" i="1"/>
  <c r="V375" i="1"/>
  <c r="U375" i="1"/>
  <c r="U400" i="1"/>
  <c r="AE404" i="1"/>
  <c r="AC404" i="1"/>
  <c r="W404" i="1"/>
  <c r="AE410" i="1"/>
  <c r="V426" i="1"/>
  <c r="U426" i="1"/>
  <c r="V517" i="1"/>
  <c r="U517" i="1"/>
  <c r="V431" i="1"/>
  <c r="V436" i="1"/>
  <c r="U436" i="1"/>
  <c r="V441" i="1"/>
  <c r="U441" i="1"/>
  <c r="AE445" i="1"/>
  <c r="W445" i="1"/>
  <c r="AC455" i="1"/>
  <c r="W455" i="1"/>
  <c r="AE455" i="1"/>
  <c r="AF437" i="1"/>
  <c r="AG437" i="1" s="1"/>
  <c r="U455" i="1"/>
  <c r="AF455" i="1"/>
  <c r="AG455" i="1" s="1"/>
  <c r="V477" i="1"/>
  <c r="U477" i="1"/>
  <c r="V487" i="1"/>
  <c r="U487" i="1"/>
  <c r="V411" i="1"/>
  <c r="T450" i="1"/>
  <c r="V505" i="1"/>
  <c r="U505" i="1"/>
  <c r="V430" i="1"/>
  <c r="U430" i="1"/>
  <c r="V440" i="1"/>
  <c r="U440" i="1"/>
  <c r="AC445" i="1"/>
  <c r="AF425" i="1"/>
  <c r="AG425" i="1" s="1"/>
  <c r="U425" i="1"/>
  <c r="V454" i="1"/>
  <c r="U454" i="1"/>
  <c r="V457" i="1"/>
  <c r="U457" i="1"/>
  <c r="U422" i="1"/>
  <c r="U434" i="1"/>
  <c r="V439" i="1"/>
  <c r="V417" i="1"/>
  <c r="U417" i="1"/>
  <c r="U419" i="1"/>
  <c r="V420" i="1"/>
  <c r="U420" i="1"/>
  <c r="V456" i="1"/>
  <c r="U456" i="1"/>
  <c r="V466" i="1"/>
  <c r="U466" i="1"/>
  <c r="AC419" i="1"/>
  <c r="W419" i="1"/>
  <c r="W438" i="1"/>
  <c r="U389" i="1"/>
  <c r="U438" i="1"/>
  <c r="AE419" i="1"/>
  <c r="U428" i="1"/>
  <c r="AE432" i="1"/>
  <c r="AC432" i="1"/>
  <c r="T481" i="1"/>
  <c r="U444" i="1"/>
  <c r="V507" i="1"/>
  <c r="U507" i="1"/>
  <c r="V519" i="1"/>
  <c r="U519" i="1"/>
  <c r="V444" i="1"/>
  <c r="U451" i="1"/>
  <c r="T459" i="1"/>
  <c r="V465" i="1"/>
  <c r="W486" i="1"/>
  <c r="AF494" i="1"/>
  <c r="AG494" i="1" s="1"/>
  <c r="V499" i="1"/>
  <c r="U499" i="1"/>
  <c r="V511" i="1"/>
  <c r="U511" i="1"/>
  <c r="AE516" i="1"/>
  <c r="V476" i="1"/>
  <c r="U476" i="1"/>
  <c r="V489" i="1"/>
  <c r="U489" i="1"/>
  <c r="U449" i="1"/>
  <c r="T464" i="1"/>
  <c r="AF470" i="1"/>
  <c r="AG470" i="1" s="1"/>
  <c r="AE485" i="1"/>
  <c r="W485" i="1"/>
  <c r="T493" i="1"/>
  <c r="U432" i="1"/>
  <c r="W449" i="1"/>
  <c r="V463" i="1"/>
  <c r="U463" i="1"/>
  <c r="T469" i="1"/>
  <c r="V478" i="1"/>
  <c r="U478" i="1"/>
  <c r="U498" i="1"/>
  <c r="V501" i="1"/>
  <c r="U501" i="1"/>
  <c r="V513" i="1"/>
  <c r="U513" i="1"/>
  <c r="V475" i="1"/>
  <c r="U475" i="1"/>
  <c r="V488" i="1"/>
  <c r="U488" i="1"/>
  <c r="AF506" i="1"/>
  <c r="AG506" i="1" s="1"/>
  <c r="AE449" i="1"/>
  <c r="V495" i="1"/>
  <c r="U495" i="1"/>
  <c r="V509" i="1"/>
  <c r="U509" i="1"/>
  <c r="AF482" i="1"/>
  <c r="AG482" i="1" s="1"/>
  <c r="V490" i="1"/>
  <c r="U490" i="1"/>
  <c r="V500" i="1"/>
  <c r="U500" i="1"/>
  <c r="V512" i="1"/>
  <c r="U512" i="1"/>
  <c r="U483" i="1"/>
  <c r="AF508" i="1"/>
  <c r="AG508" i="1" s="1"/>
  <c r="U458" i="1"/>
  <c r="U421" i="1" l="1"/>
  <c r="AC288" i="1"/>
  <c r="AE288" i="1"/>
  <c r="W148" i="1"/>
  <c r="AC148" i="1"/>
  <c r="AC350" i="1"/>
  <c r="AE350" i="1"/>
  <c r="AC282" i="1"/>
  <c r="AE282" i="1"/>
  <c r="W290" i="1"/>
  <c r="AC290" i="1"/>
  <c r="W492" i="1"/>
  <c r="AE351" i="1"/>
  <c r="AC492" i="1"/>
  <c r="U470" i="1"/>
  <c r="U331" i="1"/>
  <c r="U351" i="1"/>
  <c r="AC339" i="1"/>
  <c r="AE339" i="1"/>
  <c r="W208" i="1"/>
  <c r="W397" i="1"/>
  <c r="U492" i="1"/>
  <c r="U381" i="1"/>
  <c r="AC274" i="1"/>
  <c r="V494" i="1"/>
  <c r="AE286" i="1"/>
  <c r="W275" i="1"/>
  <c r="W150" i="1"/>
  <c r="AC275" i="1"/>
  <c r="AC150" i="1"/>
  <c r="AC370" i="1"/>
  <c r="U348" i="1"/>
  <c r="W201" i="1"/>
  <c r="AC268" i="1"/>
  <c r="AC201" i="1"/>
  <c r="U370" i="1"/>
  <c r="U139" i="1"/>
  <c r="AE480" i="1"/>
  <c r="W480" i="1"/>
  <c r="AC386" i="1"/>
  <c r="U159" i="1"/>
  <c r="AE20" i="1"/>
  <c r="U480" i="1"/>
  <c r="U140" i="1"/>
  <c r="AC169" i="1"/>
  <c r="AE268" i="1"/>
  <c r="AC363" i="1"/>
  <c r="W167" i="1"/>
  <c r="V423" i="1"/>
  <c r="AC423" i="1" s="1"/>
  <c r="W20" i="1"/>
  <c r="AE386" i="1"/>
  <c r="V227" i="1"/>
  <c r="AC184" i="1"/>
  <c r="AC389" i="1"/>
  <c r="AE184" i="1"/>
  <c r="U170" i="1"/>
  <c r="W498" i="1"/>
  <c r="AE414" i="1"/>
  <c r="AE389" i="1"/>
  <c r="U60" i="1"/>
  <c r="W60" i="1"/>
  <c r="W483" i="1"/>
  <c r="W414" i="1"/>
  <c r="AE60" i="1"/>
  <c r="W497" i="1"/>
  <c r="AE497" i="1"/>
  <c r="AC497" i="1"/>
  <c r="U237" i="1"/>
  <c r="AC37" i="1"/>
  <c r="AC508" i="1"/>
  <c r="AE263" i="1"/>
  <c r="W179" i="1"/>
  <c r="V189" i="1"/>
  <c r="AE189" i="1" s="1"/>
  <c r="U497" i="1"/>
  <c r="AE508" i="1"/>
  <c r="AE462" i="1"/>
  <c r="AC356" i="1"/>
  <c r="U263" i="1"/>
  <c r="V158" i="1"/>
  <c r="W158" i="1" s="1"/>
  <c r="AE356" i="1"/>
  <c r="V144" i="1"/>
  <c r="AE144" i="1" s="1"/>
  <c r="W453" i="1"/>
  <c r="AC462" i="1"/>
  <c r="U78" i="1"/>
  <c r="AE37" i="1"/>
  <c r="AC514" i="1"/>
  <c r="W515" i="1"/>
  <c r="AC453" i="1"/>
  <c r="W300" i="1"/>
  <c r="AC515" i="1"/>
  <c r="AE300" i="1"/>
  <c r="W223" i="1"/>
  <c r="W84" i="1"/>
  <c r="W514" i="1"/>
  <c r="AC397" i="1"/>
  <c r="AE223" i="1"/>
  <c r="U515" i="1"/>
  <c r="AC263" i="1"/>
  <c r="U84" i="1"/>
  <c r="AC116" i="1"/>
  <c r="U462" i="1"/>
  <c r="V343" i="1"/>
  <c r="AE116" i="1"/>
  <c r="W384" i="1"/>
  <c r="AC208" i="1"/>
  <c r="AC359" i="1"/>
  <c r="W304" i="1"/>
  <c r="U157" i="1"/>
  <c r="W359" i="1"/>
  <c r="AC188" i="1"/>
  <c r="U482" i="1"/>
  <c r="U314" i="1"/>
  <c r="W274" i="1"/>
  <c r="V135" i="1"/>
  <c r="AC135" i="1" s="1"/>
  <c r="W428" i="1"/>
  <c r="AC384" i="1"/>
  <c r="U223" i="1"/>
  <c r="U89" i="1"/>
  <c r="U97" i="1"/>
  <c r="U208" i="1"/>
  <c r="V79" i="1"/>
  <c r="AE79" i="1" s="1"/>
  <c r="V435" i="1"/>
  <c r="AC435" i="1" s="1"/>
  <c r="U429" i="1"/>
  <c r="W460" i="1"/>
  <c r="AE460" i="1"/>
  <c r="U446" i="1"/>
  <c r="W415" i="1"/>
  <c r="W406" i="1"/>
  <c r="U181" i="1"/>
  <c r="V58" i="1"/>
  <c r="AE58" i="1" s="1"/>
  <c r="AC286" i="1"/>
  <c r="U460" i="1"/>
  <c r="AC415" i="1"/>
  <c r="AC406" i="1"/>
  <c r="AE418" i="1"/>
  <c r="V377" i="1"/>
  <c r="W377" i="1" s="1"/>
  <c r="AE182" i="1"/>
  <c r="W125" i="1"/>
  <c r="V249" i="1"/>
  <c r="AC249" i="1" s="1"/>
  <c r="AC451" i="1"/>
  <c r="AE422" i="1"/>
  <c r="AC125" i="1"/>
  <c r="W228" i="1"/>
  <c r="AC422" i="1"/>
  <c r="V392" i="1"/>
  <c r="AE392" i="1" s="1"/>
  <c r="W276" i="1"/>
  <c r="AC228" i="1"/>
  <c r="AC276" i="1"/>
  <c r="AC498" i="1"/>
  <c r="AC418" i="1"/>
  <c r="U496" i="1"/>
  <c r="AE84" i="1"/>
  <c r="AC353" i="1"/>
  <c r="AC281" i="1"/>
  <c r="U260" i="1"/>
  <c r="U125" i="1"/>
  <c r="V433" i="1"/>
  <c r="AE433" i="1" s="1"/>
  <c r="W281" i="1"/>
  <c r="AE323" i="1"/>
  <c r="AC323" i="1"/>
  <c r="W323" i="1"/>
  <c r="W410" i="1"/>
  <c r="AE198" i="1"/>
  <c r="U192" i="1"/>
  <c r="U62" i="1"/>
  <c r="AC280" i="1"/>
  <c r="AC486" i="1"/>
  <c r="AC428" i="1"/>
  <c r="W280" i="1"/>
  <c r="W279" i="1"/>
  <c r="W198" i="1"/>
  <c r="AC62" i="1"/>
  <c r="W103" i="1"/>
  <c r="U503" i="1"/>
  <c r="U506" i="1"/>
  <c r="U251" i="1"/>
  <c r="AC279" i="1"/>
  <c r="U103" i="1"/>
  <c r="U59" i="1"/>
  <c r="AE62" i="1"/>
  <c r="U486" i="1"/>
  <c r="W467" i="1"/>
  <c r="AC496" i="1"/>
  <c r="AC467" i="1"/>
  <c r="U337" i="1"/>
  <c r="AC251" i="1"/>
  <c r="U190" i="1"/>
  <c r="U403" i="1"/>
  <c r="U262" i="1"/>
  <c r="AE251" i="1"/>
  <c r="W278" i="1"/>
  <c r="U323" i="1"/>
  <c r="U518" i="1"/>
  <c r="W402" i="1"/>
  <c r="U305" i="1"/>
  <c r="AC262" i="1"/>
  <c r="W226" i="1"/>
  <c r="AC278" i="1"/>
  <c r="W240" i="1"/>
  <c r="U137" i="1"/>
  <c r="AE59" i="1"/>
  <c r="W503" i="1"/>
  <c r="AC503" i="1"/>
  <c r="V443" i="1"/>
  <c r="V365" i="1"/>
  <c r="AE365" i="1" s="1"/>
  <c r="U319" i="1"/>
  <c r="AC402" i="1"/>
  <c r="AE262" i="1"/>
  <c r="AC270" i="1"/>
  <c r="AC226" i="1"/>
  <c r="AC240" i="1"/>
  <c r="W59" i="1"/>
  <c r="AC103" i="1"/>
  <c r="AE518" i="1"/>
  <c r="AE427" i="1"/>
  <c r="AE270" i="1"/>
  <c r="AE205" i="1"/>
  <c r="W224" i="1"/>
  <c r="V192" i="1"/>
  <c r="AE192" i="1" s="1"/>
  <c r="W232" i="1"/>
  <c r="W117" i="1"/>
  <c r="W518" i="1"/>
  <c r="W427" i="1"/>
  <c r="W205" i="1"/>
  <c r="AC224" i="1"/>
  <c r="AC232" i="1"/>
  <c r="AC117" i="1"/>
  <c r="V221" i="1"/>
  <c r="AE496" i="1"/>
  <c r="V437" i="1"/>
  <c r="AE437" i="1" s="1"/>
  <c r="U117" i="1"/>
  <c r="W347" i="1"/>
  <c r="AE347" i="1"/>
  <c r="U516" i="1"/>
  <c r="W516" i="1"/>
  <c r="W366" i="1"/>
  <c r="AC366" i="1"/>
  <c r="AE504" i="1"/>
  <c r="U195" i="1"/>
  <c r="U504" i="1"/>
  <c r="W504" i="1"/>
  <c r="AC335" i="1"/>
  <c r="W230" i="1"/>
  <c r="U468" i="1"/>
  <c r="AC395" i="1"/>
  <c r="AE335" i="1"/>
  <c r="AC269" i="1"/>
  <c r="W468" i="1"/>
  <c r="U394" i="1"/>
  <c r="AE269" i="1"/>
  <c r="U230" i="1"/>
  <c r="AC468" i="1"/>
  <c r="AC285" i="1"/>
  <c r="W285" i="1"/>
  <c r="AE285" i="1"/>
  <c r="W353" i="1"/>
  <c r="AC271" i="1"/>
  <c r="AC246" i="1"/>
  <c r="AE271" i="1"/>
  <c r="AE246" i="1"/>
  <c r="W209" i="1"/>
  <c r="AE230" i="1"/>
  <c r="AE379" i="1"/>
  <c r="AC209" i="1"/>
  <c r="U508" i="1"/>
  <c r="W379" i="1"/>
  <c r="W182" i="1"/>
  <c r="U54" i="1"/>
  <c r="AE473" i="1"/>
  <c r="AC473" i="1"/>
  <c r="W473" i="1"/>
  <c r="AC289" i="1"/>
  <c r="AE289" i="1"/>
  <c r="W289" i="1"/>
  <c r="AE337" i="1"/>
  <c r="AC337" i="1"/>
  <c r="W337" i="1"/>
  <c r="W434" i="1"/>
  <c r="U405" i="1"/>
  <c r="V354" i="1"/>
  <c r="AE354" i="1" s="1"/>
  <c r="W378" i="1"/>
  <c r="W372" i="1"/>
  <c r="U250" i="1"/>
  <c r="U473" i="1"/>
  <c r="U510" i="1"/>
  <c r="AC442" i="1"/>
  <c r="AC378" i="1"/>
  <c r="U186" i="1"/>
  <c r="AC122" i="1"/>
  <c r="U447" i="1"/>
  <c r="W447" i="1"/>
  <c r="AE442" i="1"/>
  <c r="AE122" i="1"/>
  <c r="U485" i="1"/>
  <c r="AC447" i="1"/>
  <c r="AC372" i="1"/>
  <c r="W48" i="1"/>
  <c r="W390" i="1"/>
  <c r="AE372" i="1"/>
  <c r="W291" i="1"/>
  <c r="AE48" i="1"/>
  <c r="AC483" i="1"/>
  <c r="AC438" i="1"/>
  <c r="U395" i="1"/>
  <c r="AC390" i="1"/>
  <c r="AE291" i="1"/>
  <c r="W510" i="1"/>
  <c r="AE438" i="1"/>
  <c r="AE390" i="1"/>
  <c r="W398" i="1"/>
  <c r="AC291" i="1"/>
  <c r="AE202" i="1"/>
  <c r="AC510" i="1"/>
  <c r="AE398" i="1"/>
  <c r="AE434" i="1"/>
  <c r="W216" i="1"/>
  <c r="W202" i="1"/>
  <c r="AC253" i="1"/>
  <c r="AE167" i="1"/>
  <c r="AE253" i="1"/>
  <c r="W264" i="1"/>
  <c r="U143" i="1"/>
  <c r="V220" i="1"/>
  <c r="W220" i="1" s="1"/>
  <c r="T76" i="1"/>
  <c r="V76" i="1" s="1"/>
  <c r="V143" i="1"/>
  <c r="AC143" i="1" s="1"/>
  <c r="U167" i="1"/>
  <c r="AC264" i="1"/>
  <c r="U174" i="1"/>
  <c r="AE314" i="1"/>
  <c r="AC314" i="1"/>
  <c r="W314" i="1"/>
  <c r="AC319" i="1"/>
  <c r="W319" i="1"/>
  <c r="AE319" i="1"/>
  <c r="U471" i="1"/>
  <c r="V471" i="1"/>
  <c r="V409" i="1"/>
  <c r="U409" i="1"/>
  <c r="AC45" i="1"/>
  <c r="W45" i="1"/>
  <c r="U448" i="1"/>
  <c r="V448" i="1"/>
  <c r="U367" i="1"/>
  <c r="V367" i="1"/>
  <c r="V309" i="1"/>
  <c r="U309" i="1"/>
  <c r="V472" i="1"/>
  <c r="U472" i="1"/>
  <c r="V484" i="1"/>
  <c r="U484" i="1"/>
  <c r="T75" i="1"/>
  <c r="AE45" i="1"/>
  <c r="W331" i="1"/>
  <c r="AE331" i="1"/>
  <c r="AC331" i="1"/>
  <c r="V461" i="1"/>
  <c r="U461" i="1"/>
  <c r="U235" i="1"/>
  <c r="V235" i="1"/>
  <c r="W266" i="1"/>
  <c r="W170" i="1"/>
  <c r="W214" i="1"/>
  <c r="U133" i="1"/>
  <c r="V342" i="1"/>
  <c r="U342" i="1"/>
  <c r="U452" i="1"/>
  <c r="V452" i="1"/>
  <c r="AC67" i="1"/>
  <c r="AE67" i="1"/>
  <c r="AC460" i="1"/>
  <c r="AC214" i="1"/>
  <c r="U261" i="1"/>
  <c r="V261" i="1"/>
  <c r="W188" i="1"/>
  <c r="W206" i="1"/>
  <c r="AE97" i="1"/>
  <c r="V374" i="1"/>
  <c r="U374" i="1"/>
  <c r="V345" i="1"/>
  <c r="U345" i="1"/>
  <c r="W138" i="1"/>
  <c r="W210" i="1"/>
  <c r="V328" i="1"/>
  <c r="U328" i="1"/>
  <c r="V326" i="1"/>
  <c r="U119" i="1"/>
  <c r="V119" i="1"/>
  <c r="U362" i="1"/>
  <c r="AC210" i="1"/>
  <c r="W97" i="1"/>
  <c r="V322" i="1"/>
  <c r="U322" i="1"/>
  <c r="V491" i="1"/>
  <c r="U491" i="1"/>
  <c r="AC458" i="1"/>
  <c r="W458" i="1"/>
  <c r="AC179" i="1"/>
  <c r="U502" i="1"/>
  <c r="V502" i="1"/>
  <c r="W135" i="1"/>
  <c r="AC362" i="1"/>
  <c r="AC206" i="1"/>
  <c r="AE170" i="1"/>
  <c r="AC138" i="1"/>
  <c r="W152" i="1"/>
  <c r="AC434" i="1"/>
  <c r="V316" i="1"/>
  <c r="U316" i="1"/>
  <c r="V311" i="1"/>
  <c r="U311" i="1"/>
  <c r="W451" i="1"/>
  <c r="V407" i="1"/>
  <c r="W407" i="1" s="1"/>
  <c r="U222" i="1"/>
  <c r="W222" i="1"/>
  <c r="AC152" i="1"/>
  <c r="V479" i="1"/>
  <c r="U479" i="1"/>
  <c r="AC304" i="1"/>
  <c r="V248" i="1"/>
  <c r="U248" i="1"/>
  <c r="V118" i="1"/>
  <c r="U118" i="1"/>
  <c r="U197" i="1"/>
  <c r="V197" i="1"/>
  <c r="U315" i="1"/>
  <c r="V315" i="1"/>
  <c r="AC266" i="1"/>
  <c r="AC222" i="1"/>
  <c r="AE152" i="1"/>
  <c r="V474" i="1"/>
  <c r="U474" i="1"/>
  <c r="W362" i="1"/>
  <c r="AE266" i="1"/>
  <c r="AC170" i="1"/>
  <c r="AE222" i="1"/>
  <c r="V327" i="1"/>
  <c r="U327" i="1"/>
  <c r="U413" i="1"/>
  <c r="V413" i="1"/>
  <c r="U241" i="1"/>
  <c r="V241" i="1"/>
  <c r="V187" i="1"/>
  <c r="U187" i="1"/>
  <c r="AC86" i="1"/>
  <c r="U77" i="1"/>
  <c r="V254" i="1"/>
  <c r="U254" i="1"/>
  <c r="AE395" i="1"/>
  <c r="V93" i="1"/>
  <c r="U93" i="1"/>
  <c r="U202" i="1"/>
  <c r="AE83" i="1"/>
  <c r="W83" i="1"/>
  <c r="W475" i="1"/>
  <c r="AE475" i="1"/>
  <c r="AC475" i="1"/>
  <c r="V464" i="1"/>
  <c r="U464" i="1"/>
  <c r="W511" i="1"/>
  <c r="AE511" i="1"/>
  <c r="AC511" i="1"/>
  <c r="AE519" i="1"/>
  <c r="AC519" i="1"/>
  <c r="W519" i="1"/>
  <c r="AE430" i="1"/>
  <c r="W430" i="1"/>
  <c r="AC430" i="1"/>
  <c r="AE385" i="1"/>
  <c r="AC385" i="1"/>
  <c r="W385" i="1"/>
  <c r="AE343" i="1"/>
  <c r="AC343" i="1"/>
  <c r="W343" i="1"/>
  <c r="AC357" i="1"/>
  <c r="AE357" i="1"/>
  <c r="W357" i="1"/>
  <c r="AC305" i="1"/>
  <c r="W305" i="1"/>
  <c r="AE305" i="1"/>
  <c r="AE344" i="1"/>
  <c r="AC344" i="1"/>
  <c r="W344" i="1"/>
  <c r="W346" i="1"/>
  <c r="AC346" i="1"/>
  <c r="AE346" i="1"/>
  <c r="AE295" i="1"/>
  <c r="AC295" i="1"/>
  <c r="W295" i="1"/>
  <c r="AE245" i="1"/>
  <c r="AC245" i="1"/>
  <c r="W245" i="1"/>
  <c r="AF160" i="1"/>
  <c r="AG160" i="1" s="1"/>
  <c r="U160" i="1"/>
  <c r="V165" i="1"/>
  <c r="AF165" i="1"/>
  <c r="AG165" i="1" s="1"/>
  <c r="AE137" i="1"/>
  <c r="AC137" i="1"/>
  <c r="W137" i="1"/>
  <c r="W102" i="1"/>
  <c r="AE102" i="1"/>
  <c r="AC102" i="1"/>
  <c r="AE65" i="1"/>
  <c r="AC65" i="1"/>
  <c r="W65" i="1"/>
  <c r="AE391" i="1"/>
  <c r="AC391" i="1"/>
  <c r="W391" i="1"/>
  <c r="W482" i="1"/>
  <c r="AE482" i="1"/>
  <c r="AC482" i="1"/>
  <c r="AE420" i="1"/>
  <c r="AC420" i="1"/>
  <c r="W420" i="1"/>
  <c r="AC454" i="1"/>
  <c r="W454" i="1"/>
  <c r="AE454" i="1"/>
  <c r="AC377" i="1"/>
  <c r="AE325" i="1"/>
  <c r="AC325" i="1"/>
  <c r="W325" i="1"/>
  <c r="W294" i="1"/>
  <c r="AE294" i="1"/>
  <c r="AC294" i="1"/>
  <c r="V293" i="1"/>
  <c r="V255" i="1"/>
  <c r="U255" i="1"/>
  <c r="V145" i="1"/>
  <c r="U145" i="1"/>
  <c r="AE111" i="1"/>
  <c r="AC111" i="1"/>
  <c r="W111" i="1"/>
  <c r="AC174" i="1"/>
  <c r="AE174" i="1"/>
  <c r="W174" i="1"/>
  <c r="W54" i="1"/>
  <c r="AE54" i="1"/>
  <c r="AC54" i="1"/>
  <c r="W355" i="1"/>
  <c r="AE355" i="1"/>
  <c r="AC355" i="1"/>
  <c r="AE501" i="1"/>
  <c r="AC501" i="1"/>
  <c r="W501" i="1"/>
  <c r="AE505" i="1"/>
  <c r="AC505" i="1"/>
  <c r="W505" i="1"/>
  <c r="AE333" i="1"/>
  <c r="AC333" i="1"/>
  <c r="W333" i="1"/>
  <c r="AE320" i="1"/>
  <c r="AC320" i="1"/>
  <c r="W320" i="1"/>
  <c r="W312" i="1"/>
  <c r="AE312" i="1"/>
  <c r="AC312" i="1"/>
  <c r="W324" i="1"/>
  <c r="AE324" i="1"/>
  <c r="AC324" i="1"/>
  <c r="W229" i="1"/>
  <c r="AE229" i="1"/>
  <c r="AC229" i="1"/>
  <c r="AE217" i="1"/>
  <c r="AC217" i="1"/>
  <c r="W217" i="1"/>
  <c r="W231" i="1"/>
  <c r="AE231" i="1"/>
  <c r="AC231" i="1"/>
  <c r="AE181" i="1"/>
  <c r="AC181" i="1"/>
  <c r="W181" i="1"/>
  <c r="AF161" i="1"/>
  <c r="AG161" i="1" s="1"/>
  <c r="V161" i="1"/>
  <c r="AE225" i="1"/>
  <c r="AC225" i="1"/>
  <c r="W225" i="1"/>
  <c r="AE140" i="1"/>
  <c r="W140" i="1"/>
  <c r="AC140" i="1"/>
  <c r="AE114" i="1"/>
  <c r="AC114" i="1"/>
  <c r="W114" i="1"/>
  <c r="W149" i="1"/>
  <c r="AE149" i="1"/>
  <c r="AC149" i="1"/>
  <c r="AE99" i="1"/>
  <c r="AC99" i="1"/>
  <c r="W99" i="1"/>
  <c r="AE509" i="1"/>
  <c r="AC509" i="1"/>
  <c r="W509" i="1"/>
  <c r="V493" i="1"/>
  <c r="U493" i="1"/>
  <c r="AE476" i="1"/>
  <c r="AC476" i="1"/>
  <c r="W476" i="1"/>
  <c r="AE465" i="1"/>
  <c r="AC465" i="1"/>
  <c r="W465" i="1"/>
  <c r="AE507" i="1"/>
  <c r="AC507" i="1"/>
  <c r="W507" i="1"/>
  <c r="W487" i="1"/>
  <c r="AE487" i="1"/>
  <c r="AC487" i="1"/>
  <c r="AE364" i="1"/>
  <c r="AC364" i="1"/>
  <c r="W364" i="1"/>
  <c r="AE383" i="1"/>
  <c r="AC383" i="1"/>
  <c r="W383" i="1"/>
  <c r="AE416" i="1"/>
  <c r="AC416" i="1"/>
  <c r="W416" i="1"/>
  <c r="AE376" i="1"/>
  <c r="AC376" i="1"/>
  <c r="W376" i="1"/>
  <c r="AE424" i="1"/>
  <c r="AC424" i="1"/>
  <c r="W424" i="1"/>
  <c r="W380" i="1"/>
  <c r="AE380" i="1"/>
  <c r="AC380" i="1"/>
  <c r="AE412" i="1"/>
  <c r="AC412" i="1"/>
  <c r="W412" i="1"/>
  <c r="AC336" i="1"/>
  <c r="AE336" i="1"/>
  <c r="W336" i="1"/>
  <c r="AE299" i="1"/>
  <c r="AC299" i="1"/>
  <c r="W299" i="1"/>
  <c r="AE272" i="1"/>
  <c r="AC272" i="1"/>
  <c r="W272" i="1"/>
  <c r="AE259" i="1"/>
  <c r="AC259" i="1"/>
  <c r="W259" i="1"/>
  <c r="U165" i="1"/>
  <c r="AC175" i="1"/>
  <c r="AE175" i="1"/>
  <c r="W175" i="1"/>
  <c r="W141" i="1"/>
  <c r="AE141" i="1"/>
  <c r="AC141" i="1"/>
  <c r="AC133" i="1"/>
  <c r="W133" i="1"/>
  <c r="AE133" i="1"/>
  <c r="V164" i="1"/>
  <c r="U164" i="1"/>
  <c r="W50" i="1"/>
  <c r="AE50" i="1"/>
  <c r="AC50" i="1"/>
  <c r="AE89" i="1"/>
  <c r="AC89" i="1"/>
  <c r="W89" i="1"/>
  <c r="W46" i="1"/>
  <c r="AE46" i="1"/>
  <c r="AC46" i="1"/>
  <c r="AE477" i="1"/>
  <c r="AC477" i="1"/>
  <c r="W477" i="1"/>
  <c r="V459" i="1"/>
  <c r="U459" i="1"/>
  <c r="W417" i="1"/>
  <c r="AC417" i="1"/>
  <c r="AE417" i="1"/>
  <c r="W405" i="1"/>
  <c r="AE405" i="1"/>
  <c r="AC405" i="1"/>
  <c r="V369" i="1"/>
  <c r="U369" i="1"/>
  <c r="AC348" i="1"/>
  <c r="AE348" i="1"/>
  <c r="W348" i="1"/>
  <c r="AE340" i="1"/>
  <c r="AC340" i="1"/>
  <c r="W340" i="1"/>
  <c r="AE308" i="1"/>
  <c r="AC308" i="1"/>
  <c r="W308" i="1"/>
  <c r="AC292" i="1"/>
  <c r="W292" i="1"/>
  <c r="AE292" i="1"/>
  <c r="V238" i="1"/>
  <c r="U238" i="1"/>
  <c r="AE260" i="1"/>
  <c r="AC260" i="1"/>
  <c r="W260" i="1"/>
  <c r="AE218" i="1"/>
  <c r="AC218" i="1"/>
  <c r="W218" i="1"/>
  <c r="AC94" i="1"/>
  <c r="AE94" i="1"/>
  <c r="W94" i="1"/>
  <c r="AE70" i="1"/>
  <c r="W70" i="1"/>
  <c r="AC70" i="1"/>
  <c r="AE334" i="1"/>
  <c r="AC334" i="1"/>
  <c r="W334" i="1"/>
  <c r="U204" i="1"/>
  <c r="V204" i="1"/>
  <c r="AE244" i="1"/>
  <c r="AC244" i="1"/>
  <c r="W244" i="1"/>
  <c r="AE211" i="1"/>
  <c r="AC211" i="1"/>
  <c r="W211" i="1"/>
  <c r="W144" i="1"/>
  <c r="AC144" i="1"/>
  <c r="V177" i="1"/>
  <c r="U177" i="1"/>
  <c r="V136" i="1"/>
  <c r="U136" i="1"/>
  <c r="AC56" i="1"/>
  <c r="AE56" i="1"/>
  <c r="W56" i="1"/>
  <c r="AE16" i="1"/>
  <c r="AC16" i="1"/>
  <c r="W16" i="1"/>
  <c r="AE517" i="1"/>
  <c r="AC517" i="1"/>
  <c r="W517" i="1"/>
  <c r="AE360" i="1"/>
  <c r="AC360" i="1"/>
  <c r="W360" i="1"/>
  <c r="W506" i="1"/>
  <c r="AE506" i="1"/>
  <c r="AC506" i="1"/>
  <c r="W429" i="1"/>
  <c r="AC429" i="1"/>
  <c r="AE429" i="1"/>
  <c r="AE466" i="1"/>
  <c r="AC466" i="1"/>
  <c r="W466" i="1"/>
  <c r="AE446" i="1"/>
  <c r="AC446" i="1"/>
  <c r="W446" i="1"/>
  <c r="AE394" i="1"/>
  <c r="AC394" i="1"/>
  <c r="W394" i="1"/>
  <c r="W368" i="1"/>
  <c r="AE368" i="1"/>
  <c r="AC368" i="1"/>
  <c r="AC403" i="1"/>
  <c r="AE403" i="1"/>
  <c r="W403" i="1"/>
  <c r="AE321" i="1"/>
  <c r="AC321" i="1"/>
  <c r="W321" i="1"/>
  <c r="AE332" i="1"/>
  <c r="AC332" i="1"/>
  <c r="W332" i="1"/>
  <c r="AE283" i="1"/>
  <c r="AC283" i="1"/>
  <c r="W283" i="1"/>
  <c r="V196" i="1"/>
  <c r="U196" i="1"/>
  <c r="AE306" i="1"/>
  <c r="W306" i="1"/>
  <c r="AC306" i="1"/>
  <c r="AE213" i="1"/>
  <c r="AC213" i="1"/>
  <c r="W213" i="1"/>
  <c r="AE193" i="1"/>
  <c r="AC193" i="1"/>
  <c r="W193" i="1"/>
  <c r="V153" i="1"/>
  <c r="U153" i="1"/>
  <c r="W212" i="1"/>
  <c r="AE212" i="1"/>
  <c r="AC212" i="1"/>
  <c r="AE159" i="1"/>
  <c r="AC159" i="1"/>
  <c r="W159" i="1"/>
  <c r="AC131" i="1"/>
  <c r="W131" i="1"/>
  <c r="AE131" i="1"/>
  <c r="V132" i="1"/>
  <c r="U132" i="1"/>
  <c r="V151" i="1"/>
  <c r="V134" i="1"/>
  <c r="U134" i="1"/>
  <c r="AE87" i="1"/>
  <c r="AC87" i="1"/>
  <c r="W87" i="1"/>
  <c r="AE39" i="1"/>
  <c r="AC39" i="1"/>
  <c r="W39" i="1"/>
  <c r="W441" i="1"/>
  <c r="AE441" i="1"/>
  <c r="AC441" i="1"/>
  <c r="AE396" i="1"/>
  <c r="AC396" i="1"/>
  <c r="W396" i="1"/>
  <c r="W387" i="1"/>
  <c r="AE387" i="1"/>
  <c r="AC387" i="1"/>
  <c r="AE478" i="1"/>
  <c r="AC478" i="1"/>
  <c r="W478" i="1"/>
  <c r="W499" i="1"/>
  <c r="AE499" i="1"/>
  <c r="AC499" i="1"/>
  <c r="V481" i="1"/>
  <c r="U481" i="1"/>
  <c r="AE399" i="1"/>
  <c r="AC399" i="1"/>
  <c r="W399" i="1"/>
  <c r="AE388" i="1"/>
  <c r="AC388" i="1"/>
  <c r="W388" i="1"/>
  <c r="AE313" i="1"/>
  <c r="AC313" i="1"/>
  <c r="W313" i="1"/>
  <c r="AE341" i="1"/>
  <c r="W341" i="1"/>
  <c r="AC341" i="1"/>
  <c r="AE256" i="1"/>
  <c r="AC256" i="1"/>
  <c r="W256" i="1"/>
  <c r="V200" i="1"/>
  <c r="U200" i="1"/>
  <c r="AC227" i="1"/>
  <c r="AE227" i="1"/>
  <c r="W227" i="1"/>
  <c r="V162" i="1"/>
  <c r="U162" i="1"/>
  <c r="AE203" i="1"/>
  <c r="AC203" i="1"/>
  <c r="W203" i="1"/>
  <c r="U194" i="1"/>
  <c r="AE195" i="1"/>
  <c r="AC195" i="1"/>
  <c r="W195" i="1"/>
  <c r="AC183" i="1"/>
  <c r="W183" i="1"/>
  <c r="AE183" i="1"/>
  <c r="AC129" i="1"/>
  <c r="W129" i="1"/>
  <c r="AE129" i="1"/>
  <c r="V130" i="1"/>
  <c r="U130" i="1"/>
  <c r="AE78" i="1"/>
  <c r="AC78" i="1"/>
  <c r="W78" i="1"/>
  <c r="AE64" i="1"/>
  <c r="AC64" i="1"/>
  <c r="W64" i="1"/>
  <c r="AE77" i="1"/>
  <c r="AC77" i="1"/>
  <c r="W77" i="1"/>
  <c r="AE91" i="1"/>
  <c r="AC91" i="1"/>
  <c r="W91" i="1"/>
  <c r="AE85" i="1"/>
  <c r="AC85" i="1"/>
  <c r="W85" i="1"/>
  <c r="AE500" i="1"/>
  <c r="AC500" i="1"/>
  <c r="W500" i="1"/>
  <c r="AE488" i="1"/>
  <c r="AC488" i="1"/>
  <c r="W488" i="1"/>
  <c r="V469" i="1"/>
  <c r="U469" i="1"/>
  <c r="AE489" i="1"/>
  <c r="AC489" i="1"/>
  <c r="W489" i="1"/>
  <c r="W456" i="1"/>
  <c r="AE456" i="1"/>
  <c r="AC456" i="1"/>
  <c r="AE440" i="1"/>
  <c r="AC440" i="1"/>
  <c r="W440" i="1"/>
  <c r="AE436" i="1"/>
  <c r="AC436" i="1"/>
  <c r="W436" i="1"/>
  <c r="AE258" i="1"/>
  <c r="AC258" i="1"/>
  <c r="W258" i="1"/>
  <c r="AE234" i="1"/>
  <c r="AC234" i="1"/>
  <c r="W234" i="1"/>
  <c r="AE301" i="1"/>
  <c r="AC301" i="1"/>
  <c r="W301" i="1"/>
  <c r="W237" i="1"/>
  <c r="AE237" i="1"/>
  <c r="AC237" i="1"/>
  <c r="V124" i="1"/>
  <c r="U124" i="1"/>
  <c r="V178" i="1"/>
  <c r="U178" i="1"/>
  <c r="V194" i="1"/>
  <c r="V112" i="1"/>
  <c r="U112" i="1"/>
  <c r="V185" i="1"/>
  <c r="AF185" i="1"/>
  <c r="AG185" i="1" s="1"/>
  <c r="V71" i="1"/>
  <c r="U71" i="1"/>
  <c r="AE157" i="1"/>
  <c r="AC157" i="1"/>
  <c r="W157" i="1"/>
  <c r="V160" i="1"/>
  <c r="AE513" i="1"/>
  <c r="AC513" i="1"/>
  <c r="W513" i="1"/>
  <c r="W494" i="1"/>
  <c r="AE494" i="1"/>
  <c r="AC494" i="1"/>
  <c r="AE431" i="1"/>
  <c r="AC431" i="1"/>
  <c r="W431" i="1"/>
  <c r="AE426" i="1"/>
  <c r="AC426" i="1"/>
  <c r="W426" i="1"/>
  <c r="V408" i="1"/>
  <c r="U408" i="1"/>
  <c r="W382" i="1"/>
  <c r="AE382" i="1"/>
  <c r="AC382" i="1"/>
  <c r="AC373" i="1"/>
  <c r="W373" i="1"/>
  <c r="AE373" i="1"/>
  <c r="AC329" i="1"/>
  <c r="W329" i="1"/>
  <c r="AE329" i="1"/>
  <c r="W250" i="1"/>
  <c r="AE250" i="1"/>
  <c r="AC250" i="1"/>
  <c r="AE284" i="1"/>
  <c r="AC284" i="1"/>
  <c r="W284" i="1"/>
  <c r="V215" i="1"/>
  <c r="U215" i="1"/>
  <c r="W257" i="1"/>
  <c r="AE257" i="1"/>
  <c r="AC257" i="1"/>
  <c r="AE191" i="1"/>
  <c r="W191" i="1"/>
  <c r="AC191" i="1"/>
  <c r="U95" i="1"/>
  <c r="V95" i="1"/>
  <c r="AE154" i="1"/>
  <c r="AC154" i="1"/>
  <c r="W154" i="1"/>
  <c r="W171" i="1"/>
  <c r="AE171" i="1"/>
  <c r="AC171" i="1"/>
  <c r="AE128" i="1"/>
  <c r="AC128" i="1"/>
  <c r="W128" i="1"/>
  <c r="W176" i="1"/>
  <c r="AE176" i="1"/>
  <c r="AC176" i="1"/>
  <c r="V172" i="1"/>
  <c r="U172" i="1"/>
  <c r="U73" i="1"/>
  <c r="V73" i="1"/>
  <c r="V74" i="1"/>
  <c r="U74" i="1"/>
  <c r="AE512" i="1"/>
  <c r="AC512" i="1"/>
  <c r="W512" i="1"/>
  <c r="AC439" i="1"/>
  <c r="W439" i="1"/>
  <c r="AE439" i="1"/>
  <c r="W463" i="1"/>
  <c r="AE463" i="1"/>
  <c r="AC463" i="1"/>
  <c r="AE444" i="1"/>
  <c r="AC444" i="1"/>
  <c r="W444" i="1"/>
  <c r="W443" i="1"/>
  <c r="AE443" i="1"/>
  <c r="AC443" i="1"/>
  <c r="V450" i="1"/>
  <c r="U450" i="1"/>
  <c r="AE352" i="1"/>
  <c r="AC352" i="1"/>
  <c r="W352" i="1"/>
  <c r="AE381" i="1"/>
  <c r="AC381" i="1"/>
  <c r="W381" i="1"/>
  <c r="AE371" i="1"/>
  <c r="AC371" i="1"/>
  <c r="W371" i="1"/>
  <c r="AE310" i="1"/>
  <c r="AC310" i="1"/>
  <c r="W310" i="1"/>
  <c r="W307" i="1"/>
  <c r="AE307" i="1"/>
  <c r="AC307" i="1"/>
  <c r="AE349" i="1"/>
  <c r="AC349" i="1"/>
  <c r="W349" i="1"/>
  <c r="AE252" i="1"/>
  <c r="AC252" i="1"/>
  <c r="W252" i="1"/>
  <c r="AE219" i="1"/>
  <c r="AC219" i="1"/>
  <c r="W219" i="1"/>
  <c r="AE236" i="1"/>
  <c r="AC236" i="1"/>
  <c r="W236" i="1"/>
  <c r="AC163" i="1"/>
  <c r="W163" i="1"/>
  <c r="AE163" i="1"/>
  <c r="W186" i="1"/>
  <c r="AE186" i="1"/>
  <c r="AC186" i="1"/>
  <c r="W42" i="1"/>
  <c r="AE42" i="1"/>
  <c r="AC42" i="1"/>
  <c r="AE69" i="1"/>
  <c r="AC69" i="1"/>
  <c r="W69" i="1"/>
  <c r="V66" i="1"/>
  <c r="U66" i="1"/>
  <c r="AE401" i="1"/>
  <c r="AC401" i="1"/>
  <c r="W401" i="1"/>
  <c r="AE490" i="1"/>
  <c r="AC490" i="1"/>
  <c r="W490" i="1"/>
  <c r="AE495" i="1"/>
  <c r="AC495" i="1"/>
  <c r="W495" i="1"/>
  <c r="W470" i="1"/>
  <c r="AE470" i="1"/>
  <c r="AC470" i="1"/>
  <c r="AE421" i="1"/>
  <c r="W421" i="1"/>
  <c r="AC421" i="1"/>
  <c r="AE457" i="1"/>
  <c r="W457" i="1"/>
  <c r="AC457" i="1"/>
  <c r="AE411" i="1"/>
  <c r="AC411" i="1"/>
  <c r="W411" i="1"/>
  <c r="W375" i="1"/>
  <c r="AE375" i="1"/>
  <c r="AC375" i="1"/>
  <c r="W400" i="1"/>
  <c r="AE400" i="1"/>
  <c r="AC400" i="1"/>
  <c r="AE297" i="1"/>
  <c r="AC297" i="1"/>
  <c r="W297" i="1"/>
  <c r="W338" i="1"/>
  <c r="AE338" i="1"/>
  <c r="AC338" i="1"/>
  <c r="W296" i="1"/>
  <c r="AE296" i="1"/>
  <c r="AC296" i="1"/>
  <c r="AE247" i="1"/>
  <c r="AC247" i="1"/>
  <c r="W247" i="1"/>
  <c r="AE190" i="1"/>
  <c r="AC190" i="1"/>
  <c r="W190" i="1"/>
  <c r="AE180" i="1"/>
  <c r="AC180" i="1"/>
  <c r="W180" i="1"/>
  <c r="AE139" i="1"/>
  <c r="AC139" i="1"/>
  <c r="W139" i="1"/>
  <c r="AE155" i="1"/>
  <c r="AC155" i="1"/>
  <c r="W155" i="1"/>
  <c r="U161" i="1"/>
  <c r="U151" i="1"/>
  <c r="AE49" i="1"/>
  <c r="AC49" i="1"/>
  <c r="W49" i="1"/>
  <c r="V55" i="1"/>
  <c r="U55" i="1"/>
  <c r="V80" i="1"/>
  <c r="U80" i="1"/>
  <c r="AC158" i="1" l="1"/>
  <c r="AE158" i="1"/>
  <c r="AE435" i="1"/>
  <c r="W435" i="1"/>
  <c r="W58" i="1"/>
  <c r="AC58" i="1"/>
  <c r="AC189" i="1"/>
  <c r="AC220" i="1"/>
  <c r="W392" i="1"/>
  <c r="AC392" i="1"/>
  <c r="W189" i="1"/>
  <c r="W433" i="1"/>
  <c r="AC433" i="1"/>
  <c r="W79" i="1"/>
  <c r="W423" i="1"/>
  <c r="AC79" i="1"/>
  <c r="AE423" i="1"/>
  <c r="AE377" i="1"/>
  <c r="W354" i="1"/>
  <c r="AC354" i="1"/>
  <c r="AE135" i="1"/>
  <c r="W192" i="1"/>
  <c r="AC192" i="1"/>
  <c r="AE249" i="1"/>
  <c r="W249" i="1"/>
  <c r="AE221" i="1"/>
  <c r="AC221" i="1"/>
  <c r="W221" i="1"/>
  <c r="AC407" i="1"/>
  <c r="W365" i="1"/>
  <c r="AC365" i="1"/>
  <c r="W437" i="1"/>
  <c r="AC437" i="1"/>
  <c r="AE143" i="1"/>
  <c r="W143" i="1"/>
  <c r="AE407" i="1"/>
  <c r="U76" i="1"/>
  <c r="AE220" i="1"/>
  <c r="AC367" i="1"/>
  <c r="W367" i="1"/>
  <c r="AE367" i="1"/>
  <c r="V75" i="1"/>
  <c r="U75" i="1"/>
  <c r="AE448" i="1"/>
  <c r="AC448" i="1"/>
  <c r="W448" i="1"/>
  <c r="AE484" i="1"/>
  <c r="AC484" i="1"/>
  <c r="W484" i="1"/>
  <c r="W472" i="1"/>
  <c r="AE472" i="1"/>
  <c r="AC472" i="1"/>
  <c r="W409" i="1"/>
  <c r="AE409" i="1"/>
  <c r="AC409" i="1"/>
  <c r="AC471" i="1"/>
  <c r="AE471" i="1"/>
  <c r="W471" i="1"/>
  <c r="AC309" i="1"/>
  <c r="AE309" i="1"/>
  <c r="W309" i="1"/>
  <c r="W187" i="1"/>
  <c r="AC187" i="1"/>
  <c r="AE187" i="1"/>
  <c r="AE119" i="1"/>
  <c r="AC119" i="1"/>
  <c r="W119" i="1"/>
  <c r="AC241" i="1"/>
  <c r="AE241" i="1"/>
  <c r="W241" i="1"/>
  <c r="W118" i="1"/>
  <c r="AE118" i="1"/>
  <c r="AC118" i="1"/>
  <c r="AE374" i="1"/>
  <c r="W374" i="1"/>
  <c r="AC374" i="1"/>
  <c r="AC474" i="1"/>
  <c r="W474" i="1"/>
  <c r="AE474" i="1"/>
  <c r="W326" i="1"/>
  <c r="AE326" i="1"/>
  <c r="AC326" i="1"/>
  <c r="AE235" i="1"/>
  <c r="W235" i="1"/>
  <c r="AC235" i="1"/>
  <c r="W413" i="1"/>
  <c r="AC413" i="1"/>
  <c r="AE413" i="1"/>
  <c r="AE248" i="1"/>
  <c r="AC248" i="1"/>
  <c r="W248" i="1"/>
  <c r="AE254" i="1"/>
  <c r="AC254" i="1"/>
  <c r="W254" i="1"/>
  <c r="AE328" i="1"/>
  <c r="W328" i="1"/>
  <c r="AC328" i="1"/>
  <c r="AC452" i="1"/>
  <c r="W452" i="1"/>
  <c r="AE452" i="1"/>
  <c r="W311" i="1"/>
  <c r="AC311" i="1"/>
  <c r="AE311" i="1"/>
  <c r="AC491" i="1"/>
  <c r="W491" i="1"/>
  <c r="AE491" i="1"/>
  <c r="AE461" i="1"/>
  <c r="AC461" i="1"/>
  <c r="W461" i="1"/>
  <c r="AE327" i="1"/>
  <c r="W327" i="1"/>
  <c r="AC327" i="1"/>
  <c r="W316" i="1"/>
  <c r="AC316" i="1"/>
  <c r="AE316" i="1"/>
  <c r="AE322" i="1"/>
  <c r="AC322" i="1"/>
  <c r="W322" i="1"/>
  <c r="AC76" i="1"/>
  <c r="W76" i="1"/>
  <c r="AE76" i="1"/>
  <c r="AE315" i="1"/>
  <c r="W315" i="1"/>
  <c r="AC315" i="1"/>
  <c r="AE479" i="1"/>
  <c r="AC479" i="1"/>
  <c r="W479" i="1"/>
  <c r="AE261" i="1"/>
  <c r="AC261" i="1"/>
  <c r="W261" i="1"/>
  <c r="AC93" i="1"/>
  <c r="W93" i="1"/>
  <c r="AE93" i="1"/>
  <c r="W342" i="1"/>
  <c r="AC342" i="1"/>
  <c r="AE342" i="1"/>
  <c r="W197" i="1"/>
  <c r="AE197" i="1"/>
  <c r="AC197" i="1"/>
  <c r="AE502" i="1"/>
  <c r="AC502" i="1"/>
  <c r="W502" i="1"/>
  <c r="AE345" i="1"/>
  <c r="W345" i="1"/>
  <c r="AC345" i="1"/>
  <c r="AE71" i="1"/>
  <c r="AC71" i="1"/>
  <c r="W71" i="1"/>
  <c r="AE164" i="1"/>
  <c r="AC164" i="1"/>
  <c r="W164" i="1"/>
  <c r="AC255" i="1"/>
  <c r="W255" i="1"/>
  <c r="AE255" i="1"/>
  <c r="AE481" i="1"/>
  <c r="AC481" i="1"/>
  <c r="W481" i="1"/>
  <c r="AE293" i="1"/>
  <c r="W293" i="1"/>
  <c r="AC293" i="1"/>
  <c r="W165" i="1"/>
  <c r="AE165" i="1"/>
  <c r="AC165" i="1"/>
  <c r="AC185" i="1"/>
  <c r="AE185" i="1"/>
  <c r="W185" i="1"/>
  <c r="AE369" i="1"/>
  <c r="AC369" i="1"/>
  <c r="W369" i="1"/>
  <c r="AE73" i="1"/>
  <c r="AC73" i="1"/>
  <c r="W73" i="1"/>
  <c r="AE408" i="1"/>
  <c r="AC408" i="1"/>
  <c r="W408" i="1"/>
  <c r="AE162" i="1"/>
  <c r="AC162" i="1"/>
  <c r="W162" i="1"/>
  <c r="W196" i="1"/>
  <c r="AE196" i="1"/>
  <c r="AC196" i="1"/>
  <c r="AE66" i="1"/>
  <c r="AC66" i="1"/>
  <c r="W66" i="1"/>
  <c r="W160" i="1"/>
  <c r="AE160" i="1"/>
  <c r="AC160" i="1"/>
  <c r="W112" i="1"/>
  <c r="AC112" i="1"/>
  <c r="AE112" i="1"/>
  <c r="AE194" i="1"/>
  <c r="AC194" i="1"/>
  <c r="W194" i="1"/>
  <c r="AE136" i="1"/>
  <c r="AC136" i="1"/>
  <c r="W136" i="1"/>
  <c r="AE204" i="1"/>
  <c r="AC204" i="1"/>
  <c r="W204" i="1"/>
  <c r="AE464" i="1"/>
  <c r="AC464" i="1"/>
  <c r="W464" i="1"/>
  <c r="AE450" i="1"/>
  <c r="AC450" i="1"/>
  <c r="W450" i="1"/>
  <c r="AE134" i="1"/>
  <c r="W134" i="1"/>
  <c r="AC134" i="1"/>
  <c r="AE238" i="1"/>
  <c r="AC238" i="1"/>
  <c r="W238" i="1"/>
  <c r="AE493" i="1"/>
  <c r="AC493" i="1"/>
  <c r="W493" i="1"/>
  <c r="W215" i="1"/>
  <c r="AC215" i="1"/>
  <c r="AE215" i="1"/>
  <c r="AC178" i="1"/>
  <c r="W178" i="1"/>
  <c r="AE178" i="1"/>
  <c r="AE151" i="1"/>
  <c r="AC151" i="1"/>
  <c r="W151" i="1"/>
  <c r="W177" i="1"/>
  <c r="AE177" i="1"/>
  <c r="AC177" i="1"/>
  <c r="AE145" i="1"/>
  <c r="AC145" i="1"/>
  <c r="W145" i="1"/>
  <c r="W55" i="1"/>
  <c r="AC55" i="1"/>
  <c r="AE55" i="1"/>
  <c r="AE172" i="1"/>
  <c r="AC172" i="1"/>
  <c r="W172" i="1"/>
  <c r="AC124" i="1"/>
  <c r="AE124" i="1"/>
  <c r="W124" i="1"/>
  <c r="AE132" i="1"/>
  <c r="AC132" i="1"/>
  <c r="W132" i="1"/>
  <c r="AE161" i="1"/>
  <c r="W161" i="1"/>
  <c r="AC161" i="1"/>
  <c r="AE80" i="1"/>
  <c r="AC80" i="1"/>
  <c r="W80" i="1"/>
  <c r="AE95" i="1"/>
  <c r="AC95" i="1"/>
  <c r="W95" i="1"/>
  <c r="AE130" i="1"/>
  <c r="AC130" i="1"/>
  <c r="W130" i="1"/>
  <c r="W153" i="1"/>
  <c r="AE153" i="1"/>
  <c r="AC153" i="1"/>
  <c r="AE459" i="1"/>
  <c r="AC459" i="1"/>
  <c r="W459" i="1"/>
  <c r="AE74" i="1"/>
  <c r="AC74" i="1"/>
  <c r="W74" i="1"/>
  <c r="AE469" i="1"/>
  <c r="AC469" i="1"/>
  <c r="W469" i="1"/>
  <c r="AE200" i="1"/>
  <c r="AC200" i="1"/>
  <c r="W200" i="1"/>
  <c r="AE75" i="1" l="1"/>
  <c r="AC75" i="1"/>
  <c r="W75" i="1"/>
</calcChain>
</file>

<file path=xl/sharedStrings.xml><?xml version="1.0" encoding="utf-8"?>
<sst xmlns="http://schemas.openxmlformats.org/spreadsheetml/2006/main" count="10092" uniqueCount="2598">
  <si>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</si>
  <si>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</si>
  <si>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</si>
  <si>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</si>
  <si>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</si>
  <si>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</si>
  <si>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</si>
  <si>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</si>
  <si>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</si>
  <si>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</si>
  <si>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НМЦК (руб.) первый год</t>
  </si>
  <si>
    <t>НМЦК (руб.)   Второй год</t>
  </si>
  <si>
    <t>НМЦК (руб.)   Третий год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</si>
  <si>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</si>
  <si>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</si>
  <si>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</si>
  <si>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</si>
  <si>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</si>
  <si>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</si>
  <si>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</si>
  <si>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Цена за ед.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</si>
  <si>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</si>
  <si>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</si>
  <si>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</si>
  <si>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         Срок поставки согласно ГК</t>
  </si>
  <si>
    <t>Срок предоставления документов (план.), до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</si>
  <si>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</si>
  <si>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</si>
  <si>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</si>
  <si>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</si>
  <si>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</si>
  <si>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</si>
  <si>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</si>
  <si>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</si>
  <si>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 xml:space="preserve">                         Обеспечение исп. ГК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</si>
  <si>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</si>
  <si>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</si>
  <si>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</si>
  <si>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</si>
  <si>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</si>
  <si>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</si>
  <si>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</si>
  <si>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</si>
  <si>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</si>
  <si>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</si>
  <si>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</si>
  <si>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форма</t>
  </si>
  <si>
    <t>%</t>
  </si>
  <si>
    <t>сумма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</si>
  <si>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</si>
  <si>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</si>
  <si>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</si>
  <si>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</si>
  <si>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</si>
  <si>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</si>
  <si>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</si>
  <si>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</si>
  <si>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</si>
  <si>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</si>
  <si>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</si>
  <si>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бг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</si>
  <si>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</si>
  <si>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</si>
  <si>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</si>
  <si>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</si>
  <si>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</si>
  <si>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</si>
  <si>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</si>
  <si>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</si>
  <si>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</si>
  <si>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</si>
  <si>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</si>
  <si>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</si>
  <si>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</si>
  <si>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</si>
  <si>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</si>
  <si>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</si>
  <si>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</si>
  <si>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</si>
  <si>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</si>
  <si>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</si>
  <si>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</si>
  <si>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</si>
  <si>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</si>
  <si>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</si>
  <si>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</si>
  <si>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</si>
  <si>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</si>
  <si>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60 118 200,00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</si>
  <si>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</si>
  <si>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</si>
  <si>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</si>
  <si>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</si>
  <si>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</si>
  <si>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нг</t>
  </si>
  <si>
    <t>исполнен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</si>
  <si>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</si>
  <si>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</si>
  <si>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</si>
  <si>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</si>
  <si>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</si>
  <si>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</si>
  <si>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</si>
  <si>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</si>
  <si>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</si>
  <si>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</si>
  <si>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</si>
  <si>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</si>
  <si>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</si>
  <si>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</si>
  <si>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</si>
  <si>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</si>
  <si>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</si>
  <si>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</si>
  <si>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39 460 017,24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</si>
  <si>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</si>
  <si>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</si>
  <si>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</si>
  <si>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</si>
  <si>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</si>
  <si>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</si>
  <si>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</si>
  <si>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</si>
  <si>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</si>
  <si>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</si>
  <si>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</si>
  <si>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</si>
  <si>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</si>
  <si>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</si>
  <si>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</si>
  <si>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</si>
  <si>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</si>
  <si>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</si>
  <si>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</si>
  <si>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</si>
  <si>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</si>
  <si>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</si>
  <si>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</si>
  <si>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</si>
  <si>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</si>
  <si>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</si>
  <si>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 xml:space="preserve">1 369 797 000,00	</t>
  </si>
  <si>
    <t xml:space="preserve">717 974 400,00	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</si>
  <si>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</si>
  <si>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</si>
  <si>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</si>
  <si>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</si>
  <si>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</si>
  <si>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</si>
  <si>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</si>
  <si>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</si>
  <si>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</si>
  <si>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 xml:space="preserve">1 387 286 299,35	</t>
  </si>
  <si>
    <t xml:space="preserve">694 979 649,00	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</si>
  <si>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</si>
  <si>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</si>
  <si>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</si>
  <si>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</si>
  <si>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</si>
  <si>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</si>
  <si>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</si>
  <si>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</si>
  <si>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 xml:space="preserve">1 209 556 819,20	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</si>
  <si>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</si>
  <si>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</si>
  <si>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</si>
  <si>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</si>
  <si>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</si>
  <si>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</si>
  <si>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 xml:space="preserve">5 804 396,28	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</si>
  <si>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</si>
  <si>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</si>
  <si>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</si>
  <si>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</si>
  <si>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</si>
  <si>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</si>
  <si>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</si>
  <si>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</si>
  <si>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 xml:space="preserve">133 077 600,00	</t>
  </si>
  <si>
    <t xml:space="preserve">67 241 760,00	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</si>
  <si>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</si>
  <si>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</si>
  <si>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</si>
  <si>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</si>
  <si>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</si>
  <si>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</si>
  <si>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 xml:space="preserve">4 812 012,80	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</si>
  <si>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</si>
  <si>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</si>
  <si>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</si>
  <si>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</si>
  <si>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</si>
  <si>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</si>
  <si>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</si>
  <si>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</si>
  <si>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 xml:space="preserve">22 423 472,82	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</si>
  <si>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</si>
  <si>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</si>
  <si>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</si>
  <si>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</si>
  <si>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</si>
  <si>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</si>
  <si>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</si>
  <si>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</si>
  <si>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</si>
  <si>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 xml:space="preserve">380 839 357,08	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</si>
  <si>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</si>
  <si>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</si>
  <si>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</si>
  <si>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</si>
  <si>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</si>
  <si>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</si>
  <si>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</si>
  <si>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</si>
  <si>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</si>
  <si>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 xml:space="preserve">30 743 391,84	</t>
  </si>
  <si>
    <t>ЛЕНАЛИДОМИД-ПРОМОМЕД</t>
  </si>
  <si>
    <t>капсулы, 5 мг (банка) 21 х 1 (пачка картонная)</t>
  </si>
  <si>
    <t>ЛП-008107</t>
  </si>
  <si>
    <t>пп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</si>
  <si>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</si>
  <si>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</si>
  <si>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</si>
  <si>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</si>
  <si>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</si>
  <si>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</si>
  <si>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 xml:space="preserve">1 645 612 899,84	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</si>
  <si>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</si>
  <si>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</si>
  <si>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</si>
  <si>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</si>
  <si>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</si>
  <si>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</si>
  <si>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</si>
  <si>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</si>
  <si>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 xml:space="preserve">134 446 372,20	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</si>
  <si>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</si>
  <si>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</si>
  <si>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</si>
  <si>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</si>
  <si>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</si>
  <si>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</si>
  <si>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 xml:space="preserve">700 075 102,50	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</si>
  <si>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</si>
  <si>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</si>
  <si>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</si>
  <si>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</si>
  <si>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</si>
  <si>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</si>
  <si>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</si>
  <si>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</si>
  <si>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</si>
  <si>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 xml:space="preserve">380 860 928,00	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</si>
  <si>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</si>
  <si>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</si>
  <si>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</si>
  <si>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</si>
  <si>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</si>
  <si>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</si>
  <si>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</si>
  <si>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 xml:space="preserve">137 016 230,40	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</si>
  <si>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</si>
  <si>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</si>
  <si>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</si>
  <si>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</si>
  <si>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</si>
  <si>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</si>
  <si>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</si>
  <si>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</si>
  <si>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</si>
  <si>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</si>
  <si>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 xml:space="preserve">620 032 406,40	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</si>
  <si>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</si>
  <si>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</si>
  <si>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</si>
  <si>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</si>
  <si>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</si>
  <si>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</si>
  <si>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</si>
  <si>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</si>
  <si>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</si>
  <si>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</si>
  <si>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58 559 580,00	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</si>
  <si>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</si>
  <si>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</si>
  <si>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</si>
  <si>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</si>
  <si>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</si>
  <si>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</si>
  <si>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 xml:space="preserve">661 336 500,00	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</si>
  <si>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</si>
  <si>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</si>
  <si>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</si>
  <si>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</si>
  <si>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</si>
  <si>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</si>
  <si>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</si>
  <si>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</si>
  <si>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</si>
  <si>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</si>
  <si>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 xml:space="preserve">83 393 186,80	</t>
  </si>
  <si>
    <t xml:space="preserve">48 848 723,00	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</si>
  <si>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</si>
  <si>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</si>
  <si>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</si>
  <si>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</si>
  <si>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</si>
  <si>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</si>
  <si>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</si>
  <si>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 xml:space="preserve">3 102 917 592,96	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</si>
  <si>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</si>
  <si>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</si>
  <si>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</si>
  <si>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</si>
  <si>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доза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</si>
  <si>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</si>
  <si>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</si>
  <si>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</si>
  <si>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</si>
  <si>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</si>
  <si>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</si>
  <si>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</si>
  <si>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</si>
  <si>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</si>
  <si>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</si>
  <si>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исполнен 1 этап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</si>
  <si>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</si>
  <si>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</si>
  <si>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</si>
  <si>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</si>
  <si>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</si>
  <si>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</si>
  <si>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</si>
  <si>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</si>
  <si>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</si>
  <si>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</si>
  <si>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</si>
  <si>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</si>
  <si>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</si>
  <si>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</si>
  <si>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</si>
  <si>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</si>
  <si>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</si>
  <si>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</si>
  <si>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</si>
  <si>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</si>
  <si>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</si>
  <si>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</si>
  <si>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</si>
  <si>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</si>
  <si>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</si>
  <si>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</si>
  <si>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</si>
  <si>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</si>
  <si>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</si>
  <si>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</si>
  <si>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</si>
  <si>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</si>
  <si>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</si>
  <si>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</si>
  <si>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</si>
  <si>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</si>
  <si>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</si>
  <si>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</si>
  <si>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</si>
  <si>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</si>
  <si>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</si>
  <si>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</si>
  <si>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</si>
  <si>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</si>
  <si>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</si>
  <si>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</si>
  <si>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</si>
  <si>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</si>
  <si>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</si>
  <si>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</si>
  <si>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</si>
  <si>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</si>
  <si>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</si>
  <si>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</si>
  <si>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</si>
  <si>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</si>
  <si>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</si>
  <si>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</si>
  <si>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</si>
  <si>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</si>
  <si>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</si>
  <si>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</si>
  <si>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</si>
  <si>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</si>
  <si>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</si>
  <si>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</si>
  <si>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</si>
  <si>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</si>
  <si>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</si>
  <si>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</si>
  <si>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</si>
  <si>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</si>
  <si>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</si>
  <si>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</si>
  <si>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</si>
  <si>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</si>
  <si>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в стадии исполнения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</si>
  <si>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</si>
  <si>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</si>
  <si>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</si>
  <si>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</si>
  <si>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</si>
  <si>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</si>
  <si>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</si>
  <si>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</si>
  <si>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</si>
  <si>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</si>
  <si>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</si>
  <si>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</si>
  <si>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</si>
  <si>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</si>
  <si>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</si>
  <si>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</si>
  <si>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</si>
  <si>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</si>
  <si>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</si>
  <si>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</si>
  <si>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</si>
  <si>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</si>
  <si>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</si>
  <si>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</si>
  <si>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</si>
  <si>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</si>
  <si>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</si>
  <si>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</si>
  <si>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</si>
  <si>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</si>
  <si>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</si>
  <si>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</si>
  <si>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</si>
  <si>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</si>
  <si>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</si>
  <si>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</si>
  <si>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</si>
  <si>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</si>
  <si>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</si>
  <si>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</si>
  <si>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</si>
  <si>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</si>
  <si>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</si>
  <si>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</si>
  <si>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</si>
  <si>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</si>
  <si>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</si>
  <si>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</si>
  <si>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</si>
  <si>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</si>
  <si>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</si>
  <si>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</si>
  <si>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</si>
  <si>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</si>
  <si>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</si>
  <si>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</si>
  <si>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</si>
  <si>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</si>
  <si>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</si>
  <si>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</si>
  <si>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</si>
  <si>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</si>
  <si>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</si>
  <si>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</si>
  <si>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</si>
  <si>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</si>
  <si>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</si>
  <si>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</si>
  <si>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</si>
  <si>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</si>
  <si>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</si>
  <si>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</si>
  <si>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</si>
  <si>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</si>
  <si>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</si>
  <si>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</si>
  <si>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</si>
  <si>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</si>
  <si>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</si>
  <si>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</si>
  <si>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</si>
  <si>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</si>
  <si>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</si>
  <si>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</si>
  <si>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</si>
  <si>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</si>
  <si>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</si>
  <si>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</si>
  <si>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</si>
  <si>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</si>
  <si>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отмена процедуры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</si>
  <si>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</si>
  <si>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</si>
  <si>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</si>
  <si>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</si>
  <si>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</si>
  <si>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</si>
  <si>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</si>
  <si>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</si>
  <si>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</si>
  <si>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</si>
  <si>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</si>
  <si>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</si>
  <si>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</si>
  <si>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</si>
  <si>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</si>
  <si>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</si>
  <si>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</si>
  <si>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</si>
  <si>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</si>
  <si>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</si>
  <si>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</si>
  <si>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</si>
  <si>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</si>
  <si>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</si>
  <si>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</si>
  <si>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</si>
  <si>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</si>
  <si>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</si>
  <si>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</si>
  <si>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</si>
  <si>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</si>
  <si>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</si>
  <si>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</si>
  <si>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</si>
  <si>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</si>
  <si>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</si>
  <si>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</si>
  <si>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</si>
  <si>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</si>
  <si>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</si>
  <si>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</si>
  <si>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</si>
  <si>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</si>
  <si>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</si>
  <si>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</si>
  <si>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</si>
  <si>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</si>
  <si>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</si>
  <si>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</si>
  <si>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</si>
  <si>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</si>
  <si>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</si>
  <si>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</si>
  <si>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</si>
  <si>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</si>
  <si>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</si>
  <si>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</si>
  <si>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</si>
  <si>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</si>
  <si>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</si>
  <si>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</si>
  <si>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</si>
  <si>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</si>
  <si>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</si>
  <si>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</si>
  <si>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</si>
  <si>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</si>
  <si>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</si>
  <si>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</si>
  <si>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</si>
  <si>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</si>
  <si>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</si>
  <si>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</si>
  <si>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</si>
  <si>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</si>
  <si>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</si>
  <si>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</si>
  <si>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</si>
  <si>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</si>
  <si>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</si>
  <si>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</si>
  <si>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</si>
  <si>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</si>
  <si>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</si>
  <si>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</si>
  <si>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</si>
  <si>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</si>
  <si>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</si>
  <si>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</si>
  <si>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</si>
  <si>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</si>
  <si>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</si>
  <si>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</si>
  <si>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</si>
  <si>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</si>
  <si>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</si>
  <si>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</si>
  <si>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</si>
  <si>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</si>
  <si>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</si>
  <si>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</si>
  <si>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</si>
  <si>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</si>
  <si>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</si>
  <si>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</si>
  <si>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</si>
  <si>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</si>
  <si>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</si>
  <si>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</si>
  <si>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</si>
  <si>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</si>
  <si>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</si>
  <si>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</si>
  <si>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</si>
  <si>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</si>
  <si>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</si>
  <si>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</si>
  <si>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</si>
  <si>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</si>
  <si>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</si>
  <si>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</si>
  <si>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</si>
  <si>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</si>
  <si>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</si>
  <si>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</si>
  <si>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</si>
  <si>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</si>
  <si>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</si>
  <si>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</si>
  <si>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</si>
  <si>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</si>
  <si>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</si>
  <si>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 xml:space="preserve"> исполнен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</si>
  <si>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</si>
  <si>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</si>
  <si>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</si>
  <si>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</si>
  <si>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</si>
  <si>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</si>
  <si>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</si>
  <si>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</si>
  <si>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</si>
  <si>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</si>
  <si>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</si>
  <si>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</si>
  <si>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</si>
  <si>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</si>
  <si>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</si>
  <si>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</si>
  <si>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</si>
  <si>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</si>
  <si>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</si>
  <si>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</si>
  <si>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</si>
  <si>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</si>
  <si>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</si>
  <si>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</si>
  <si>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</si>
  <si>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</si>
  <si>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</si>
  <si>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</si>
  <si>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</si>
  <si>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</si>
  <si>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</si>
  <si>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</si>
  <si>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</si>
  <si>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</si>
  <si>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</si>
  <si>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</si>
  <si>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</si>
  <si>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</si>
  <si>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</si>
  <si>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</si>
  <si>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</si>
  <si>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</si>
  <si>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</si>
  <si>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</si>
  <si>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</si>
  <si>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</si>
  <si>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</si>
  <si>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</si>
  <si>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</si>
  <si>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</si>
  <si>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</si>
  <si>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</si>
  <si>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</si>
  <si>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</si>
  <si>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</si>
  <si>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</si>
  <si>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</si>
  <si>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</si>
  <si>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</si>
  <si>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</si>
  <si>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</si>
  <si>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</si>
  <si>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</si>
  <si>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</si>
  <si>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</si>
  <si>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</si>
  <si>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</si>
  <si>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</si>
  <si>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</si>
  <si>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</si>
  <si>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</si>
  <si>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</si>
  <si>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</si>
  <si>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</si>
  <si>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</si>
  <si>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</si>
  <si>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</si>
  <si>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</si>
  <si>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</si>
  <si>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</si>
  <si>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</si>
  <si>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</si>
  <si>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</si>
  <si>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</si>
  <si>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</si>
  <si>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</si>
  <si>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</si>
  <si>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Швеция/Франция/Австрия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</si>
  <si>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</si>
  <si>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</si>
  <si>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</si>
  <si>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</si>
  <si>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</si>
  <si>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</si>
  <si>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</si>
  <si>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</si>
  <si>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</si>
  <si>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</si>
  <si>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</si>
  <si>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</si>
  <si>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</si>
  <si>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</si>
  <si>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</si>
  <si>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</si>
  <si>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</si>
  <si>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</si>
  <si>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</si>
  <si>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</si>
  <si>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</si>
  <si>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</si>
  <si>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</si>
  <si>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</si>
  <si>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</si>
  <si>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</si>
  <si>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</si>
  <si>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</si>
  <si>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</si>
  <si>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</si>
  <si>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</si>
  <si>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</si>
  <si>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</si>
  <si>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</si>
  <si>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</si>
  <si>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</si>
  <si>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</si>
  <si>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</si>
  <si>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</si>
  <si>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</si>
  <si>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</si>
  <si>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</si>
  <si>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</si>
  <si>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</si>
  <si>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</si>
  <si>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</si>
  <si>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</si>
  <si>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</si>
  <si>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</si>
  <si>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</si>
  <si>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</si>
  <si>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</si>
  <si>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</si>
  <si>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</si>
  <si>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</si>
  <si>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</si>
  <si>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</si>
  <si>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</si>
  <si>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</si>
  <si>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</si>
  <si>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</si>
  <si>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</si>
  <si>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</si>
  <si>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</si>
  <si>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</si>
  <si>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</si>
  <si>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</si>
  <si>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</si>
  <si>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</si>
  <si>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</si>
  <si>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</si>
  <si>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</si>
  <si>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</si>
  <si>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</si>
  <si>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</si>
  <si>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</si>
  <si>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</si>
  <si>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</si>
  <si>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</si>
  <si>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</si>
  <si>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</si>
  <si>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</si>
  <si>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</si>
  <si>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</si>
  <si>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</si>
  <si>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</si>
  <si>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</si>
  <si>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</si>
  <si>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</si>
  <si>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</si>
  <si>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</si>
  <si>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</si>
  <si>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</si>
  <si>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</si>
  <si>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</si>
  <si>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</si>
  <si>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</si>
  <si>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</si>
  <si>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</si>
  <si>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</si>
  <si>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</si>
  <si>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</si>
  <si>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</si>
  <si>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</si>
  <si>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</si>
  <si>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</si>
  <si>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</si>
  <si>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</si>
  <si>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</si>
  <si>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</si>
  <si>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</si>
  <si>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</si>
  <si>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</si>
  <si>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</si>
  <si>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</si>
  <si>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</si>
  <si>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</si>
  <si>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</si>
  <si>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</si>
  <si>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</si>
  <si>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</si>
  <si>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</si>
  <si>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</si>
  <si>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</si>
  <si>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</si>
  <si>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</si>
  <si>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</si>
  <si>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</si>
  <si>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</si>
  <si>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</si>
  <si>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</si>
  <si>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</si>
  <si>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</si>
  <si>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</si>
  <si>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</si>
  <si>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</si>
  <si>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</si>
  <si>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</si>
  <si>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</si>
  <si>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</si>
  <si>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1970515020224000022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</si>
  <si>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</si>
  <si>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</si>
  <si>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</si>
  <si>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</si>
  <si>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</si>
  <si>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</si>
  <si>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</si>
  <si>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</si>
  <si>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</si>
  <si>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</si>
  <si>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</si>
  <si>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</si>
  <si>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</si>
  <si>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</si>
  <si>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</si>
  <si>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</si>
  <si>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1970515020224000023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</si>
  <si>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</si>
  <si>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</si>
  <si>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</si>
  <si>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</si>
  <si>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</si>
  <si>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</si>
  <si>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</si>
  <si>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</si>
  <si>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</si>
  <si>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</si>
  <si>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</si>
  <si>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</si>
  <si>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</si>
  <si>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</si>
  <si>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</si>
  <si>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</si>
  <si>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</si>
  <si>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</si>
  <si>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</si>
  <si>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</si>
  <si>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</si>
  <si>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</si>
  <si>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</si>
  <si>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</si>
  <si>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</si>
  <si>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</si>
  <si>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</si>
  <si>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</si>
  <si>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</si>
  <si>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</si>
  <si>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</si>
  <si>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</si>
  <si>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</si>
  <si>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</si>
  <si>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</si>
  <si>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</si>
  <si>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 xml:space="preserve">4 824 855,00	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</si>
  <si>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</si>
  <si>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</si>
  <si>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</si>
  <si>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</si>
  <si>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</si>
  <si>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</si>
  <si>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</si>
  <si>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</si>
  <si>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</si>
  <si>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</si>
  <si>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</si>
  <si>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</si>
  <si>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</si>
  <si>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</si>
  <si>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</si>
  <si>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</si>
  <si>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</si>
  <si>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</si>
  <si>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</si>
  <si>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</si>
  <si>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</si>
  <si>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</si>
  <si>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</si>
  <si>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</si>
  <si>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</si>
  <si>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</si>
  <si>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</si>
  <si>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</si>
  <si>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</si>
  <si>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</si>
  <si>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</si>
  <si>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</si>
  <si>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</si>
  <si>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</si>
  <si>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</si>
  <si>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1970515020224000018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</si>
  <si>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</si>
  <si>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</si>
  <si>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</si>
  <si>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</si>
  <si>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</si>
  <si>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</si>
  <si>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</si>
  <si>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</si>
  <si>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</si>
  <si>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</si>
  <si>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</si>
  <si>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</si>
  <si>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</si>
  <si>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</si>
  <si>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</si>
  <si>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</si>
  <si>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</si>
  <si>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</si>
  <si>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</si>
  <si>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</si>
  <si>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</si>
  <si>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1970515020224000016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</si>
  <si>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</si>
  <si>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</si>
  <si>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</si>
  <si>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</si>
  <si>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</si>
  <si>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</si>
  <si>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</si>
  <si>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</si>
  <si>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</si>
  <si>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</si>
  <si>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</si>
  <si>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</si>
  <si>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</si>
  <si>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</si>
  <si>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</si>
  <si>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</si>
  <si>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</si>
  <si>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</si>
  <si>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</si>
  <si>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</si>
  <si>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</si>
  <si>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</si>
  <si>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</si>
  <si>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</si>
  <si>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</si>
  <si>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</si>
  <si>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</si>
  <si>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</si>
  <si>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0873400003923000646</t>
  </si>
  <si>
    <t>1970515020224000032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</si>
  <si>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</si>
  <si>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</si>
  <si>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</si>
  <si>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</si>
  <si>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</si>
  <si>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</si>
  <si>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</si>
  <si>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1970515020224000031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</si>
  <si>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</si>
  <si>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</si>
  <si>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</si>
  <si>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</si>
  <si>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</si>
  <si>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</si>
  <si>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</si>
  <si>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1970515020224000019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</si>
  <si>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</si>
  <si>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</si>
  <si>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</si>
  <si>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</si>
  <si>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</si>
  <si>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</si>
  <si>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</si>
  <si>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</si>
  <si>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1970515020224000030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</si>
  <si>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</si>
  <si>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</si>
  <si>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</si>
  <si>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</si>
  <si>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</si>
  <si>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</si>
  <si>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1970515020224000035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</si>
  <si>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</si>
  <si>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</si>
  <si>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</si>
  <si>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</si>
  <si>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</si>
  <si>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</si>
  <si>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1970515020224000036</t>
  </si>
  <si>
    <t>https://zakupki.gov.ru/epz/order/notice/ea20/view/common-info.html?regNumber=0873400003923000657</t>
  </si>
  <si>
    <t>0873400003923000657-0001</t>
  </si>
  <si>
    <t>0873400003923000658</t>
  </si>
  <si>
    <t>1970515020224000029</t>
  </si>
  <si>
    <t>https://zakupki.gov.ru/epz/order/notice/ea20/view/common-info.html?regNumber=0873400003923000658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</si>
  <si>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</si>
  <si>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</si>
  <si>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</si>
  <si>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</si>
  <si>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</si>
  <si>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</si>
  <si>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</si>
  <si>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</si>
  <si>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0873400003923000663</t>
  </si>
  <si>
    <t>1970515020224000044</t>
  </si>
  <si>
    <t>https://zakupki.gov.ru/epz/order/notice/ea20/view/common-info.html?regNumber=0873400003923000663</t>
  </si>
  <si>
    <t>0873400003923000663-0001</t>
  </si>
  <si>
    <t>Эмицизумаб, раствор для подкожного 
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</si>
  <si>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</si>
  <si>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</si>
  <si>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</si>
  <si>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</si>
  <si>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</si>
  <si>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1970515020224000026</t>
  </si>
  <si>
    <t>https://zakupki.gov.ru/epz/order/notice/ea20/view/common-info.html?regNumber=0873400003923000665</t>
  </si>
  <si>
    <t>0873400003923000665-0001</t>
  </si>
  <si>
    <t>Велаглюцераза альфа, лиофилизат для 
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</si>
  <si>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</si>
  <si>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</si>
  <si>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</si>
  <si>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</si>
  <si>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</si>
  <si>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</si>
  <si>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</si>
  <si>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</si>
  <si>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1970515020224000021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</si>
  <si>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</si>
  <si>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</si>
  <si>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</si>
  <si>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</si>
  <si>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</si>
  <si>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</si>
  <si>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</si>
  <si>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1970515020224000025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</si>
  <si>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</si>
  <si>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</si>
  <si>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</si>
  <si>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</si>
  <si>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</si>
  <si>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</si>
  <si>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1970515020224000028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</si>
  <si>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</si>
  <si>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</si>
  <si>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</si>
  <si>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</si>
  <si>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</si>
  <si>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</si>
  <si>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</si>
  <si>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1970515020224000027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</si>
  <si>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</si>
  <si>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</si>
  <si>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</si>
  <si>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</si>
  <si>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</si>
  <si>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</si>
  <si>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</si>
  <si>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</si>
  <si>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1970515020224000034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</si>
  <si>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</si>
  <si>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</si>
  <si>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</si>
  <si>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</si>
  <si>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</si>
  <si>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</si>
  <si>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</si>
  <si>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</si>
  <si>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</si>
  <si>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</si>
  <si>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</si>
  <si>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</si>
  <si>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</si>
  <si>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</si>
  <si>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</si>
  <si>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</si>
  <si>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1970515020224000024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</si>
  <si>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</si>
  <si>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</si>
  <si>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</si>
  <si>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</si>
  <si>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</si>
  <si>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</si>
  <si>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</si>
  <si>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</si>
  <si>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</si>
  <si>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</si>
  <si>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</si>
  <si>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</si>
  <si>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</si>
  <si>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</si>
  <si>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</si>
  <si>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1970515020224000017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</si>
  <si>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</si>
  <si>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</si>
  <si>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</si>
  <si>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</si>
  <si>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</si>
  <si>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1970515020224000033</t>
  </si>
  <si>
    <t>https://zakupki.gov.ru/epz/order/notice/ea20/view/common-info.html?regNumber=0873400003923000676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</si>
  <si>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</si>
  <si>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</si>
  <si>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</si>
  <si>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</si>
  <si>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</si>
  <si>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</si>
  <si>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</si>
  <si>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</si>
  <si>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</si>
  <si>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</si>
  <si>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</si>
  <si>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1970515020224000020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</si>
  <si>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</si>
  <si>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</si>
  <si>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</si>
  <si>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</si>
  <si>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</si>
  <si>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1970515020224000065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</si>
  <si>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</si>
  <si>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</si>
  <si>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</si>
  <si>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</si>
  <si>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</si>
  <si>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</si>
  <si>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</si>
  <si>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</si>
  <si>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</si>
  <si>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1970515020224000048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</si>
  <si>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</si>
  <si>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</si>
  <si>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</si>
  <si>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</si>
  <si>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</si>
  <si>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</si>
  <si>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</si>
  <si>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</si>
  <si>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</si>
  <si>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1970515020224000061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</si>
  <si>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</si>
  <si>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</si>
  <si>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</si>
  <si>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</si>
  <si>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</si>
  <si>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</si>
  <si>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</si>
  <si>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</si>
  <si>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1970515020224000047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</si>
  <si>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</si>
  <si>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</si>
  <si>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</si>
  <si>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</si>
  <si>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</si>
  <si>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</si>
  <si>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</si>
  <si>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1970515020224000060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</si>
  <si>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</si>
  <si>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</si>
  <si>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</si>
  <si>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</si>
  <si>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</si>
  <si>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</si>
  <si>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</si>
  <si>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</si>
  <si>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</si>
  <si>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1970515020224000067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</si>
  <si>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</si>
  <si>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</si>
  <si>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</si>
  <si>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0873400003923000686</t>
  </si>
  <si>
    <t>1970515020224000056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</si>
  <si>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</si>
  <si>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</si>
  <si>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</si>
  <si>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</si>
  <si>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</si>
  <si>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</si>
  <si>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</si>
  <si>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</si>
  <si>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1970515020224000037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</si>
  <si>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</si>
  <si>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</si>
  <si>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</si>
  <si>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</si>
  <si>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</si>
  <si>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1970515020224000052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</si>
  <si>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</si>
  <si>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</si>
  <si>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</si>
  <si>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</si>
  <si>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</si>
  <si>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</si>
  <si>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</si>
  <si>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</si>
  <si>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</si>
  <si>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</si>
  <si>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1970515020224000039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</si>
  <si>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</si>
  <si>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</si>
  <si>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</si>
  <si>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</si>
  <si>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</si>
  <si>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</si>
  <si>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1970515020224000038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</si>
  <si>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</si>
  <si>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</si>
  <si>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</si>
  <si>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</si>
  <si>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</si>
  <si>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</si>
  <si>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</si>
  <si>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</si>
  <si>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</si>
  <si>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</si>
  <si>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</si>
  <si>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</si>
  <si>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</si>
  <si>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</si>
  <si>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1970515020224000049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</si>
  <si>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</si>
  <si>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</si>
  <si>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</si>
  <si>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</si>
  <si>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</si>
  <si>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1970515020224000046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</si>
  <si>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</si>
  <si>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</si>
  <si>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</si>
  <si>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</si>
  <si>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</si>
  <si>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</si>
  <si>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</si>
  <si>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</si>
  <si>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1970515020224000074</t>
  </si>
  <si>
    <t>https://zakupki.gov.ru/epz/order/notice/ea20/view/common-info.html?regNumber=0873400003923000696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</si>
  <si>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</si>
  <si>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</si>
  <si>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</si>
  <si>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</si>
  <si>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0873400003923000697</t>
  </si>
  <si>
    <t>1970515020224000064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</si>
  <si>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</si>
  <si>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</si>
  <si>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</si>
  <si>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</si>
  <si>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</si>
  <si>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</si>
  <si>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1970515020224000050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</si>
  <si>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</si>
  <si>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</si>
  <si>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</si>
  <si>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</si>
  <si>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</si>
  <si>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</si>
  <si>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</si>
  <si>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</si>
  <si>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</si>
  <si>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</si>
  <si>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1970515020224000068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</si>
  <si>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</si>
  <si>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</si>
  <si>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</si>
  <si>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0873400003923000701</t>
  </si>
  <si>
    <t>1970515020224000070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</si>
  <si>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</si>
  <si>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</si>
  <si>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</si>
  <si>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</si>
  <si>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</si>
  <si>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</si>
  <si>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</si>
  <si>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</si>
  <si>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</si>
  <si>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1970515020224000057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</si>
  <si>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</si>
  <si>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</si>
  <si>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</si>
  <si>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0873400003923000705</t>
  </si>
  <si>
    <t>1970515020224000058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</si>
  <si>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</si>
  <si>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</si>
  <si>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</si>
  <si>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</si>
  <si>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</si>
  <si>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1970515020224000051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</si>
  <si>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</si>
  <si>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</si>
  <si>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</si>
  <si>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</si>
  <si>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</si>
  <si>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</si>
  <si>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</si>
  <si>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1970515020224000069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</si>
  <si>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</si>
  <si>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</si>
  <si>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</si>
  <si>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</si>
  <si>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</si>
  <si>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</si>
  <si>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</si>
  <si>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</si>
  <si>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</si>
  <si>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</si>
  <si>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1970515020224000053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</si>
  <si>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</si>
  <si>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</si>
  <si>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</si>
  <si>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</si>
  <si>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</si>
  <si>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</si>
  <si>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</si>
  <si>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1970515020224000066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</si>
  <si>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</si>
  <si>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</si>
  <si>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</si>
  <si>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</si>
  <si>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</si>
  <si>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</si>
  <si>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</si>
  <si>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1970515020224000043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</si>
  <si>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</si>
  <si>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</si>
  <si>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</si>
  <si>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</si>
  <si>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</si>
  <si>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</si>
  <si>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</si>
  <si>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1970515020224000054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</si>
  <si>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</si>
  <si>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</si>
  <si>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</si>
  <si>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</si>
  <si>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</si>
  <si>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</si>
  <si>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1970515020224000076</t>
  </si>
  <si>
    <t>https://zakupki.gov.ru/epz/order/notice/ea20/view/common-info.html?regNumber=0873400003923000715</t>
  </si>
  <si>
    <t>0873400003923000715-0001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</si>
  <si>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</si>
  <si>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</si>
  <si>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</si>
  <si>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</si>
  <si>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0873400003923000717</t>
  </si>
  <si>
    <t>1970515020224000077</t>
  </si>
  <si>
    <t>https://zakupki.gov.ru/epz/order/notice/ea20/view/common-info.html?regNumber=0873400003923000717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</si>
  <si>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</si>
  <si>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</si>
  <si>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</si>
  <si>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</si>
  <si>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</si>
  <si>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</si>
  <si>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0873400003923000721</t>
  </si>
  <si>
    <t>1970515020224000040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</si>
  <si>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</si>
  <si>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</si>
  <si>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</si>
  <si>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</si>
  <si>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</si>
  <si>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</si>
  <si>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</si>
  <si>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</si>
  <si>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1970515020224000072</t>
  </si>
  <si>
    <t>https://zakupki.gov.ru/epz/order/notice/ea20/view/common-info.html?regNumber=0873400003923000722</t>
  </si>
  <si>
    <t>0873400003923000722-0001</t>
  </si>
  <si>
    <t>Эверолимус, таблетки, 0,5 мг</t>
  </si>
  <si>
    <t>таблетки 0.5 мг (банка) 60 х 1 (пачка картонная)</t>
  </si>
  <si>
    <t>0873400003923000723</t>
  </si>
  <si>
    <t>1970515020224000041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</si>
  <si>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</si>
  <si>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</si>
  <si>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</si>
  <si>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</si>
  <si>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</si>
  <si>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</si>
  <si>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1970515020224000071</t>
  </si>
  <si>
    <t>https://zakupki.gov.ru/epz/order/notice/ea20/view/common-info.html?regNumber=0873400003923000724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</si>
  <si>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</si>
  <si>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</si>
  <si>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</si>
  <si>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</si>
  <si>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</si>
  <si>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0873400003923000725</t>
  </si>
  <si>
    <t>1970515020224000045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</si>
  <si>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</si>
  <si>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</si>
  <si>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</si>
  <si>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</si>
  <si>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</si>
  <si>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</si>
  <si>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1970515020224000042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</si>
  <si>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</si>
  <si>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</si>
  <si>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</si>
  <si>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</si>
  <si>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</si>
  <si>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</si>
  <si>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</si>
  <si>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</si>
  <si>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</si>
  <si>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0873400003923000728</t>
  </si>
  <si>
    <t>1970515020224000075</t>
  </si>
  <si>
    <t>https://zakupki.gov.ru/epz/order/notice/ea20/view/common-info.html?regNumber=0873400003923000728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</si>
  <si>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</si>
  <si>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</si>
  <si>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</si>
  <si>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</si>
  <si>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</si>
  <si>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0873400003923000729</t>
  </si>
  <si>
    <t>1970515020224000059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</si>
  <si>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</si>
  <si>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</si>
  <si>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</si>
  <si>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</si>
  <si>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</si>
  <si>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</si>
  <si>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</si>
  <si>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1970515020224000055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</si>
  <si>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</si>
  <si>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</si>
  <si>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</si>
  <si>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</si>
  <si>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</si>
  <si>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1970515020224000063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</si>
  <si>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</si>
  <si>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</si>
  <si>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</si>
  <si>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</si>
  <si>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</si>
  <si>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</si>
  <si>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</si>
  <si>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</si>
  <si>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</si>
  <si>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</si>
  <si>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</si>
  <si>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</si>
  <si>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</si>
  <si>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</si>
  <si>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</si>
  <si>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</si>
  <si>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</si>
  <si>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</si>
  <si>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</si>
  <si>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</si>
  <si>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</si>
  <si>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</si>
  <si>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</si>
  <si>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</si>
  <si>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</si>
  <si>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</si>
  <si>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</si>
  <si>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</si>
  <si>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</si>
  <si>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</si>
  <si>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</si>
  <si>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</si>
  <si>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</si>
  <si>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</si>
  <si>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1970515020224000073</t>
  </si>
  <si>
    <t>https://zakupki.gov.ru/epz/order/notice/ea20/view/common-info.html?regNumber=0873400003923000741</t>
  </si>
  <si>
    <t>0873400003923000741-0001</t>
  </si>
  <si>
    <t>Эверолимус, таблетки, 0,75 мг</t>
  </si>
  <si>
    <t>таблетки 0.75 мг (банка) 60 х 1 (пачка картонная)</t>
  </si>
  <si>
    <t>0873400003923000742</t>
  </si>
  <si>
    <t>1970515020224000062</t>
  </si>
  <si>
    <t>https://zakupki.gov.ru/epz/order/notice/ea20/view/common-info.html?regNumber=0873400003923000742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</si>
  <si>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</si>
  <si>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</si>
  <si>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</si>
  <si>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</si>
  <si>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0873400003924000001</t>
  </si>
  <si>
    <t>https://zakupki.gov.ru/epz/order/notice/ea20/view/common-info.html?regNumber=0873400003924000001</t>
  </si>
  <si>
    <t>Ламивудин, таблетки, покрытые пленочной 
оболочкой, 300 мг</t>
  </si>
  <si>
    <t>0873400003924000002</t>
  </si>
  <si>
    <t>1970515020224000078</t>
  </si>
  <si>
    <t>https://zakupki.gov.ru/epz/order/notice/ea20/view/common-info.html?regNumber=0873400003924000002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</si>
  <si>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</si>
  <si>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</si>
  <si>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</si>
  <si>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</si>
  <si>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</si>
  <si>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0873400003924000003</t>
  </si>
  <si>
    <t>1970515020224000080</t>
  </si>
  <si>
    <t>https://zakupki.gov.ru/epz/order/notice/ea20/view/common-info.html?regNumber=0873400003924000003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</si>
  <si>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</si>
  <si>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</si>
  <si>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</si>
  <si>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</si>
  <si>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</si>
  <si>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0873400003924000004</t>
  </si>
  <si>
    <t>https://zakupki.gov.ru/epz/order/notice/ea20/view/common-info.html?regNumber=0873400003924000004</t>
  </si>
  <si>
    <t>Тенофовир, таблетки, покрытые пленочной 
оболочкой, 300 мг и/или 245 мг</t>
  </si>
  <si>
    <t>0873400003924000005</t>
  </si>
  <si>
    <t>1970515020224000081</t>
  </si>
  <si>
    <t>https://zakupki.gov.ru/epz/order/notice/ea20/view/common-info.html?regNumber=0873400003924000005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</si>
  <si>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</si>
  <si>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</si>
  <si>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</si>
  <si>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</si>
  <si>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</si>
  <si>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0873400003924000006</t>
  </si>
  <si>
    <t>1970515020224000079</t>
  </si>
  <si>
    <t>https://zakupki.gov.ru/epz/order/notice/ea20/view/common-info.html?regNumber=0873400003924000006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</si>
  <si>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</si>
  <si>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</si>
  <si>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</si>
  <si>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</si>
  <si>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</si>
  <si>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0873400003924000007</t>
  </si>
  <si>
    <t>1970515020224000097</t>
  </si>
  <si>
    <t>https://zakupki.gov.ru/epz/order/notice/ea20/view/common-info.html?regNumber=0873400003924000007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</si>
  <si>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</si>
  <si>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</si>
  <si>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</si>
  <si>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0873400003924000008</t>
  </si>
  <si>
    <t>1970515020224000136</t>
  </si>
  <si>
    <t>https://zakupki.gov.ru/epz/order/notice/ea20/view/common-info.html?regNumber=0873400003924000008</t>
  </si>
  <si>
    <t>0873400003924000008-0001</t>
  </si>
  <si>
    <t>Этравирин, таблетки, 200 мг</t>
  </si>
  <si>
    <t>1. Равэртир;
2. Этравирин ПСК.</t>
  </si>
  <si>
    <t>1. таблетки, 200 мг (банка) 60 х 1 (пачка картонная);
2. таблетки, 200 мг (банка) 60 х 1 (пачка картонная).</t>
  </si>
  <si>
    <t>1.  ЛП-№(002143)-(РГ-RU)
2.  ЛП-№(001452)-(РГ-RU)</t>
  </si>
  <si>
    <t>0873400003924000009</t>
  </si>
  <si>
    <t>https://zakupki.gov.ru/epz/order/notice/ea20/view/common-info.html?regNumber=0873400003924000009</t>
  </si>
  <si>
    <t>Атазанавир, капсулы, 300 мг</t>
  </si>
  <si>
    <t>0873400003924000010</t>
  </si>
  <si>
    <t>1970515020224000096</t>
  </si>
  <si>
    <t>https://zakupki.gov.ru/epz/order/notice/ea20/view/common-info.html?regNumber=0873400003924000010</t>
  </si>
  <si>
    <t>0873400003924000010-0001</t>
  </si>
  <si>
    <t>Абакавир+Ламивудин, таблетки, покрытые 
пленочной оболочкой, 600 мг + 300 мг</t>
  </si>
  <si>
    <t>1. Алагет;
2. Лавудин-АБ;
3. Абакавир+Ламивудин.</t>
  </si>
  <si>
    <t>1. таблетки, покрытые пленочной оболочкой, 600 мг + 300 мг (контурная ячейковая упаковка) 10 х 3 (пачка картонная);
2. таблетки, покрытые пленочной оболочкой, 600 мг + 300 мг (банка) 30 х 1 (пачка картонная);
3. таблетки, покрытые пленочной оболочкой, 600 мг + 300 мг (банка) 50 х 1 (пачка картонная).</t>
  </si>
  <si>
    <t>1. ЛП-№(000844)-(РГ-RU);
2. ЛП-004064;
3. ЛП-004209.</t>
  </si>
  <si>
    <t>1.30;
2.30;
3.50;</t>
  </si>
  <si>
    <t>0873400003924000011</t>
  </si>
  <si>
    <t>1970515020224000083</t>
  </si>
  <si>
    <t>https://zakupki.gov.ru/epz/order/notice/ea20/view/common-info.html?regNumber=0873400003924000011</t>
  </si>
  <si>
    <t>0873400003924000011-0001</t>
  </si>
  <si>
    <t>Тенофовир, таблетки, покрытые пленочной 
оболочкой, 150 мг и/или 122,5 мг</t>
  </si>
  <si>
    <t>Вирфотен</t>
  </si>
  <si>
    <t>таблетки, покрытые пленочной оболочкой, 150 мг (контурная ячейковая упаковка) 10 х 6 (пачка картонная)</t>
  </si>
  <si>
    <t>ЛП-002419</t>
  </si>
  <si>
    <t>0873400003924000012</t>
  </si>
  <si>
    <t>https://zakupki.gov.ru/epz/order/notice/ea20/view/common-info.html?regNumber=0873400003924000012</t>
  </si>
  <si>
    <t>Дарунавир, таблетки, покрытые пленочной 
оболочкой, 600 мг</t>
  </si>
  <si>
    <t>0873400003924000013</t>
  </si>
  <si>
    <t>1970515020224000084</t>
  </si>
  <si>
    <t>https://zakupki.gov.ru/epz/order/notice/ea20/view/common-info.html?regNumber=0873400003924000013</t>
  </si>
  <si>
    <t>0873400003924000013-0001</t>
  </si>
  <si>
    <t>Маравирок, таблетки, покрытые пленочной 
оболочкой, 300 мг</t>
  </si>
  <si>
    <t>таблетки, покрытые пленочной оболочкой, 300 мг (блистер) 10 х 6 (пачка картонная)</t>
  </si>
  <si>
    <t>0873400003924000014</t>
  </si>
  <si>
    <t>https://zakupki.gov.ru/epz/order/notice/ea20/view/common-info.html?regNumber=0873400003924000014</t>
  </si>
  <si>
    <t>0873400003924000015</t>
  </si>
  <si>
    <t>https://zakupki.gov.ru/epz/order/notice/ea20/view/common-info.html?regNumber=0873400003924000015</t>
  </si>
  <si>
    <t>Эфавиренз, таблетки, покрытые пленочной 
оболочкой 600 мг</t>
  </si>
  <si>
    <t>0873400003924000016</t>
  </si>
  <si>
    <t>1970515020224000126</t>
  </si>
  <si>
    <t>https://zakupki.gov.ru/epz/order/notice/ea20/view/common-info.html?regNumber=0873400003924000016</t>
  </si>
  <si>
    <t>0873400003924000016_358372</t>
  </si>
  <si>
    <t>0873400003924000017</t>
  </si>
  <si>
    <t>1970515020224000113</t>
  </si>
  <si>
    <t>https://zakupki.gov.ru/epz/order/notice/ea20/view/common-info.html?regNumber=0873400003924000017</t>
  </si>
  <si>
    <t>0873400003924000017_358372</t>
  </si>
  <si>
    <t>0873400003924000018</t>
  </si>
  <si>
    <t>1970515020224000095</t>
  </si>
  <si>
    <t>https://zakupki.gov.ru/epz/order/notice/ea20/view/common-info.html?regNumber=0873400003924000018</t>
  </si>
  <si>
    <t>0873400003924000018_358372</t>
  </si>
  <si>
    <t>Рисдиплам, порошок для приготовления 
раствора для приема внутрь 0,75 мг/мл</t>
  </si>
  <si>
    <t>ЭВРИСДИ®</t>
  </si>
  <si>
    <t>[порошок для приготовления раствора для приема внутрь, 0.75 мг/мл (флакон) 2 г х 1 + адаптер х 1 + шприц 1 мл х 2 + шприц 6 мл х 2 + шприц 12 мл х 1] х 1 (пачка картонная)</t>
  </si>
  <si>
    <t>ЛП-006602</t>
  </si>
  <si>
    <t>0873400003924000019</t>
  </si>
  <si>
    <t>1970515020224000094</t>
  </si>
  <si>
    <t>https://zakupki.gov.ru/epz/order/notice/ea20/view/common-info.html?regNumber=0873400003924000019</t>
  </si>
  <si>
    <t>0873400003924000019-0001</t>
  </si>
  <si>
    <t>Лопинавир+Ритонавир, таблетки, покрытые 
пленочной оболочкой, 100 мг + 25 мг</t>
  </si>
  <si>
    <t>Калетра®</t>
  </si>
  <si>
    <t>таблетки, покрытые пленочной оболочкой, 100 мг + 25 мг (флакон) 60 х 1 (пачка картонная)</t>
  </si>
  <si>
    <t>ЛП-000116</t>
  </si>
  <si>
    <t>0873400003924000020</t>
  </si>
  <si>
    <t>1970515020224000133</t>
  </si>
  <si>
    <t>https://zakupki.gov.ru/epz/order/notice/ea20/view/common-info.html?regNumber=0873400003924000020</t>
  </si>
  <si>
    <t>0873400003924000020-0001</t>
  </si>
  <si>
    <t>Лопинавир+Ритонавир, таблетки, покрытые 
пленочной оболочкой, 200 мг + 50 мг</t>
  </si>
  <si>
    <t>1. Лопинавир+ Ритонавир-АМЕДАРТ;
2. ЛОПИРИТА®;
3. Калидавир®.</t>
  </si>
  <si>
    <t>1.	таблетки, покрытые пленочной оболочкой, 200 мг + 50 мг (банка) 120 х 1 (пачка картонная);
2.	таблетки, покрытые пленочной оболочкой, 200 мг + 50 мг (контурная ячейковая упаковка) 10 х 12 (пачка картонная);
3.таблетки, покрытые пленочной оболочкой, 200 мг + 50 мг (банка) 120 х 1 (пачка картонная).</t>
  </si>
  <si>
    <t>1. ЛП-№(003211)-(РГ-RU);
2. ЛП-005042;
3. ЛП-№(000748)-(РГ-RU).</t>
  </si>
  <si>
    <t>0873400003924000021</t>
  </si>
  <si>
    <t>https://zakupki.gov.ru/epz/order/notice/ea20/view/common-info.html?regNumber=0873400003924000021</t>
  </si>
  <si>
    <t>Фосампренавир, таблетки, покрытые 
пленочной оболочкой, 700 мг</t>
  </si>
  <si>
    <t>0873400003924000022</t>
  </si>
  <si>
    <t>1970515020224000091</t>
  </si>
  <si>
    <t>https://zakupki.gov.ru/epz/order/notice/ea20/view/common-info.html?regNumber=0873400003924000022</t>
  </si>
  <si>
    <t>0873400003924000022-0001</t>
  </si>
  <si>
    <t>ООО "ОМЕГА"</t>
  </si>
  <si>
    <t xml:space="preserve">Фосфазид, таблетки и/или таблетки, 
покрытые пленочной оболочкой, 200 мг </t>
  </si>
  <si>
    <t>Никавир®</t>
  </si>
  <si>
    <t>таблетки, 200 мг (контурная ячейковая упаковка (блистер)) 10 х 2 (пачка картонная)</t>
  </si>
  <si>
    <t>Р N003864/01</t>
  </si>
  <si>
    <t>0873400003924000023</t>
  </si>
  <si>
    <t>1970515020224000085</t>
  </si>
  <si>
    <t>https://zakupki.gov.ru/epz/order/notice/ea20/view/common-info.html?regNumber=0873400003924000023</t>
  </si>
  <si>
    <t>0873400003924000023-0001</t>
  </si>
  <si>
    <t>Абакавир, таблетки покрытые пленочной 
оболочкой, 150 мг</t>
  </si>
  <si>
    <t>Олитид</t>
  </si>
  <si>
    <t>таблетки, покрытые пленочной оболочкой, 150 мг (банка) 60 х 1 (пачка картонная)</t>
  </si>
  <si>
    <t>ЛП-№(000211)-(РГ-RU)</t>
  </si>
  <si>
    <t>0873400003924000024</t>
  </si>
  <si>
    <t>1970515020224000119</t>
  </si>
  <si>
    <t>https://zakupki.gov.ru/epz/order/notice/ea20/view/common-info.html?regNumber=0873400003924000024</t>
  </si>
  <si>
    <t>0873400003924000024-0001</t>
  </si>
  <si>
    <t>ООО "ФармМентал групп"</t>
  </si>
  <si>
    <t>Фосфазид, таблетки и/или таблетки, 
покрытые пленочной оболочкой, 400 мг</t>
  </si>
  <si>
    <t>Фосфазид</t>
  </si>
  <si>
    <t>таблетки 400 мг (банка) 20 х 1 (пачка картонная)</t>
  </si>
  <si>
    <t>ЛП-006903</t>
  </si>
  <si>
    <t>0873400003924000025</t>
  </si>
  <si>
    <t>https://zakupki.gov.ru/epz/order/notice/ea20/view/common-info.html?regNumber=0873400003924000025</t>
  </si>
  <si>
    <t>Ламивудин, таблетки, покрытые пленочной 
оболочкой, 150 мг</t>
  </si>
  <si>
    <t>0873400003924000026</t>
  </si>
  <si>
    <t>https://zakupki.gov.ru/epz/order/notice/ea20/view/common-info.html?regNumber=0873400003924000026</t>
  </si>
  <si>
    <t>Дарунавир, таблетки, покрытые пленочной 
оболочкой, 800 мг</t>
  </si>
  <si>
    <t>0873400003924000027</t>
  </si>
  <si>
    <t>https://zakupki.gov.ru/epz/order/notice/ea20/view/common-info.html?regNumber=0873400003924000027</t>
  </si>
  <si>
    <t>Ритонавир, капсулы и/или таблетки, 
покрытые пленочной оболочкой, 100 мг</t>
  </si>
  <si>
    <t>0873400003924000028</t>
  </si>
  <si>
    <t>https://zakupki.gov.ru/epz/order/notice/ea20/view/common-info.html?regNumber=0873400003924000028</t>
  </si>
  <si>
    <t>Абакавир, раствор для приема внутрь, 20 
мг/мл</t>
  </si>
  <si>
    <t>0873400003924000029</t>
  </si>
  <si>
    <t>1970515020224000086</t>
  </si>
  <si>
    <t>https://zakupki.gov.ru/epz/order/notice/ea20/view/common-info.html?regNumber=0873400003924000029</t>
  </si>
  <si>
    <t>0873400003924000029-0001</t>
  </si>
  <si>
    <t>Дарунавир, таблетки, покрытые пленочной 
оболочкой, 400 мг</t>
  </si>
  <si>
    <t>Дарунавир</t>
  </si>
  <si>
    <t>таблетки, покрытые пленочной оболочкой, 
400 мг (контурная ячейковая упаковка) 10 х 6 (пачка картонная)</t>
  </si>
  <si>
    <t>ЛП-007612</t>
  </si>
  <si>
    <t>0873400003924000030</t>
  </si>
  <si>
    <t>1970515020224000087</t>
  </si>
  <si>
    <t>https://zakupki.gov.ru/epz/order/notice/ea20/view/common-info.html?regNumber=087340000392400030</t>
  </si>
  <si>
    <t>0873400003924000030-0001</t>
  </si>
  <si>
    <t>Лопинавир+Ритонавир, раствор для приема 
внутрь, 80 мг/мл + 20 мг/мл</t>
  </si>
  <si>
    <t>Лопинавир+Ритонавир</t>
  </si>
  <si>
    <t>[раствор для приема внутрь, 80 мг/мл + 20 мг/мл (флакон) 60 мл х 5 + (шприц дозирующий) х 5] х 1(пачка картонная)</t>
  </si>
  <si>
    <t>ЛП-005700</t>
  </si>
  <si>
    <t>0873400003924000031</t>
  </si>
  <si>
    <t>1970515020224000093</t>
  </si>
  <si>
    <t>https://zakupki.gov.ru/epz/order/notice/ea20/view/common-info.html?regNumber=0873400003924000031</t>
  </si>
  <si>
    <t>0873400003924000031-0001</t>
  </si>
  <si>
    <t>Саквинавир, таблетки, покрытые пленочной 
оболочкой, 500 мг</t>
  </si>
  <si>
    <t>Интерфаст</t>
  </si>
  <si>
    <t>таблетки, покрытые пленочной оболочкой, 500 мг (банка) 120 х 1 (пачка картонная)</t>
  </si>
  <si>
    <t>ЛП-002435</t>
  </si>
  <si>
    <t>0873400003924000032</t>
  </si>
  <si>
    <t>1970515020224000092</t>
  </si>
  <si>
    <t>https://zakupki.gov.ru/epz/order/notice/ea20/view/common-info.html?regNumber=0873400003924000032</t>
  </si>
  <si>
    <t>0873400003924000032-0001</t>
  </si>
  <si>
    <t>Абакавир, таблетки покрытые пленочной 
оболочкой, 300 мг</t>
  </si>
  <si>
    <t>таблетки, покрытые пленочной оболочкой, 300 мг (банка) 60 х 1 (пачка картонная)</t>
  </si>
  <si>
    <t>0873400003924000033</t>
  </si>
  <si>
    <t>1970515020224000088</t>
  </si>
  <si>
    <t>https://zakupki.gov.ru/epz/order/notice/ea20/view/common-info.html?regNumber=0873400003924000033</t>
  </si>
  <si>
    <t>0873400003924000033-0001</t>
  </si>
  <si>
    <t>Невирапин, таблетки и/или таблетки, 
покрытые пленочной оболочкой, 200 мг</t>
  </si>
  <si>
    <t>Невирпин®</t>
  </si>
  <si>
    <t>таблетки, покрытые пленочной оболочкой, 200 мг (контурная ячейковая упаковка) 10 х 6 (пачка картонная)</t>
  </si>
  <si>
    <t>ЛП-№(001585)-(РГ-RU)</t>
  </si>
  <si>
    <t>0873400003924000034</t>
  </si>
  <si>
    <t>https://zakupki.gov.ru/epz/order/notice/ea20/view/common-info.html?regNumber=0873400003924000034</t>
  </si>
  <si>
    <t>Абакавир, таблетки покрытые пленочной 
оболочкой, 600 мг</t>
  </si>
  <si>
    <t>0873400003924000035</t>
  </si>
  <si>
    <t>1970515020224000089</t>
  </si>
  <si>
    <t>https://zakupki.gov.ru/epz/order/notice/ea20/view/common-info.html?regNumber=0873400003924000035</t>
  </si>
  <si>
    <t>0873400003924000035-0001</t>
  </si>
  <si>
    <t>Эфавиренз, таблетки, покрытые пленочной 
оболочкой 100 мг</t>
  </si>
  <si>
    <t>0873400003924000036</t>
  </si>
  <si>
    <t>1970515020224000090</t>
  </si>
  <si>
    <t>https://zakupki.gov.ru/epz/order/notice/ea20/view/common-info.html?regNumber=0873400003924000036</t>
  </si>
  <si>
    <t>0873400003924000036-0001</t>
  </si>
  <si>
    <t>Невирапин, суспензия для приема внутрь, 10 
мг/мл</t>
  </si>
  <si>
    <t>Вирамун®</t>
  </si>
  <si>
    <t>[суспензия для приема внутрь, 50 мг/5 мл (флакон) 240 мл х 1 + (шприц мерный) х 1 + (крышка) х 1] х 1 (пачка картонная)</t>
  </si>
  <si>
    <t>П N011661/01</t>
  </si>
  <si>
    <t>0873400003924000037</t>
  </si>
  <si>
    <t>1970515020224000100</t>
  </si>
  <si>
    <t>https://zakupki.gov.ru/epz/order/notice/ea20/view/common-info.html?regNumber=0873400003924000037</t>
  </si>
  <si>
    <t>0873400003924000037-0001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</si>
  <si>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</si>
  <si>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1. Вакцина гепатита В рекомбинантная дрожжевая;
2. 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</si>
  <si>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</t>
  </si>
  <si>
    <t>1. Р N000738/01;
2. ЛП-№(000539)-(РГ-RU).</t>
  </si>
  <si>
    <t>0873400003924000038</t>
  </si>
  <si>
    <t>1970515020224000098</t>
  </si>
  <si>
    <t>https://zakupki.gov.ru/epz/order/notice/ea20/view/common-info.html?regNumber=0873400003924000038</t>
  </si>
  <si>
    <t>0873400003924000038-0001</t>
  </si>
  <si>
    <t>Вакцина для профилактики вирусного гепатита В (для детского населения), суспензия для внутримышечного введения, 0,02 мг/мл</t>
  </si>
  <si>
    <t>0873400003924000039</t>
  </si>
  <si>
    <t>1970515020224000099</t>
  </si>
  <si>
    <t>https://zakupki.gov.ru/epz/order/notice/ea20/view/common-info.html?regNumber=0873400003924000039</t>
  </si>
  <si>
    <t>0873400003924000039-0001</t>
  </si>
  <si>
    <t>Вакцина для профилактики вирусного гепатита В (для взрослого населения), суспензия для 
внутримышечного введения, 0,02 мг/мл</t>
  </si>
  <si>
    <t>1. суспензия для внутримышечного введения, 1 мл (ампула) 1 мл х 10 (пачка картонная);
2. суспензия для внутримышечного введения, 20 мкг/мл (ампула) 1 мл х 10 (пачка картонная).</t>
  </si>
  <si>
    <t>0873400003924000040</t>
  </si>
  <si>
    <t>https://zakupki.gov.ru/epz/order/notice/ea20/view/common-info.html?regNumber=0873400003924000040</t>
  </si>
  <si>
    <t>Зидовудин, раствор для инфузий, 10 мг/мл</t>
  </si>
  <si>
    <t>0873400003924000041</t>
  </si>
  <si>
    <t>1970515020224000107</t>
  </si>
  <si>
    <t>https://zakupki.gov.ru/epz/order/notice/ea20/view/common-info.html?regNumber=0873400003924000041</t>
  </si>
  <si>
    <t>0873400003924000041-0001</t>
  </si>
  <si>
    <t>АО "Нацимбио"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</si>
  <si>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</si>
  <si>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1. Вакцина туберкулезная для щадящей первичной иммунизации (БЦЖ-М);
2. Вакцина туберкулезная для щадящей первичной иммунизации (БЦЖ-М).</t>
  </si>
  <si>
    <t>1. ЛС-001143;
2. Р N001972/01.</t>
  </si>
  <si>
    <t>0873400003924000042</t>
  </si>
  <si>
    <t>1970515020224000109</t>
  </si>
  <si>
    <t>https://zakupki.gov.ru/epz/order/notice/ea20/view/common-info.html?regNumber=0873400003924000042</t>
  </si>
  <si>
    <t>0873400003924000042-0001</t>
  </si>
  <si>
    <t>Вакцина против краснухи культуральная живая</t>
  </si>
  <si>
    <t>лиофилизат для приготовления раствора для подкожного введения, 0.5 мл/доза (ампула) 1 доза х 10 (пачка картонная)</t>
  </si>
  <si>
    <t>ЛП-№(001165)-(РГ-RU)</t>
  </si>
  <si>
    <t>0873400003924000043</t>
  </si>
  <si>
    <t>1970515020224000106</t>
  </si>
  <si>
    <t>https://zakupki.gov.ru/epz/order/notice/ea20/view/common-info.html?regNumber=0873400003924000043</t>
  </si>
  <si>
    <t>0873400003924000043-0001</t>
  </si>
  <si>
    <t>1. Вакцина туберкулезная (БЦЖ);
2. Вакцина туберкулезная (БЦЖ).</t>
  </si>
  <si>
    <t>1. [лиофилизат для приготовления суспензии для внутрикожного введения, 0.05 мг/доза (ампула) 10 доз х 1+ растворитель: натрия хлорид растворитель для приготовления лекарственных форм для инъекций 0.9 % (ампула) 1 мл х 1] х 5 (пачка картонная);
2. [лиофилизат для приготовления суспензии для внутрикожного введения, 0.05 мг/доза (ампула) 0.5 мг (10 доз) х 5 + растворитель (ампула) 1 мл х 5] х 1 (пачка картонная).</t>
  </si>
  <si>
    <t>1. ЛС-000574;
2. P N001969/01.</t>
  </si>
  <si>
    <t>0873400003924000044</t>
  </si>
  <si>
    <t>1970515020224000104</t>
  </si>
  <si>
    <t>https://zakupki.gov.ru/epz/order/notice/ea20/view/common-info.html?regNumber=0873400003924000044</t>
  </si>
  <si>
    <t>0873400003924000044-0001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</si>
  <si>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</si>
  <si>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Анатоксин дифтерийный очищенный адсорбированный с уменьшенным содержанием антигена жидкий (АД-М-анатоксин)</t>
  </si>
  <si>
    <t>суспензия для внутримышечного и подкожного введения, анатоксин с тиомерсалом (ампула) 1 мл х 10 (коробка картонная)</t>
  </si>
  <si>
    <t>ЛС-000284</t>
  </si>
  <si>
    <t>0873400003924000045</t>
  </si>
  <si>
    <t>1970515020224000111</t>
  </si>
  <si>
    <t>https://zakupki.gov.ru/epz/order/notice/ea20/view/common-info.html?regNumber=0873400003924000045</t>
  </si>
  <si>
    <t>0873400003924000045-0001</t>
  </si>
  <si>
    <t>Вакцина паротитно-коревая культуральная живая</t>
  </si>
  <si>
    <t>лиофилизат для приготовления раствора для подкожного введения (ампула) 1 доза х 10 (пачка картонная)</t>
  </si>
  <si>
    <t>ЛП-№(001181)-(РГ-RU)</t>
  </si>
  <si>
    <t>0873400003924000046</t>
  </si>
  <si>
    <t>1970515020224000112</t>
  </si>
  <si>
    <t>https://zakupki.gov.ru/epz/order/notice/ea20/view/common-info.html?regNumber=0873400003924000046</t>
  </si>
  <si>
    <t>0873400003924000046-0001</t>
  </si>
  <si>
    <t>Вакцина коклюшно-дифтерийно-столбнячная адсорбированная (АКДС-вакцина)</t>
  </si>
  <si>
    <t>суспензия для внутримышечного введения 0.5 мл/ доза (с консервантом) (ампула) 1 мл х 10 (коробка картонная)</t>
  </si>
  <si>
    <t>ЛС-000659</t>
  </si>
  <si>
    <t>0873400003924000047</t>
  </si>
  <si>
    <t>1970515020224000118</t>
  </si>
  <si>
    <t>https://zakupki.gov.ru/epz/order/notice/ea20/view/common-info.html?regNumber=0873400003924000047</t>
  </si>
  <si>
    <t>0873400003924000047-0001</t>
  </si>
  <si>
    <t>ООО "ЭПИДБИОМЕД-ИМПЭКС"</t>
  </si>
  <si>
    <t>Вакцина для профилактики полиомиелита (пероральная), раствор для приема внутрь</t>
  </si>
  <si>
    <t>БиВак полио (Вакцина полиомиелитная пероральная, двухвалентная, живая аттенуированная 1, 3 типов)</t>
  </si>
  <si>
    <t>раствор для приема внутрь 0.2 мл/доза (флакон) 2 мл (10 доз) х 10 (пачка картонная)</t>
  </si>
  <si>
    <t>ЛП-003511</t>
  </si>
  <si>
    <t>0873400003924000048</t>
  </si>
  <si>
    <t>1970515020224000110</t>
  </si>
  <si>
    <t>https://zakupki.gov.ru/epz/order/notice/ea20/view/common-info.html?regNumber=0873400003924000048</t>
  </si>
  <si>
    <t>0873400003924000048-0001</t>
  </si>
  <si>
    <t>Доравирин, таблетки, покрытые пленочной 
оболочкой, 100 мг</t>
  </si>
  <si>
    <t>Пивелтра</t>
  </si>
  <si>
    <t>таблетки, покрытые пленочной оболочкой, 100 мг (флакон) 30 х 1 (пачка картонная)</t>
  </si>
  <si>
    <t>ЛП-005570</t>
  </si>
  <si>
    <t>0873400003924000049</t>
  </si>
  <si>
    <t>1970515020224000121</t>
  </si>
  <si>
    <t>https://zakupki.gov.ru/epz/order/notice/ea20/view/common-info.html?regNumber=0873400003924000049</t>
  </si>
  <si>
    <t>0873400003924000049-0001</t>
  </si>
  <si>
    <t>Анатоксин столбнячный очищенный адсорбированный жидкий (АС-анатоксин)</t>
  </si>
  <si>
    <t>суспензия для подкожного введения, анатоксин с тиомерсалом (ампула) 1 мл х 10 (коробка картонная)</t>
  </si>
  <si>
    <t>ЛС-000434</t>
  </si>
  <si>
    <t>0873400003924000050</t>
  </si>
  <si>
    <t>https://zakupki.gov.ru/epz/order/notice/ea20/view/common-info.html?regNumber=0873400003924000050</t>
  </si>
  <si>
    <t>Ламивудин, раствор для приема внутрь, 10 
мг/мл</t>
  </si>
  <si>
    <t>0873400003924000051</t>
  </si>
  <si>
    <t>Зидовудин+Ламивудин, таблетки, покрытые 
пленочной оболочкой, 300 мг +150 мг</t>
  </si>
  <si>
    <t>0873400003924000052</t>
  </si>
  <si>
    <t>1970515020224000105</t>
  </si>
  <si>
    <t>https://zakupki.gov.ru/epz/order/notice/ea20/view/common-info.html?regNumber=0873400003924000052</t>
  </si>
  <si>
    <t>0873400003924000052-0001</t>
  </si>
  <si>
    <t>Вакцина паротитная культуральная живая</t>
  </si>
  <si>
    <t>ЛП-№(001173)-(РГ-RU)</t>
  </si>
  <si>
    <t>0873400003924000053</t>
  </si>
  <si>
    <t>1970515020224000120</t>
  </si>
  <si>
    <t>https://zakupki.gov.ru/epz/order/notice/ea20/view/common-info.html?regNumber=0873400003924000053</t>
  </si>
  <si>
    <t>0873400003924000053-0001</t>
  </si>
  <si>
    <t>ООО "Нанофарм"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</si>
  <si>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</si>
  <si>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Анатоксин столбнячный + гемофилус инфлуензэ типа б полисахарид</t>
  </si>
  <si>
    <t>[лиофилизат для приготовления раствора для внутримышечного введения, 0.5мл/доза (ампула) 1 доза х 5 + растворитель: вода для инъекций (ампула) 0.5 мл х 5] х1 (пачка картонная)</t>
  </si>
  <si>
    <t>ЛП-000499</t>
  </si>
  <si>
    <t>0873400003924000054</t>
  </si>
  <si>
    <t>https://zakupki.gov.ru/epz/order/notice/ea20/view/common-info.html?regNumber=0873400003924000054</t>
  </si>
  <si>
    <t>Зидовудин, таблетки, покрытые пленочной 
оболочкой, 300 мг</t>
  </si>
  <si>
    <t>0873400003924000055</t>
  </si>
  <si>
    <t>1970515020224000108</t>
  </si>
  <si>
    <t>https://zakupki.gov.ru/epz/order/notice/ea20/view/common-info.html?regNumber=0873400003924000055</t>
  </si>
  <si>
    <t>0873400003924000055-0001</t>
  </si>
  <si>
    <t>39.63</t>
  </si>
  <si>
    <t>Анатоксин дифтерийно-столбнячный очищенный адсорбированный с уменьшенным содержанием антигенов жидкий (АДС-М-анатоксин)</t>
  </si>
  <si>
    <t>суспензия для внутримышечного и подкожного введения (анатоксин с тиомерсалом) (ампула) 1 мл х 10 (коробка картонная)</t>
  </si>
  <si>
    <t>ЛС-000283</t>
  </si>
  <si>
    <t>0873400003924000056</t>
  </si>
  <si>
    <t>545 ЗК</t>
  </si>
  <si>
    <t>1970515020224000082</t>
  </si>
  <si>
    <t>https://zakupki.gov.ru/epz/order/notice/ea20/view/common-info.html?regNumber=0873400003924000056</t>
  </si>
  <si>
    <t>0873400003924000056_358372</t>
  </si>
  <si>
    <t>0873400003924000057</t>
  </si>
  <si>
    <t>https://zakupki.gov.ru/epz/order/notice/ea20/view/common-info.html?regNumber=0873400003924000057</t>
  </si>
  <si>
    <t>0873400003924000058</t>
  </si>
  <si>
    <t>https://zakupki.gov.ru/epz/order/notice/ea20/view/common-info.html?regNumber=0873400003924000058</t>
  </si>
  <si>
    <t>0873400003924000059</t>
  </si>
  <si>
    <t>https://zakupki.gov.ru/epz/order/notice/ea20/view/common-info.html?regNumber=0873400003924000059</t>
  </si>
  <si>
    <t>Вакцина для профилактики кори, лиофилизат для 
приготовления раствора для подкожного 
введения</t>
  </si>
  <si>
    <t>65.16</t>
  </si>
  <si>
    <t>0873400003924000060</t>
  </si>
  <si>
    <t>https://zakupki.gov.ru/epz/order/notice/ea20/view/common-info.html?regNumber=0873400003924000060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</si>
  <si>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</si>
  <si>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</si>
  <si>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https://zakupki.gov.ru/epz/order/notice/ea20/view/common-info.html?regNumber=0873400003924000061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</si>
  <si>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</si>
  <si>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</si>
  <si>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https://zakupki.gov.ru/epz/order/notice/ea20/view/common-info.html?regNumber=0873400003924000062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</si>
  <si>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</si>
  <si>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</si>
  <si>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https://zakupki.gov.ru/epz/order/notice/ea20/view/common-info.html?regNumber=0873400003924000063</t>
  </si>
  <si>
    <t>Вакцина для профилактики кори, краснухи и паротита, лиофилизат для приготовления раствора для подкожного введения</t>
  </si>
  <si>
    <t>0873400003924000064</t>
  </si>
  <si>
    <t>https://zakupki.gov.ru/epz/order/notice/ea20/view/common-info.html?regNumber=0873400003924000064</t>
  </si>
  <si>
    <t>0873400003924000065</t>
  </si>
  <si>
    <t>https://zakupki.gov.ru/epz/order/notice/ea20/view/common-info.html?regNumber=0873400003924000065</t>
  </si>
  <si>
    <t>0873400003924000065-0001</t>
  </si>
  <si>
    <t>Ралтегравир, таблетки, покрытые пленочной 
оболочкой, 400 мг</t>
  </si>
  <si>
    <t>1. Ралтегра;
2. РОЛНАВИР®;
3. Ралтегравир ПСК.</t>
  </si>
  <si>
    <t>1. таблетки, покрытые пленочной оболочкой, 400 мг (контурная ячейковая упаковка) 10 х 6 (пачка картонная);
2. таблетки, покрытые пленочной оболочкой, 400 мг (контурная ячейковая упаковка) 10 х 6 (пачка картонная);
3. таблетки, покрытые пленочной оболочкой, 400 мг (блистер) 10 х 6 (пачка картонная).</t>
  </si>
  <si>
    <t>1.ЛП-№(001285)-(РГ-RU);
2.ЛП-008433;
3.ЛП-№(002391)-(РГ-RU).</t>
  </si>
  <si>
    <t>0873400003924000066</t>
  </si>
  <si>
    <t>1970515020224000125</t>
  </si>
  <si>
    <t>https://zakupki.gov.ru/epz/order/notice/ea20/view/common-info.html?regNumber=0873400003924000066</t>
  </si>
  <si>
    <t>0873400003924000066_358372</t>
  </si>
  <si>
    <t>ООО "Алексион Фарма"</t>
  </si>
  <si>
    <t>капсулы, 10 мг (флакон) 60 х 1 (пачка картонная)</t>
  </si>
  <si>
    <t>0873400003924000067</t>
  </si>
  <si>
    <t>1970515020224000127</t>
  </si>
  <si>
    <t>https://zakupki.gov.ru/epz/order/notice/ea20/view/common-info.html?regNumber=0873400003924000067</t>
  </si>
  <si>
    <t>0873400003924000067_358372</t>
  </si>
  <si>
    <t>0873400003924000068</t>
  </si>
  <si>
    <t>1970515020224000124</t>
  </si>
  <si>
    <t>https://zakupki.gov.ru/epz/order/notice/ea20/view/common-info.html?regNumber=0873400003924000068</t>
  </si>
  <si>
    <t xml:space="preserve">0873400003924000068_358372 </t>
  </si>
  <si>
    <t>0873400003924000069</t>
  </si>
  <si>
    <t>1970515020224000123</t>
  </si>
  <si>
    <t>https://zakupki.gov.ru/epz/order/notice/ea20/view/common-info.html?regNumber=0873400003924000069</t>
  </si>
  <si>
    <t>0873400003924000069_358372</t>
  </si>
  <si>
    <t>0873400003924000070</t>
  </si>
  <si>
    <t>1970515020224000122</t>
  </si>
  <si>
    <t>https://zakupki.gov.ru/epz/order/notice/ea20/view/common-info.html?regNumber=0873400003924000070</t>
  </si>
  <si>
    <t>0873400003924000070_358372</t>
  </si>
  <si>
    <t>0873400003924000071</t>
  </si>
  <si>
    <t>1970515020224000132</t>
  </si>
  <si>
    <t>https://zakupki.gov.ru/epz/order/notice/ea20/view/common-info.html?regNumber=0873400003924000071</t>
  </si>
  <si>
    <t>0873400003924000071_358372</t>
  </si>
  <si>
    <t>0873400003924000072</t>
  </si>
  <si>
    <t>1970515020224000134</t>
  </si>
  <si>
    <t>https://zakupki.gov.ru/epz/order/notice/ea20/view/common-info.html?regNumber=0873400003924000072</t>
  </si>
  <si>
    <t>0873400003924000072_358372</t>
  </si>
  <si>
    <t>0873400003924000073</t>
  </si>
  <si>
    <t>1970515020224000129</t>
  </si>
  <si>
    <t>https://zakupki.gov.ru/epz/order/notice/ea20/view/common-info.html?regNumber=0873400003924000073</t>
  </si>
  <si>
    <t>0873400003924000073-0001</t>
  </si>
  <si>
    <t>Фактор свертывания крови IX, лиофилизат для 
приготовления раствора для внутривенного 
введения и/или инфузий, 250 МЕ</t>
  </si>
  <si>
    <t>лиофилизат для приготовления раствора для инфузий, 250 МЕ (флакон) 250 МЕ х 1 (пачка картонная) + [растворитель - вода для инъекций (флакон) 5 мл х 1 + шприц х 1+ игла двухконцевая х 1+ игла фильтровальная х 1+ игла-бабочка х 1 + салфетка дезинфицирующая х 2] х 1 (пачка картонная)</t>
  </si>
  <si>
    <t>0873400003924000074</t>
  </si>
  <si>
    <t>1970515020224000131</t>
  </si>
  <si>
    <t>https://zakupki.gov.ru/epz/order/notice/ea20/view/common-info.html?regNumber=0873400003924000074</t>
  </si>
  <si>
    <t>0873400003924000074-0001</t>
  </si>
  <si>
    <t>Фактор свертывания крови VIII, лиофилизат для 
приготовления раствора для внутривенного 
введения и/или инфузий, 500 МЕ</t>
  </si>
  <si>
    <t>Эйтоплазм</t>
  </si>
  <si>
    <t>[лиофилизат для приготовления раствора для внутривенного введения, 500 МЕ, (флакон) 500 МЕ × 1 + (растворитель: вода для инъекций) (флакон) 10 мл × 1 + (шприц одноразовый без иглы/ с иглой) × 1 + (фильтр-канюля) × 2 + (игла-бабочка с удлинителем) × 1 + (лейкопластырь) × 1 + (салфетка спиртовая) × 2] × 1 (пачка картонная)</t>
  </si>
  <si>
    <t>ЛП-№(002279)-(РГ-RU)</t>
  </si>
  <si>
    <t>0873400003924000075</t>
  </si>
  <si>
    <t>https://zakupki.gov.ru/epz/order/notice/ea20/view/common-info.html?regNumber=0873400003924000075</t>
  </si>
  <si>
    <t>0873400003924000075-0001</t>
  </si>
  <si>
    <t>Элсульфавирин, капсулы, 20 мг</t>
  </si>
  <si>
    <t>ЭЛПИДА®</t>
  </si>
  <si>
    <t>капсулы, 20 мг (флакон) 30 х 1 (пачка картонная)</t>
  </si>
  <si>
    <t>ЛП-004360</t>
  </si>
  <si>
    <t>0873400003924000076</t>
  </si>
  <si>
    <t>https://zakupki.gov.ru/epz/order/notice/ea20/view/common-info.html?regNumber=0873400003924000076</t>
  </si>
  <si>
    <t>0873400003924000076-0001</t>
  </si>
  <si>
    <t>Фактор свертывания крови VIII + Фактор 
Виллебранда, лиофилизат для приготовления 
раствора для внутривенного введения, 900 
МЕ + 800 МЕ</t>
  </si>
  <si>
    <t>1. Вилате;
2. Вилате®.</t>
  </si>
  <si>
    <t>1.лиофилизат для приготовления раствора для внутривенного введения, 900 МЕ фактора свертывания крови VIII + 800 МЕ фактора Виллебранда (флакон) [900 МЕ фактора свертывания крови VIII + 800 МЕ фактора Виллебранда] x 1 (пачка картонная), [растворитель (0,1 % раствор полисорбата 80 в воде для инъекций) (флакон) 10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картонная);
2. лиофилизат для приготовления раствора для внутривенного введения, 900 МЕ VIII + 800 МЕ (флакон) [900 МЕ + 800 МЕ] x 1 (пачка картонная) [растворитель (0,1 % раствор полисорбата 80 в воде для инъекций) (флакон) 10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картонная).</t>
  </si>
  <si>
    <t>1. ЛС-002306;
2. ЛС-002306.</t>
  </si>
  <si>
    <t>0873400003924000077</t>
  </si>
  <si>
    <t>https://zakupki.gov.ru/epz/order/notice/ea20/view/common-info.html?regNumber=0873400003924000077</t>
  </si>
  <si>
    <t>Идурсульфаза, концентрат для 
приготовления раствора для инфузий, 2 мг/мл</t>
  </si>
  <si>
    <t>0873400003924000078</t>
  </si>
  <si>
    <t>https://zakupki.gov.ru/epz/order/notice/ea20/view/common-info.html?regNumber=0873400003924000078</t>
  </si>
  <si>
    <t>0873400003924000078_358372</t>
  </si>
  <si>
    <t>Аталурен, порошок для приема внутрь, 1000 мг</t>
  </si>
  <si>
    <t>0873400003924000079</t>
  </si>
  <si>
    <t>https://zakupki.gov.ru/epz/order/notice/ea20/view/common-info.html?regNumber=0873400003924000079</t>
  </si>
  <si>
    <t>0873400003924000079-0001</t>
  </si>
  <si>
    <t>1.Октанат;
2.Октанат;
3.Октанат;
4.Октанат;
5.Октанат;
6.Октанат.</t>
  </si>
  <si>
    <t>1.лиофилизат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</si>
  <si>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1.П N016162/01;
2.П N016162/01;
3.П N016162/01;
4.П N016162/01;
5.П N016162/01;
6.П N016162/01.</t>
  </si>
  <si>
    <t>Австрия, Швеция, Франция</t>
  </si>
  <si>
    <t>1.500;
2.500;
3.500;
4.500;
5.500;
6.500.</t>
  </si>
  <si>
    <t>0873400003924000080</t>
  </si>
  <si>
    <t>https://zakupki.gov.ru/epz/order/notice/ea20/view/common-info.html?regNumber=0873400003924000080</t>
  </si>
  <si>
    <t>0873400003924000080-0001</t>
  </si>
  <si>
    <t>Микофенолата мофетил, капсулы и/или 
таблетки, покрытые пленочной оболочкой, 
500 мг</t>
  </si>
  <si>
    <t>1.Фломирен;
2.Микофенолата мофетил;
3.МИКОФЕНОЛАТА МОФЕТИЛ-ТЛ.</t>
  </si>
  <si>
    <t>1. таблетки, покрытые пленочной оболочкой, 500 мг (контурная ячейковая упаковка) 10 х 5 (пачка картонная);
2. таблетки, покрытые пленочной оболочкой, 500 мг (контурная ячейковая упаковка) 10 х 5 (пачка картонная);
3. таблетки, покрытые пленочной оболочкой, 500 мг (банка) 50 х 1 (пачка картонная).</t>
  </si>
  <si>
    <t>1.ЛП-№(000234)-(РГ-RU);
2.ЛП-005113;
3.ЛП-001706.</t>
  </si>
  <si>
    <t>0873400003924000081</t>
  </si>
  <si>
    <t>https://zakupki.gov.ru/epz/order/notice/ea20/view/common-info.html?regNumber=0873400003924000081</t>
  </si>
  <si>
    <t>0873400003924000081-0001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</si>
  <si>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</si>
  <si>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Коагил-VII®</t>
  </si>
  <si>
    <t>[лиофилизат для приготовления раствора для внутривенного введения, 1.2 мг (флакон) х 1 + растворитель (флакон) 5 мл х 1 + шприц х 1 + канюля х 2 + катетер для периферических вен х 1 + салфетка спиртовая х 2] х 1 (пачка картонная)</t>
  </si>
  <si>
    <t>ЛСР-010225/09</t>
  </si>
  <si>
    <t>0873400003924000082</t>
  </si>
  <si>
    <t>https://zakupki.gov.ru/epz/order/notice/ea20/view/common-info.html?regNumber=0873400003924000082</t>
  </si>
  <si>
    <t>0873400003924000082-0001</t>
  </si>
  <si>
    <t>Октоког альфа, лиофилизат для приготовления 
раствора для внутривенного введения, 500 МЕ</t>
  </si>
  <si>
    <t>1.Адвейт®;
2.Адвейт®.</t>
  </si>
  <si>
    <t>1.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</si>
  <si>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1.ЛП-002447;
2.ЛП-№(001976)-(РГ-RU).</t>
  </si>
  <si>
    <t>0873400003924000083</t>
  </si>
  <si>
    <t>https://zakupki.gov.ru/epz/order/notice/ea20/view/common-info.html?regNumber=0873400003924000083</t>
  </si>
  <si>
    <t>0873400003924000083-0001</t>
  </si>
  <si>
    <t>Деламанид, таблетки, покрытые пленочной 
оболочкой 50 мг</t>
  </si>
  <si>
    <t>Дельтиба®</t>
  </si>
  <si>
    <t>таблетки, покрытые пленочной оболочкой, 50 мг (блистер) 8 х 6 (пачка картонная)</t>
  </si>
  <si>
    <t>ЛП-N (000057)-(РГ-RU)</t>
  </si>
  <si>
    <t>0873400003924000084</t>
  </si>
  <si>
    <t>https://zakupki.gov.ru/epz/order/notice/ea20/view/common-info.html?regNumber=0873400003924000084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</si>
  <si>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</si>
  <si>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</si>
  <si>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https://zakupki.gov.ru/epz/order/notice/ea20/view/common-info.html?regNumber=0873400003924000085</t>
  </si>
  <si>
    <t>0873400003924000085-0001</t>
  </si>
  <si>
    <t>Теризидон, капсулы, 150 мг</t>
  </si>
  <si>
    <t>1. Локсидон;
2. Теризидон-Мак.</t>
  </si>
  <si>
    <t>1. капсулы, 150 мг (банка) 100 х 1 (пачка картонная);
2. капсулы, 150 мг (стрип) 10 х 10 (пачка картонная).</t>
  </si>
  <si>
    <t>1. ЛП-002373
2. ЛП-001804</t>
  </si>
  <si>
    <t>0873400003924000086</t>
  </si>
  <si>
    <t>https://zakupki.gov.ru/epz/order/notice/ea20/view/common-info.html?regNumber=0873400003924000086</t>
  </si>
  <si>
    <t>0873400003924000086-0001</t>
  </si>
  <si>
    <t>Фактор свертывания крови VIII, лиофилизат для 
приготовления раствора для внутривенного 
введения и/или инфузий, 1000 МЕ</t>
  </si>
  <si>
    <t>[лиофилизат для приготовления раствора для внутривенного введения, 1000 МЕ (флакон) 1000 МЕ × 1 + (растворитель: вода для инъекций) (флакон) 10 мл × 1 + (шприц одноразовый с иглой) × 1 + (фильтр-канюля) × 2 + (игла-бабочка с удлинителем) × 1 + (лейкопластырь) × 1 + (салфетка спиртовая) × 2] × 1 (пачка картонная)</t>
  </si>
  <si>
    <t>0873400003924000087</t>
  </si>
  <si>
    <t>https://zakupki.gov.ru/epz/order/notice/ea20/view/common-info.html?regNumber=0873400003924000087</t>
  </si>
  <si>
    <t>Даратумумаб, концентрат для приготовления 
раствора для инфузий 20 мг/мл, 5,0 мл</t>
  </si>
  <si>
    <t>0873400003924000088</t>
  </si>
  <si>
    <t>https://zakupki.gov.ru/epz/order/notice/ea20/view/common-info.html?regNumber=0873400003924000088</t>
  </si>
  <si>
    <t>0873400003924000088-0001</t>
  </si>
  <si>
    <t>1.лиофилизат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</si>
  <si>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0873400003924000089</t>
  </si>
  <si>
    <t>https://zakupki.gov.ru/epz/order/notice/ea20/view/common-info.html?regNumber=0873400003924000089</t>
  </si>
  <si>
    <t>0873400003924000089-0001</t>
  </si>
  <si>
    <t xml:space="preserve">Бедаквилин, таблетки, 100 мг </t>
  </si>
  <si>
    <t>0873400003924000090</t>
  </si>
  <si>
    <t>https://zakupki.gov.ru/epz/order/notice/ea20/view/common-info.html?regNumber=0873400003924000090</t>
  </si>
  <si>
    <t>0873400003924000090-0001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</si>
  <si>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</si>
  <si>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Перхлозон®</t>
  </si>
  <si>
    <t>таблетки, покрытые пленочной оболочкой, 400 мг (банка) 100 х 1 (пачка картонная)</t>
  </si>
  <si>
    <t>ЛП-001899</t>
  </si>
  <si>
    <t>0873400003924000091</t>
  </si>
  <si>
    <t>https://zakupki.gov.ru/epz/order/notice/ea20/view/common-info.html?regNumber=0873400003924000091</t>
  </si>
  <si>
    <t>0873400003924000091-0001</t>
  </si>
  <si>
    <t>ООО "Медикал лизинг-консалтинг" (ООО "МЛК")</t>
  </si>
  <si>
    <t>Теризидон, капсулы, 250 мг</t>
  </si>
  <si>
    <t>1. Теризидон;
2. Теризидон;
3. Теризидон;
4. Локсидон.</t>
  </si>
  <si>
    <t>1. капсулы, 250 мг (контурная ячейковая упаковка) 10 х 3 (пачка картонная);
2. капсулы, 250 мг (блистер) 10 х 3 (пачка картонная);
3. капсулы, 250 мг (контурная ячейковая упаковка) 10 х 10 (пачка картонная);
4. капсулы, 250 мг (банка) 100 х 1 (пачка картонная).</t>
  </si>
  <si>
    <t>1. ЛП-№(002744)-(РГ-RU);
2. ЛП-003570;
3. ЛП-003676;
4. ЛП-002373.</t>
  </si>
  <si>
    <t>1.30;
2.30;
3.100;
4.100.</t>
  </si>
  <si>
    <t>0873400003924000092</t>
  </si>
  <si>
    <t>https://zakupki.gov.ru/epz/order/notice/ea20/view/common-info.html?regNumber=0873400003924000092</t>
  </si>
  <si>
    <t>0873400003924000092-0001</t>
  </si>
  <si>
    <t>Вакцина для профилактики вирусного гепатита В, дифтерии и столбняка, суспензия для 
внутримышечного введения</t>
  </si>
  <si>
    <t>Бубо®-М (Вакцина комбинированная гепатита В и анатоксина дифтерийно-столбнячного 
с уменьшенным содержанием антигенов адсорбированная жидкая)</t>
  </si>
  <si>
    <t>суспензия для внутримышечного введения, 0.5 мл/доза (ампула) 0.5 мл х 10 (пачка картонная)</t>
  </si>
  <si>
    <t>Р N000048/01</t>
  </si>
  <si>
    <t>0873400003924000093</t>
  </si>
  <si>
    <t>https://zakupki.gov.ru/epz/order/notice/ea20/view/common-info.html?regNumber=0873400003924000093</t>
  </si>
  <si>
    <t>0873400003924000093-0001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</si>
  <si>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500 мг</t>
  </si>
  <si>
    <t>Капреомицин</t>
  </si>
  <si>
    <t>порошок для приготовления раствора для внутривенного и внутримышечного введения 500 мг (флакон) х 1 (пачка картонная)</t>
  </si>
  <si>
    <t>ЛП-№(001437)-(РГ-RU)</t>
  </si>
  <si>
    <t>0873400003924000094</t>
  </si>
  <si>
    <t>https://zakupki.gov.ru/epz/order/notice/ea20/view/common-info.html?regNumber=0873400003924000094</t>
  </si>
  <si>
    <t>0873400003924000094-0001</t>
  </si>
  <si>
    <t>Теризидон, капсулы, 300 мг</t>
  </si>
  <si>
    <t>1. Теризидон-Мак;
2. Локсидон®;
3. Теризидон.</t>
  </si>
  <si>
    <t>1. капсулы, 300 мг (стрип) 10 х 10 (пачка картонная);
2. капсулы, 300мг (банка) 100 х 1 (пачка картонная);
3. капсулы, 300 мг (блистер) 10 х 10 (пачка картонная).</t>
  </si>
  <si>
    <t>1. ЛП-001804
2. ЛП-№(001153)-(РГ-RU)
3. ЛП-№(000999)-(РГ-RU)</t>
  </si>
  <si>
    <t>0873400003924000095</t>
  </si>
  <si>
    <t>https://zakupki.gov.ru/epz/order/notice/ea20/view/common-info.html?regNumber=0873400003924000095</t>
  </si>
  <si>
    <t>0873400003924000095-0001</t>
  </si>
  <si>
    <t>ООО "ЭДВАНСД ТРЕЙДИНГ"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</si>
  <si>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750 мг</t>
  </si>
  <si>
    <t>порошок для приготовления раствора для внутривенного и внутримышечного введения, 750 мг (флакон) х 1 (пачка картонная)</t>
  </si>
  <si>
    <t>ЛП-005400</t>
  </si>
  <si>
    <t>0873400003924000096</t>
  </si>
  <si>
    <t>1512 вич 
ЗК</t>
  </si>
  <si>
    <t>https://zakupki.gov.ru/epz/order/notice/ea20/view/common-info.html?regNumber=0873400003924000096</t>
  </si>
  <si>
    <t>Абакавир, раствор для приема внутрь, 20 мг/мл</t>
  </si>
  <si>
    <t>0873400003924000097</t>
  </si>
  <si>
    <t>https://zakupki.gov.ru/epz/order/notice/ea20/view/common-info.html?regNumber=0873400003924000097</t>
  </si>
  <si>
    <t>0873400003924000097_358372</t>
  </si>
  <si>
    <t>раствор для подкожного введения, 40 мг/мл (флакон) 40 мг/1.0 мл х 12 (пачка картонная)</t>
  </si>
  <si>
    <t>0873400003924000098</t>
  </si>
  <si>
    <t>1512 туб 
ЗК</t>
  </si>
  <si>
    <t>https://zakupki.gov.ru/epz/order/notice/ea20/view/common-info.html?regNumber=0873400003924000098</t>
  </si>
  <si>
    <t>0873400003924000099</t>
  </si>
  <si>
    <t>1970515020224000101</t>
  </si>
  <si>
    <t>https://zakupki.gov.ru/epz/order/notice/ea20/view/common-info.html?regNumber=0873400003924000099</t>
  </si>
  <si>
    <t>0873400003924000099-0001</t>
  </si>
  <si>
    <t>ООО "Виренд Интернейшнл"</t>
  </si>
  <si>
    <t>Абакавир+Ламивудин</t>
  </si>
  <si>
    <t>таблетки, покрытые пленочной оболочкой, 600 мг + 300 мг (банка) 50 х 1 (пачка картонная)</t>
  </si>
  <si>
    <t>ЛП-004209</t>
  </si>
  <si>
    <t>0873400003924000100</t>
  </si>
  <si>
    <t>https://zakupki.gov.ru/epz/order/notice/ea20/view/common-info.html?regNumber=0873400003924000100</t>
  </si>
  <si>
    <t>0873400003924000101</t>
  </si>
  <si>
    <t>1970515020224000102</t>
  </si>
  <si>
    <t>https://zakupki.gov.ru/epz/order/notice/ea20/view/common-info.html?regNumber=0873400003924000101</t>
  </si>
  <si>
    <t>0873400003924000101-0001</t>
  </si>
  <si>
    <t>1.Локсидон;
2.Теризидон.</t>
  </si>
  <si>
    <t>1. капсулы, 250 мг (банка) 100 х 1 (пачка картонная);
2. капсулы, 250 мг (блистер) 10 х 10 (пачка картонная).</t>
  </si>
  <si>
    <t>1. ЛП-002373;
2. ЛП-№(000999)-(РГ-RU).</t>
  </si>
  <si>
    <t>0873400003924000102</t>
  </si>
  <si>
    <t>1970515020224000103</t>
  </si>
  <si>
    <t>https://zakupki.gov.ru/epz/order/notice/ea20/view/common-info.html?regNumber=0873400003924000102</t>
  </si>
  <si>
    <t>0873400003924000102-0001</t>
  </si>
  <si>
    <t>0873400003924000103</t>
  </si>
  <si>
    <t>https://zakupki.gov.ru/epz/order/notice/ea20/view/common-info.html?regNumber=0873400003924000103</t>
  </si>
  <si>
    <t>0873400003924000104</t>
  </si>
  <si>
    <t>https://zakupki.gov.ru/epz/order/notice/ea20/view/common-info.html?regNumber=0873400003924000104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</si>
  <si>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</si>
  <si>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</si>
  <si>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https://zakupki.gov.ru/epz/order/notice/ea20/view/common-info.html?regNumber=0873400003924000105</t>
  </si>
  <si>
    <t>0873400003924000106</t>
  </si>
  <si>
    <t>https://zakupki.gov.ru/epz/order/notice/ea20/view/common-info.html?regNumber=0873400003924000106</t>
  </si>
  <si>
    <t>0873400003924000107</t>
  </si>
  <si>
    <t>1970515020224000114</t>
  </si>
  <si>
    <t>https://zakupki.gov.ru/epz/order/notice/ea20/view/common-info.html?regNumber=0873400003924000107</t>
  </si>
  <si>
    <t>0873400003924000107-0001</t>
  </si>
  <si>
    <t>Спарфлоксацин, таблетки, покрытые 
оболочкой и/или таблетки, покрытые, 
пленочной оболочкой, 200 мг</t>
  </si>
  <si>
    <t>Флоксимар</t>
  </si>
  <si>
    <t>таблетки, покрытые пленочной оболочкой, 200 мг (контурная ячейковая упаковка) 7 х 1 (пачка картонная)</t>
  </si>
  <si>
    <t>ЛП-005088</t>
  </si>
  <si>
    <t>0873400003924000108</t>
  </si>
  <si>
    <t>1970515020224000115</t>
  </si>
  <si>
    <t>https://zakupki.gov.ru/epz/order/notice/ea20/view/common-info.html?regNumber=0873400003924000108</t>
  </si>
  <si>
    <t>0873400003924000108-0001</t>
  </si>
  <si>
    <t>Локсидон</t>
  </si>
  <si>
    <t>капсулы, 150 мг (банка) 100 х 1 (пачка картонная)</t>
  </si>
  <si>
    <t>ЛП-002373</t>
  </si>
  <si>
    <t>0873400003924000109</t>
  </si>
  <si>
    <t>https://zakupki.gov.ru/epz/order/notice/ea20/view/common-info.html?regNumber=0873400003924000109</t>
  </si>
  <si>
    <t>0873400003924000110</t>
  </si>
  <si>
    <t>https://zakupki.gov.ru/epz/order/notice/ea20/view/common-info.html?regNumber=0873400003924000110</t>
  </si>
  <si>
    <t>0873400003924000110-0001</t>
  </si>
  <si>
    <t>0873400003924000111</t>
  </si>
  <si>
    <t>https://zakupki.gov.ru/epz/order/notice/ea20/view/common-info.html?regNumber=0873400003924000111</t>
  </si>
  <si>
    <t>0873400003924000112</t>
  </si>
  <si>
    <t>https://zakupki.gov.ru/epz/order/notice/ea20/view/common-info.html?regNumber=0873400003924000112</t>
  </si>
  <si>
    <t>0873400003924000113</t>
  </si>
  <si>
    <t>https://zakupki.gov.ru/epz/order/notice/ea20/view/common-info.html?regNumber=0873400003924000113</t>
  </si>
  <si>
    <t>0873400003924000113-0001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</si>
  <si>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</t>
  </si>
  <si>
    <t>порошок для приготовления раствора для внутривенного и внутримышечного введения, 1 г (флакон) х 1 (пачка картонная)</t>
  </si>
  <si>
    <t>ЛП-005432</t>
  </si>
  <si>
    <t>0873400003924000114</t>
  </si>
  <si>
    <t>https://zakupki.gov.ru/epz/order/notice/ea20/view/common-info.html?regNumber=0873400003924000114</t>
  </si>
  <si>
    <t>0873400003924000115</t>
  </si>
  <si>
    <t>https://zakupki.gov.ru/epz/order/notice/ea20/view/common-info.html?regNumber=0873400003924000115</t>
  </si>
  <si>
    <t>0873400003924000116</t>
  </si>
  <si>
    <t>https://zakupki.gov.ru/epz/order/notice/ea20/view/common-info.html?regNumber=0873400003924000116</t>
  </si>
  <si>
    <t>0873400003924000117</t>
  </si>
  <si>
    <t>1970515020224000116</t>
  </si>
  <si>
    <t>https://zakupki.gov.ru/epz/order/notice/ea20/view/common-info.html?regNumber=0873400003924000117</t>
  </si>
  <si>
    <t>0873400003924000117-0001</t>
  </si>
  <si>
    <t>Тиоуреидоиминометилпиридиния перхлорат, 
таблетки покрытые пленочной оболочкой, 
400 мг</t>
  </si>
  <si>
    <t>0873400003924000118</t>
  </si>
  <si>
    <t>https://zakupki.gov.ru/epz/order/notice/ea20/view/common-info.html?regNumber=0873400003924000118</t>
  </si>
  <si>
    <t>0873400003924000118-0001</t>
  </si>
  <si>
    <t>0873400003924000119</t>
  </si>
  <si>
    <t>https://zakupki.gov.ru/epz/order/notice/ea20/view/common-info.html?regNumber=0873400003924000119</t>
  </si>
  <si>
    <t>0873400003924000120</t>
  </si>
  <si>
    <t>https://zakupki.gov.ru/epz/order/notice/ea20/view/common-info.html?regNumber=0873400003924000120</t>
  </si>
  <si>
    <t>Ламивудин, раствор для приема внутрь, 10 мг/мл</t>
  </si>
  <si>
    <t>0873400003924000121</t>
  </si>
  <si>
    <t>https://zakupki.gov.ru/epz/order/notice/ea20/view/common-info.html?regNumber=0873400003924000121</t>
  </si>
  <si>
    <t>0873400003924000122</t>
  </si>
  <si>
    <t>https://zakupki.gov.ru/epz/order/notice/ea20/view/common-info.html?regNumber=0873400003924000122</t>
  </si>
  <si>
    <t>0873400003924000123</t>
  </si>
  <si>
    <t>https://zakupki.gov.ru/epz/order/notice/ea20/view/common-info.html?regNumber=0873400003924000123</t>
  </si>
  <si>
    <t>0873400003924000125</t>
  </si>
  <si>
    <t>https://zakupki.gov.ru/epz/order/notice/ea20/view/common-info.html?regNumber=0873400003924000125</t>
  </si>
  <si>
    <t>0873400003924000126</t>
  </si>
  <si>
    <t>https://zakupki.gov.ru/epz/order/notice/ea20/view/common-info.html?regNumber=0873400003924000126</t>
  </si>
  <si>
    <t>0873400003924000127</t>
  </si>
  <si>
    <t>https://zakupki.gov.ru/epz/order/notice/ea20/view/common-info.html?regNumber=0873400003924000127</t>
  </si>
  <si>
    <t>0873400003924000127-0001</t>
  </si>
  <si>
    <t>Ралтегра</t>
  </si>
  <si>
    <t>таблетки, покрытые пленочной оболочкой, 400 мг (контурная ячейковая упаковка) 10 х 6 (пачка картонная)</t>
  </si>
  <si>
    <t>ЛП-№(001285)-(РГ-RU)</t>
  </si>
  <si>
    <t>0873400003924000128</t>
  </si>
  <si>
    <t>https://zakupki.gov.ru/epz/order/notice/ea20/view/common-info.html?regNumber=0873400003924000128</t>
  </si>
  <si>
    <t>0873400003924000129</t>
  </si>
  <si>
    <t>https://zakupki.gov.ru/epz/order/notice/ea20/view/common-info.html?regNumber=0873400003924000129</t>
  </si>
  <si>
    <t>0873400003924000129-0001</t>
  </si>
  <si>
    <t>ООО "АлькорФарм"</t>
  </si>
  <si>
    <t>Тенофовир+Элсульфавирин+Эмтрицитабин, 
таблетки, покрытые пленочной оболочкой, 
245 мг + 20 мг + 200 мг</t>
  </si>
  <si>
    <t>ЭЛПИДА® КОМБИ</t>
  </si>
  <si>
    <t>таблетки, покрытые пленочной оболочкой, 245 мг+20 мг+200 мг (флакон) 30 х 1 (пачка картонная)</t>
  </si>
  <si>
    <t>ЛП-008067</t>
  </si>
  <si>
    <t>0873400003924000130</t>
  </si>
  <si>
    <t>https://zakupki.gov.ru/epz/order/notice/ea20/view/common-info.html?regNumber=0873400003924000130</t>
  </si>
  <si>
    <t>0873400003924000131</t>
  </si>
  <si>
    <t>https://zakupki.gov.ru/epz/order/notice/ea20/view/common-info.html?regNumber=0873400003924000131</t>
  </si>
  <si>
    <t>0873400003924000132</t>
  </si>
  <si>
    <t>https://zakupki.gov.ru/epz/order/notice/ea20/view/common-info.html?regNumber=0873400003924000132</t>
  </si>
  <si>
    <t>0873400003924000132-0001</t>
  </si>
  <si>
    <t>0873400003924000133</t>
  </si>
  <si>
    <t>https://zakupki.gov.ru/epz/order/notice/ea20/view/common-info.html?regNumber=0873400003924000133</t>
  </si>
  <si>
    <t>0873400003924000134</t>
  </si>
  <si>
    <t>https://zakupki.gov.ru/epz/order/notice/ea20/view/common-info.html?regNumber=0873400003924000134</t>
  </si>
  <si>
    <t>Эмицизумаб, раствор для подкожного 
введения, 150 мг/мл, 1,0 мл</t>
  </si>
  <si>
    <t>0873400003924000135</t>
  </si>
  <si>
    <t>https://zakupki.gov.ru/epz/order/notice/ea20/view/common-info.html?regNumber=0873400003924000135</t>
  </si>
  <si>
    <t>0873400003924000136</t>
  </si>
  <si>
    <t>https://zakupki.gov.ru/epz/order/notice/ea20/view/common-info.html?regNumber=0873400003924000136</t>
  </si>
  <si>
    <t>0873400003924000137</t>
  </si>
  <si>
    <t>https://zakupki.gov.ru/epz/order/notice/ea20/view/common-info.html?regNumber=0873400003924000137</t>
  </si>
  <si>
    <t>0873400003924000138</t>
  </si>
  <si>
    <t>https://zakupki.gov.ru/epz/order/notice/ea20/view/common-info.html?regNumber=0873400003924000138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</si>
  <si>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</si>
  <si>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0873400003924000139</t>
  </si>
  <si>
    <t>1416 ЗК</t>
  </si>
  <si>
    <t>https://zakupki.gov.ru/epz/order/notice/ea20/view/common-info.html?regNumber=0873400003924000139</t>
  </si>
  <si>
    <t>0873400003924000140</t>
  </si>
  <si>
    <t>https://zakupki.gov.ru/epz/order/notice/ea20/view/common-info.html?regNumber=0873400003924000140</t>
  </si>
  <si>
    <t>Циклоспорин, раствор для приема внутрь 100 
мг/мл</t>
  </si>
  <si>
    <t>0873400003924000142</t>
  </si>
  <si>
    <t>https://zakupki.gov.ru/epz/order/notice/ea20/view/common-info.html?regNumber=0873400003924000142</t>
  </si>
  <si>
    <t>0873400003924000142-0001</t>
  </si>
  <si>
    <t>таблетки, покрытые пленочной оболочкой, 400 мг (банка) 30 х 1 (пачка картонная)</t>
  </si>
  <si>
    <t>0873400003924000143</t>
  </si>
  <si>
    <t>https://zakupki.gov.ru/epz/order/notice/ea20/view/common-info.html?regNumber=0873400003924000143</t>
  </si>
  <si>
    <t>0873400003924000143-0001</t>
  </si>
  <si>
    <t>Кемерувир®</t>
  </si>
  <si>
    <t>таблетки, покрытые пленочной оболочкой, 600 мг (банка) 60 х 1 (пачка картонная)</t>
  </si>
  <si>
    <t>ЛП-№(000210)-(РГ-RU)</t>
  </si>
  <si>
    <t>0873400003924000144</t>
  </si>
  <si>
    <t>https://zakupki.gov.ru/epz/order/notice/ea20/view/common-info.html?regNumber=0873400003924000144</t>
  </si>
  <si>
    <t>0873400003924000144-0001</t>
  </si>
  <si>
    <t>Инфибета®</t>
  </si>
  <si>
    <t>[лиофилизат для приготовления раствора для подкожного введения, 0.3 мг (9.6 млн. МЕ) (флакон) х 15 + растворитель (флакон) 1.2 мл х 15 + шприц 2 мл х 15 + шприц 1 мл х 15 + игла длинная х 30 + игла короткая х 15 + салфетка спиртовая х 30] х 1 (пачка картонная)</t>
  </si>
  <si>
    <t>ЛП-000869</t>
  </si>
  <si>
    <t>0873400003924000145</t>
  </si>
  <si>
    <t>https://zakupki.gov.ru/epz/order/notice/ea20/view/common-info.html?regNumber=0873400003924000145</t>
  </si>
  <si>
    <t>0873400003924000146</t>
  </si>
  <si>
    <t>https://zakupki.gov.ru/epz/order/notice/ea20/view/common-info.html?regNumber=0873400003924000146</t>
  </si>
  <si>
    <t>0873400003924000148</t>
  </si>
  <si>
    <t>https://zakupki.gov.ru/epz/order/notice/ea20/view/common-info.html?regNumber=0873400003924000148</t>
  </si>
  <si>
    <t>0873400003924000149</t>
  </si>
  <si>
    <t>https://zakupki.gov.ru/epz/order/notice/ea20/view/common-info.html?regNumber=0873400003924000149</t>
  </si>
  <si>
    <t>0873400003924000150</t>
  </si>
  <si>
    <t>https://zakupki.gov.ru/epz/order/notice/ea20/view/common-info.html?regNumber=0873400003924000150</t>
  </si>
  <si>
    <t>0873400003924000151</t>
  </si>
  <si>
    <t>https://zakupki.gov.ru/epz/order/notice/ea20/view/common-info.html?regNumber=0873400003924000151</t>
  </si>
  <si>
    <t>0873400003924000151-0001</t>
  </si>
  <si>
    <t>Моксифлоксацин, таблетки, покрытые 
пленочной оболочкой, 400 мг</t>
  </si>
  <si>
    <t>Моксифло</t>
  </si>
  <si>
    <t>таблетки, покрытые пленочной оболочкой, 400 мг (контурная ячейковая упаковка) 5 х 1 (пачка картонная)</t>
  </si>
  <si>
    <t>ЛП-004130</t>
  </si>
  <si>
    <t>0873400003924000152</t>
  </si>
  <si>
    <t>https://zakupki.gov.ru/epz/order/notice/ea20/view/common-info.html?regNumber=0873400003924000152</t>
  </si>
  <si>
    <t>0873400003924000152-0001</t>
  </si>
  <si>
    <t>1. Спарфлоксацин;
2. Спарфло®;
3. Спарфлоксацин;
4. Спарфлоксацин;
5. Флоксимар.</t>
  </si>
  <si>
    <t>1. таблетки, покрытые пленочной оболочкой, 200 мг (контурная ячейковая упаковка) 6 х 1 (пачка картонная);
2. таблетки, покрытые пленочной оболочкой, 200 мг (блистер) 6 х 1 (пачка картонная);
3. таблетки, покрытые пленочной оболочкой, 200 мг (контурная ячейковая упаковка) 10 х 1 (пачка картонная);
4. таблетки, покрытые пленочной оболочкой, 200 мг (контурная ячейковая упаковка) 10 х 5 (пачка картонная);
5. таблетки, покрытые пленочной оболочкой, 200 мг (контурная ячейковая упаковка) 7 х 1 (пачка картонная).</t>
  </si>
  <si>
    <t>1. ЛП-008280;
2. П N011913/01;
3. ЛП-№(000905)-(РГ-RU);
4. ЛП-№(000905)-(РГ-RU);
5. ЛП-005088.</t>
  </si>
  <si>
    <t>1. 6;
2. 6;
3. 10;
4. 50;
5. 7.</t>
  </si>
  <si>
    <t>0873400003924000153</t>
  </si>
  <si>
    <t>https://zakupki.gov.ru/epz/order/notice/ea20/view/common-info.html?regNumber=0873400003924000153</t>
  </si>
  <si>
    <t>0873400003924000154</t>
  </si>
  <si>
    <t>https://zakupki.gov.ru/epz/order/notice/ea20/view/common-info.html?regNumber=0873400003924000154</t>
  </si>
  <si>
    <t>0873400003924000155</t>
  </si>
  <si>
    <t>https://zakupki.gov.ru/epz/order/notice/ea20/view/common-info.html?regNumber=0873400003924000155</t>
  </si>
  <si>
    <t>0873400003924000156</t>
  </si>
  <si>
    <t>https://zakupki.gov.ru/epz/order/notice/ea20/view/common-info.html?regNumber=0873400003924000156</t>
  </si>
  <si>
    <t>0873400003924000157</t>
  </si>
  <si>
    <t>https://zakupki.gov.ru/epz/order/notice/ea20/view/common-info.html?regNumber=0873400003924000157</t>
  </si>
  <si>
    <t>0873400003924000158</t>
  </si>
  <si>
    <t>https://zakupki.gov.ru/epz/order/notice/ea20/view/common-info.html?regNumber=0873400003924000158</t>
  </si>
  <si>
    <t>0873400003924000159</t>
  </si>
  <si>
    <t>https://zakupki.gov.ru/epz/order/notice/ea20/view/common-info.html?regNumber=0873400003924000159</t>
  </si>
  <si>
    <t>0873400003924000159-0001</t>
  </si>
  <si>
    <t>Циклосерин, капсулы, 250 мг</t>
  </si>
  <si>
    <t>Циклосерин-Эдвансд</t>
  </si>
  <si>
    <t>капсулы 250 мг (банка) 100 х 1 (пачка картонная)</t>
  </si>
  <si>
    <t>ЛП-007998</t>
  </si>
  <si>
    <t>0873400003924000160</t>
  </si>
  <si>
    <t>https://zakupki.gov.ru/epz/order/notice/ea20/view/common-info.html?regNumber=0873400003924000160</t>
  </si>
  <si>
    <t>Линезолид, таблетки, покрытые пленочной 
оболочкой, 200 мг</t>
  </si>
  <si>
    <t>0873400003924000161</t>
  </si>
  <si>
    <t>https://zakupki.gov.ru/epz/order/notice/ea20/view/common-info.html?regNumber=0873400003924000161</t>
  </si>
  <si>
    <t>0873400003924000162</t>
  </si>
  <si>
    <t>https://zakupki.gov.ru/epz/order/notice/ea20/view/common-info.html?regNumber=0873400003924000162</t>
  </si>
  <si>
    <t>Эфмороктоког альфа, лиофилизат для 
приготовления раствора для внутривенного 
введения, 3000 МЕ</t>
  </si>
  <si>
    <t>0873400003924000163</t>
  </si>
  <si>
    <t>https://zakupki.gov.ru/epz/order/notice/ea20/view/common-info.html?regNumber=0873400003924000163</t>
  </si>
  <si>
    <t>0873400003924000164</t>
  </si>
  <si>
    <t>https://zakupki.gov.ru/epz/order/notice/ea20/view/common-info.html?regNumber=0873400003924000164</t>
  </si>
  <si>
    <t>Эфмороктоког альфа, лиофилизат для 
приготовления раствора для внутривенного 
введения, 2000 МЕ</t>
  </si>
  <si>
    <t>0873400003924000165</t>
  </si>
  <si>
    <t>https://zakupki.gov.ru/epz/order/notice/ea20/view/common-info.html?regNumber=0873400003924000165</t>
  </si>
  <si>
    <t xml:space="preserve">Зидовудин, раствор для инфузий, 10 мг/мл </t>
  </si>
  <si>
    <t>0873400003924000166</t>
  </si>
  <si>
    <t>https://zakupki.gov.ru/epz/order/notice/ea20/view/common-info.html?regNumber=0873400003924000166</t>
  </si>
  <si>
    <t>0873400003924000167</t>
  </si>
  <si>
    <t>https://zakupki.gov.ru/epz/order/notice/ea20/view/common-info.html?regNumber=0873400003924000167</t>
  </si>
  <si>
    <t>0873400003924000168</t>
  </si>
  <si>
    <t>https://zakupki.gov.ru/epz/order/notice/ea20/view/common-info.html?regNumber=0873400003924000168</t>
  </si>
  <si>
    <t>0873400003924000169</t>
  </si>
  <si>
    <t>https://zakupki.gov.ru/epz/order/notice/ea20/view/common-info.html?regNumber=0873400003924000169</t>
  </si>
  <si>
    <t>0873400003924000169_358372</t>
  </si>
  <si>
    <t>Ивакафтор+Лумакафтор, гранулы, 188 мг + 150 мг</t>
  </si>
  <si>
    <t>Оркамби®</t>
  </si>
  <si>
    <t>гранулы, 188 мг+150 мг (саше) 497.4 мг х 56 (пачка картонная)</t>
  </si>
  <si>
    <t>ЛП-007000</t>
  </si>
  <si>
    <t>Великобритания</t>
  </si>
  <si>
    <t>0873400003924000170</t>
  </si>
  <si>
    <t>https://zakupki.gov.ru/epz/order/notice/ea20/view/common-info.html?regNumber=0873400003924000170</t>
  </si>
  <si>
    <t>0873400003924000171</t>
  </si>
  <si>
    <t>https://zakupki.gov.ru/epz/order/notice/ea20/view/common-info.html?regNumber=0873400003924000171</t>
  </si>
  <si>
    <t>Кризотиниб, капсулы, 200 мг</t>
  </si>
  <si>
    <t>0873400003924000172</t>
  </si>
  <si>
    <t>https://zakupki.gov.ru/epz/order/notice/ea20/view/common-info.html?regNumber=0873400003924000172</t>
  </si>
  <si>
    <t>0873400003924000173</t>
  </si>
  <si>
    <t>https://zakupki.gov.ru/epz/order/notice/ea20/view/common-info.html?regNumber=0873400003924000173</t>
  </si>
  <si>
    <t>Левофлоксацин, раствор для инфузий, 5 мг/мл</t>
  </si>
  <si>
    <t>0873400003924000174</t>
  </si>
  <si>
    <t>https://zakupki.gov.ru/epz/order/notice/ea20/view/common-info.html?regNumber=0873400003924000174</t>
  </si>
  <si>
    <t>Линезолид, таблетки, покрытые пленочной оболочкой, 300 мг</t>
  </si>
  <si>
    <t>0873400003924000175</t>
  </si>
  <si>
    <t>https://zakupki.gov.ru/epz/order/notice/ea20/view/common-info.html?regNumber=0873400003924000175</t>
  </si>
  <si>
    <t xml:space="preserve">Ламивудин, раствор для приема внутрь, 10 мг/мл </t>
  </si>
  <si>
    <t>0873400003924000176</t>
  </si>
  <si>
    <t>https://zakupki.gov.ru/epz/order/notice/ea20/view/common-info.html?regNumber=0873400003924000176</t>
  </si>
  <si>
    <t>Циклосерин, капсулы, 125 мг</t>
  </si>
  <si>
    <t>0873400003924000177</t>
  </si>
  <si>
    <t>https://zakupki.gov.ru/epz/order/notice/ea20/view/common-info.html?regNumber=0873400003924000177</t>
  </si>
  <si>
    <t>0873400003924000177-0001</t>
  </si>
  <si>
    <t>капсулы, 125 мг (банка) 100 х 1 (пачка картонная)</t>
  </si>
  <si>
    <t>0873400003924000178</t>
  </si>
  <si>
    <t>https://zakupki.gov.ru/epz/order/notice/ea20/view/common-info.html?regNumber=0873400003924000178</t>
  </si>
  <si>
    <t>Антиингибиторный коагулянтный комплекс, 
лиофилизат для приготовления раствора для 
инфузий, 500 ЕД</t>
  </si>
  <si>
    <t>0873400003924000179</t>
  </si>
  <si>
    <t>https://zakupki.gov.ru/epz/order/notice/ea20/view/common-info.html?regNumber=0873400003924000179</t>
  </si>
  <si>
    <t>Левофлоксацин, капсулы и/или таблетки, покрытые пленочной оболочкой, 500 мг</t>
  </si>
  <si>
    <t>0873400003924000180</t>
  </si>
  <si>
    <t>https://zakupki.gov.ru/epz/order/notice/ea20/view/common-info.html?regNumber=0873400003924000180</t>
  </si>
  <si>
    <t>0873400003924000180-0001</t>
  </si>
  <si>
    <t>ООО "КОСМОФАРМ"</t>
  </si>
  <si>
    <t>Левофлоксацин, капсулы и/или таблетки, покрытые пленочной оболочкой, 250 мг</t>
  </si>
  <si>
    <t>1. Левофлоксацин 
2. Левофлоксацин-АКОС</t>
  </si>
  <si>
    <t>1. таблетки, покрытые пленочной оболочкой, 250 мг (контурная ячейковая упаковка) 10 х 1 (пачка картонная);
2. таблетки, покрытые пленочной оболочкой, 250 мг (контурная ячейковая упаковка) 10 х 1 (пачка картонная).</t>
  </si>
  <si>
    <t>1.ЛП-№(002027)-(РГ-RU);
2.ЛП-№(000883)-(РГ-RU).</t>
  </si>
  <si>
    <t>0873400003924000181</t>
  </si>
  <si>
    <t>https://zakupki.gov.ru/epz/order/notice/ea20/view/common-info.html?regNumber=0873400003924000181</t>
  </si>
  <si>
    <t>Эфмороктоког альфа, лиофилизат для 
приготовления раствора для внутривенного 
введения, 500 МЕ</t>
  </si>
  <si>
    <t>0873400003924000182</t>
  </si>
  <si>
    <t>https://zakupki.gov.ru/epz/order/notice/ea20/view/common-info.html?regNumber=0873400003924000182</t>
  </si>
  <si>
    <t>0873400003924000183</t>
  </si>
  <si>
    <t>https://zakupki.gov.ru/epz/order/notice/ea20/view/common-info.html?regNumber=0873400003924000183</t>
  </si>
  <si>
    <t>Эфмороктоког альфа, лиофилизат для 
приготовления раствора для внутривенного 
введения, 1500 МЕ</t>
  </si>
  <si>
    <t>0873400003924000184</t>
  </si>
  <si>
    <t>https://zakupki.gov.ru/epz/order/notice/ea20/view/common-info.html?regNumber=0873400003924000184</t>
  </si>
  <si>
    <t>Эфмороктоког альфа, лиофилизат для 
приготовления раствора для внутривенного 
введения, 1000 МЕ</t>
  </si>
  <si>
    <t>0873400003924000185</t>
  </si>
  <si>
    <t>https://zakupki.gov.ru/epz/order/notice/ea20/view/common-info.html?regNumber=0873400003924000185</t>
  </si>
  <si>
    <t>0873400003924000186</t>
  </si>
  <si>
    <t>https://zakupki.gov.ru/epz/order/notice/ea20/view/common-info.html?regNumber=0873400003924000186</t>
  </si>
  <si>
    <t>Линезолид, таблетки, покрытые пленочной 
оболочкой, 400 мг</t>
  </si>
  <si>
    <t>0873400003924000187</t>
  </si>
  <si>
    <t>https://zakupki.gov.ru/epz/order/notice/ea20/view/common-info.html?regNumber=0873400003924000187</t>
  </si>
  <si>
    <t>0873400003924000187-0001</t>
  </si>
  <si>
    <t>б</t>
  </si>
  <si>
    <t>0873400003924000188</t>
  </si>
  <si>
    <t>https://zakupki.gov.ru/epz/order/notice/ea20/view/common-info.html?regNumber=0873400003924000188</t>
  </si>
  <si>
    <t>Антиингибиторный коагулянтный комплекс, 
лиофилизат для приготовления раствора для 
инфузий, 1000 ЕД</t>
  </si>
  <si>
    <t>0873400003924000189</t>
  </si>
  <si>
    <t>https://zakupki.gov.ru/epz/order/notice/ea20/view/common-info.html?regNumber=0873400003924000189</t>
  </si>
  <si>
    <t>Левофлоксацин, капсулы и/или таблетки, 
покрытые пленочной оболочкой, 750 мг</t>
  </si>
  <si>
    <t>0873400003924000190</t>
  </si>
  <si>
    <t>https://zakupki.gov.ru/epz/order/notice/ea20/view/common-info.html?regNumber=0873400003924000190</t>
  </si>
  <si>
    <t>Левофлоксацин, капсулы и/или таблетки, 
покрытые пленочной оболочкой, 500 мг</t>
  </si>
  <si>
    <t>0873400003924000191</t>
  </si>
  <si>
    <t>https://zakupki.gov.ru/epz/order/notice/ea20/view/common-info.html?regNumber=0873400003924000191</t>
  </si>
  <si>
    <t>Левофлоксацин, капсулы и/или таблетки, 
покрытые пленочной оболочкой, 250 мг</t>
  </si>
  <si>
    <t>0873400003924000192</t>
  </si>
  <si>
    <t>https://zakupki.gov.ru/epz/order/notice/ea20/view/common-info.html?regNumber=0873400003924000192</t>
  </si>
  <si>
    <t>Моксифлоксацин, раствор для инфузий, 1,6 
мг/мл</t>
  </si>
  <si>
    <t>0873400003924000193</t>
  </si>
  <si>
    <t>https://zakupki.gov.ru/epz/order/notice/ea20/view/common-info.html?regNumber=0873400003924000193</t>
  </si>
  <si>
    <t>0873400003924000194</t>
  </si>
  <si>
    <t>https://zakupki.gov.ru/epz/order/notice/ea20/view/common-info.html?regNumber=0873400003924000194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</si>
  <si>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2000 МЕ</t>
  </si>
  <si>
    <t>0873400003924000195</t>
  </si>
  <si>
    <t>https://zakupki.gov.ru/epz/order/notice/ea20/view/common-info.html?regNumber=0873400003924000195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</si>
  <si>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500 МЕ</t>
  </si>
  <si>
    <t>0873400003924000196</t>
  </si>
  <si>
    <t>https://zakupki.gov.ru/epz/order/notice/ea20/view/common-info.html?regNumber=0873400003924000196</t>
  </si>
  <si>
    <t xml:space="preserve">Динутуксимаб бета, концентрат для приготовления раствора для инфузий, 4,5 мг/мл </t>
  </si>
  <si>
    <t>0873400003924000197</t>
  </si>
  <si>
    <t>https://zakupki.gov.ru/epz/order/notice/ea20/view/common-info.html?regNumber=0873400003924000197</t>
  </si>
  <si>
    <t xml:space="preserve"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 </t>
  </si>
  <si>
    <t>0873400003924000198</t>
  </si>
  <si>
    <t>https://zakupki.gov.ru/epz/order/notice/ea20/view/common-info.html?regNumber=0873400003924000198</t>
  </si>
  <si>
    <t>0873400003924000199</t>
  </si>
  <si>
    <t>https://zakupki.gov.ru/epz/order/notice/ea20/view/common-info.html?regNumber=0873400003924000199</t>
  </si>
  <si>
    <t>Зидовудин+Ламивудин, таблетки, покрытые пленочной оболочкой, 300 мг +150 мг</t>
  </si>
  <si>
    <t>0873400003924000200</t>
  </si>
  <si>
    <t>https://zakupki.gov.ru/epz/order/notice/ea20/view/common-info.html?regNumber=0873400003924000200</t>
  </si>
  <si>
    <t xml:space="preserve"> Велаглюцераза альфа, лиофилизат для приготовления раствора для инфузий, 400 ЕД</t>
  </si>
  <si>
    <t>0873400003924000201</t>
  </si>
  <si>
    <t>https://zakupki.gov.ru/epz/order/notice/ea20/view/common-info.html?regNumber=0873400003924000201</t>
  </si>
  <si>
    <t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</t>
  </si>
  <si>
    <t>0873400003924000202</t>
  </si>
  <si>
    <t>https://zakupki.gov.ru/epz/order/notice/ea20/view/common-info.html?regNumber=0873400003924000202</t>
  </si>
  <si>
    <t xml:space="preserve">Галсульфаза, концентрат для приготовления раствора для инфузий, 1 мг/мл </t>
  </si>
  <si>
    <t>0873400003924000203</t>
  </si>
  <si>
    <t>https://zakupki.gov.ru/epz/order/notice/ea20/view/common-info.html?regNumber=0873400003924000203</t>
  </si>
  <si>
    <t>Линезолид, таблетки, покрытые пленочной оболочкой, 200 мг</t>
  </si>
  <si>
    <t>0873400003924000204</t>
  </si>
  <si>
    <t>https://zakupki.gov.ru/epz/order/notice/ea20/view/common-info.html?regNumber=0873400003924000204</t>
  </si>
  <si>
    <t>0873400003924000205</t>
  </si>
  <si>
    <t>https://zakupki.gov.ru/epz/order/notice/ea20/view/common-info.html?regNumber=0873400003924000205</t>
  </si>
  <si>
    <t>Линезолид, таблетки, покрытые пленочной оболочкой, 600 мг</t>
  </si>
  <si>
    <t>0873400003924000206</t>
  </si>
  <si>
    <t>https://zakupki.gov.ru/epz/order/notice/ea20/view/common-info.html?regNumber=0873400003924000206</t>
  </si>
  <si>
    <t>8 651 280,00</t>
  </si>
  <si>
    <t>0873400003924000207</t>
  </si>
  <si>
    <t>https://zakupki.gov.ru/epz/order/notice/ea20/view/common-info.html?regNumber=0873400003924000207</t>
  </si>
  <si>
    <t>Тенофовир, таблетки, покрытые пленочной оболочкой, 300 мг и/или 245 мг</t>
  </si>
  <si>
    <t>0873400003924000208</t>
  </si>
  <si>
    <t>https://zakupki.gov.ru/epz/order/notice/ea20/view/common-info.html?regNumber=0873400003924000208</t>
  </si>
  <si>
    <t>0873400003924000209</t>
  </si>
  <si>
    <t>https://zakupki.gov.ru/epz/order/notice/ea20/view/common-info.html?regNumber=0873400003924000209</t>
  </si>
  <si>
    <t>Эмицизумаб, раствор для подкожного введения 30 мг/мл</t>
  </si>
  <si>
    <t>0873400003924000211</t>
  </si>
  <si>
    <t>https://zakupki.gov.ru/epz/order/notice/ea20/view/common-info.html?regNumber=0873400003924000211</t>
  </si>
  <si>
    <t>0873400003924000211-0001</t>
  </si>
  <si>
    <t xml:space="preserve"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 </t>
  </si>
  <si>
    <t>1. Капреомицин;
2. Капреомицин.</t>
  </si>
  <si>
    <t>1. порошок для приготовления раствора для внутривенного и внутримышечного введения 1.0 г (флакон) х 1 (пачка картонная);
2. порошок для приготовления раствора для внутривенного и внутримышечного введения 1.0 г (флакон) х 50 (коробка картонная) (для стационаров).</t>
  </si>
  <si>
    <t>ЛП-006388</t>
  </si>
  <si>
    <t>1. 1;
2. 50.</t>
  </si>
  <si>
    <t>0873400003924000212</t>
  </si>
  <si>
    <t>https://zakupki.gov.ru/epz/order/notice/ea20/view/common-info.html?regNumber=0873400003924000212</t>
  </si>
  <si>
    <t>Аминосалициловая кислота, лиофилизат для приготовления раствора для инфузий, 3 г и/или раствор для инфузий, 30 мг/мл, 100 мл</t>
  </si>
  <si>
    <t>0873400003924000213</t>
  </si>
  <si>
    <t>https://zakupki.gov.ru/epz/order/notice/ea20/view/common-info.html?regNumber=0873400003924000213</t>
  </si>
  <si>
    <t>0873400003924000213-0001</t>
  </si>
  <si>
    <t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</t>
  </si>
  <si>
    <t>Растан®</t>
  </si>
  <si>
    <t>раствор для подкожного введения, 5 мг/мл (15 МЕ/мл) (картридж + шприц-ручка БиоматикПен®2)3 мл х 1 (пачка картонная)</t>
  </si>
  <si>
    <t>ЛСР-006944/10</t>
  </si>
  <si>
    <t>0873400003924000214</t>
  </si>
  <si>
    <t>https://zakupki.gov.ru/epz/order/notice/ea20/view/common-info.html?regNumber=0873400003924000214</t>
  </si>
  <si>
    <t>0873400003924000215</t>
  </si>
  <si>
    <t>https://zakupki.gov.ru/epz/order/notice/ea20/view/common-info.html?regNumber=0873400003924000215</t>
  </si>
  <si>
    <t>Амикацин, раствор для инфузий и внутримышечного введения и/или раствор для внутривенного и внутримышечного введения, 250 мг/мл, 2 мл и/или порошок для приготовления раствора для внутривенного и внутримышечного введения и/или лиофилизат для приготовления раствора для внутривенного и внутримышечного введения, 500 мг</t>
  </si>
  <si>
    <t>0873400003924000216</t>
  </si>
  <si>
    <t>https://zakupki.gov.ru/epz/order/notice/ea20/view/common-info.html?regNumber=0873400003924000216</t>
  </si>
  <si>
    <t>Велаглюцераза альфа, лиофилизат для приготовления раствора для инфузий, 400 ЕД</t>
  </si>
  <si>
    <t>0873400003924000217</t>
  </si>
  <si>
    <t>https://zakupki.gov.ru/epz/order/notice/ea20/view/common-info.html?regNumber=0873400003924000217</t>
  </si>
  <si>
    <t>Пэгинтерферон бета-1a, раствор для подкожного введения, 125 мкг</t>
  </si>
  <si>
    <t>0873400003924000218</t>
  </si>
  <si>
    <t>https://zakupki.gov.ru/epz/order/notice/ea20/view/common-info.html?regNumber=0873400003924000218</t>
  </si>
  <si>
    <t xml:space="preserve">Селуметиниб, капсулы, 10 мг </t>
  </si>
  <si>
    <t>0873400003924000219</t>
  </si>
  <si>
    <t>https://zakupki.gov.ru/epz/order/notice/ea20/view/common-info.html?regNumber=0873400003924000219</t>
  </si>
  <si>
    <t>0873400003924000220</t>
  </si>
  <si>
    <t>https://zakupki.gov.ru/epz/order/notice/ea20/view/common-info.html?regNumber=0873400003924000220</t>
  </si>
  <si>
    <t>0873400003924000221</t>
  </si>
  <si>
    <t>https://zakupki.gov.ru/epz/order/notice/ea20/view/common-info.html?regNumber=0873400003924000221</t>
  </si>
  <si>
    <t>0873400003924000222</t>
  </si>
  <si>
    <t>https://zakupki.gov.ru/epz/order/notice/ea20/view/common-info.html?regNumber=0873400003924000222</t>
  </si>
  <si>
    <t>0873400003924000223</t>
  </si>
  <si>
    <t>https://zakupki.gov.ru/epz/order/notice/ea20/view/common-info.html?regNumber=0873400003924000223</t>
  </si>
  <si>
    <t>0873400003924000224</t>
  </si>
  <si>
    <t>https://zakupki.gov.ru/epz/order/notice/ea20/view/common-info.html?regNumber=0873400003924000224</t>
  </si>
  <si>
    <t>0873400003924000225</t>
  </si>
  <si>
    <t>https://zakupki.gov.ru/epz/order/notice/ea20/view/common-info.html?regNumber=0873400003924000225</t>
  </si>
  <si>
    <t>0873400003924000227</t>
  </si>
  <si>
    <t>https://zakupki.gov.ru/epz/order/notice/ea20/view/common-info.html?regNumber=0873400003924000227</t>
  </si>
  <si>
    <t>0873400003924000228</t>
  </si>
  <si>
    <t>https://zakupki.gov.ru/epz/order/notice/ea20/view/common-info.html?regNumber=0873400003924000228</t>
  </si>
  <si>
    <t>0873400003924000229</t>
  </si>
  <si>
    <t>https://zakupki.gov.ru/epz/order/notice/ea20/view/common-info.html?regNumber=0873400003924000229</t>
  </si>
  <si>
    <t>0873400003924000230</t>
  </si>
  <si>
    <t>https://zakupki.gov.ru/epz/order/notice/ea20/view/common-info.html?regNumber=0873400003924000230</t>
  </si>
  <si>
    <t xml:space="preserve"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 </t>
  </si>
  <si>
    <t>0873400003924000231</t>
  </si>
  <si>
    <t>https://zakupki.gov.ru/epz/order/notice/ea20/view/common-info.html?regNumber=0873400003924000231</t>
  </si>
  <si>
    <t>0873400003924000232</t>
  </si>
  <si>
    <t>https://zakupki.gov.ru/epz/order/notice/ea20/view/common-info.html?regNumber=0873400003924000232</t>
  </si>
  <si>
    <t xml:space="preserve">0873400003924000234 </t>
  </si>
  <si>
    <t>https://zakupki.gov.ru/epz/order/notice/ea20/view/common-info.html?regNumber=0873400003924000234</t>
  </si>
  <si>
    <t xml:space="preserve"> Такролимус, капсулы, 5 мг</t>
  </si>
  <si>
    <t xml:space="preserve">0873400003924000235 </t>
  </si>
  <si>
    <t>1512 ЗК</t>
  </si>
  <si>
    <t>https://zakupki.gov.ru/epz/order/notice/ea20/view/common-info.html?regNumber=0873400003924000235</t>
  </si>
  <si>
    <t xml:space="preserve">136 479,00	</t>
  </si>
  <si>
    <t>0873400003924000236</t>
  </si>
  <si>
    <t>https://zakupki.gov.ru/epz/order/notice/ea20/view/common-info.html?regNumber=0873400003924000236</t>
  </si>
  <si>
    <t xml:space="preserve">0873400003924000237 </t>
  </si>
  <si>
    <t>https://zakupki.gov.ru/epz/order/notice/ea20/view/common-info.html?regNumber=0873400003924000237</t>
  </si>
  <si>
    <t xml:space="preserve">Помалидомид, капсулы, 2 мг </t>
  </si>
  <si>
    <t xml:space="preserve">0873400003924000238 </t>
  </si>
  <si>
    <t>https://zakupki.gov.ru/epz/order/notice/ea20/view/common-info.html?regNumber=0873400003924000238</t>
  </si>
  <si>
    <t>Иматиниб, капсулы и/или таблетки, покрытые плёночной оболочкой, 400 мг</t>
  </si>
  <si>
    <t>0873400003924000239</t>
  </si>
  <si>
    <t>https://zakupki.gov.ru/epz/order/notice/ea20/view/common-info.html?regNumber=0873400003924000239</t>
  </si>
  <si>
    <t>Иматиниб, капсулы и/или таблетки, покрытые плёночной оболочкой, 100 мг</t>
  </si>
  <si>
    <t>0873400003924000240</t>
  </si>
  <si>
    <t>https://zakupki.gov.ru/epz/order/notice/ea20/view/common-info.html?regNumber=0873400003924000240</t>
  </si>
  <si>
    <t>Флударабин, лиофилизат для приготовления раствора для внутривенного введения, 50 мг и/или концентрат для приготовления раствора для внутривенного введения, 25 мг/мл</t>
  </si>
  <si>
    <t>0873400003924000241</t>
  </si>
  <si>
    <t>https://zakupki.gov.ru/epz/order/notice/ea20/view/common-info.html?regNumber=0873400003924000241</t>
  </si>
  <si>
    <t xml:space="preserve">Такролимус, капсулы, 0,5 мг </t>
  </si>
  <si>
    <t>0873400003924000242</t>
  </si>
  <si>
    <t>https://zakupki.gov.ru/epz/order/notice/ea20/view/common-info.html?regNumber=0873400003924000242</t>
  </si>
  <si>
    <t>Эптаког альфа (активированный), лиофилизат для приготовления раствора для внутривенного введения, 2,4 мг (120 КЕД)</t>
  </si>
  <si>
    <t>0873400003924000243</t>
  </si>
  <si>
    <t>https://zakupki.gov.ru/epz/order/notice/ea20/view/common-info.html?regNumber=0873400003924000243</t>
  </si>
  <si>
    <t>0873400003924000244</t>
  </si>
  <si>
    <t>https://zakupki.gov.ru/epz/order/notice/ea20/view/common-info.html?regNumber=0873400003924000244</t>
  </si>
  <si>
    <t>Эмицизумаб, раствор для подкожного введения, 150 мг/мл</t>
  </si>
  <si>
    <t>0873400003924000245</t>
  </si>
  <si>
    <t>https://zakupki.gov.ru/epz/order/notice/ea20/view/common-info.html?regNumber=0873400003924000245</t>
  </si>
  <si>
    <t>0873400003924000246</t>
  </si>
  <si>
    <t>https://zakupki.gov.ru/epz/order/notice/ea20/view/common-info.html?regNumber=0873400003924000246</t>
  </si>
  <si>
    <t>Зидовудин, таблетки, покрытые пленочной оболочкой, 300 мг</t>
  </si>
  <si>
    <t>0873400003924000247</t>
  </si>
  <si>
    <t>https://zakupki.gov.ru/epz/order/notice/ea20/view/common-info.html?regNumber=0873400003924000247</t>
  </si>
  <si>
    <t>0873400003924000252</t>
  </si>
  <si>
    <t>https://zakupki.gov.ru/epz/order/notice/ea20/view/common-info.html?regNumber=0873400003924000252</t>
  </si>
  <si>
    <t>0873400003924000253</t>
  </si>
  <si>
    <t>https://zakupki.gov.ru/epz/order/notice/ea20/view/common-info.html?regNumber=0873400003924000253</t>
  </si>
  <si>
    <t>Аминосалициловая кислота, таблетки кишечнорастворимые, покрытые пленочной оболочкой и/или таблетки, покрытые кишечнорастворимой оболочкой, 1000 мг</t>
  </si>
  <si>
    <t>0873400003924000254</t>
  </si>
  <si>
    <t>https://zakupki.gov.ru/epz/order/notice/ea20/view/common-info.html?regNumber=0873400003924000254</t>
  </si>
  <si>
    <t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180 мг</t>
  </si>
  <si>
    <t>0873400003924000255</t>
  </si>
  <si>
    <t>https://zakupki.gov.ru/epz/order/notice/ea20/view/common-info.html?regNumber=0873400003924000255</t>
  </si>
  <si>
    <t>0873400003924000256</t>
  </si>
  <si>
    <t>https://zakupki.gov.ru/epz/order/notice/ea20/view/common-info.html?regNumber=0873400003924000256</t>
  </si>
  <si>
    <t>Аминосалициловая кислота, раствор для инфузий, 30 мг/мл, и/или лиофилизат для приготовления раствора для инфузий, 13,49 г</t>
  </si>
  <si>
    <t>0873400003924000257</t>
  </si>
  <si>
    <t>https://zakupki.gov.ru/epz/order/notice/ea20/view/common-info.html?regNumber=0873400003924000257</t>
  </si>
  <si>
    <t>0873400003924000258</t>
  </si>
  <si>
    <t>https://zakupki.gov.ru/epz/order/notice/ea20/view/common-info.html?regNumber=0873400003924000258</t>
  </si>
  <si>
    <t>0873400003924000259</t>
  </si>
  <si>
    <t>https://zakupki.gov.ru/epz/order/notice/ea20/view/common-info.html?regNumber=0873400003924000259</t>
  </si>
  <si>
    <t>0873400003924000260</t>
  </si>
  <si>
    <t xml:space="preserve">1 454 472,00	</t>
  </si>
  <si>
    <t>0873400003924000261</t>
  </si>
  <si>
    <t>1512ЗК</t>
  </si>
  <si>
    <t>0873400003924000262</t>
  </si>
  <si>
    <t xml:space="preserve">Атазанавир, капсулы, 200 мг </t>
  </si>
  <si>
    <t>0873400003924000263</t>
  </si>
  <si>
    <t>0873400003924000264</t>
  </si>
  <si>
    <t>Ивакафтор+Лумакафтор, гранулы, 125 мг+100 мг</t>
  </si>
  <si>
    <t xml:space="preserve">0873400003924000265 </t>
  </si>
  <si>
    <t xml:space="preserve">Фактор свертывания крови VIII + Фактор Виллебранда, лиофилизат для приготовления раствора для внутривенного введения, 500 МЕ + 1200 МЕ </t>
  </si>
  <si>
    <t xml:space="preserve">0873400003924000266 </t>
  </si>
  <si>
    <t xml:space="preserve">0873400003924000267 </t>
  </si>
  <si>
    <t>Адалимумаб, раствор для подкожного введения, 40 мг/0,8 мл</t>
  </si>
  <si>
    <t>0873400003924000268</t>
  </si>
  <si>
    <t xml:space="preserve">Имиглюцераза, лиофилизат для приготовления раствора для инфузий, 400 ЕД </t>
  </si>
  <si>
    <t>0873400003924000269</t>
  </si>
  <si>
    <t>0873400003924000270</t>
  </si>
  <si>
    <t>Помалидомид, капсулы, 4 мг</t>
  </si>
  <si>
    <t>0873400003924000271</t>
  </si>
  <si>
    <t>Помалидомид, капсулы, 2 мг</t>
  </si>
  <si>
    <t>0873400003924000272</t>
  </si>
  <si>
    <t>0873400003924000273</t>
  </si>
  <si>
    <t>Эмицизумаб, раствор для подкожного введения, 150 мг/мл, 0,4 мл</t>
  </si>
  <si>
    <t xml:space="preserve"> 0873400003924000274</t>
  </si>
  <si>
    <t xml:space="preserve">Помалидомид, капсулы, 4 мг </t>
  </si>
  <si>
    <t xml:space="preserve">0873400003924000275 </t>
  </si>
  <si>
    <t xml:space="preserve">Вакцина для профилактики пневмококковых инфекций, суспензия для внутримышечного введения, 0,5 мл/доза </t>
  </si>
  <si>
    <t>0873400003924000276</t>
  </si>
  <si>
    <t>Аминосалициловая кислота, таблетки кишечнорастворимые, покрытые пленочной оболочкой, и/или таблетки, покрытые кишечнорастворимой оболочкой, и/или таблетки кишечнорастворимые, покрытые оболочкой, 2000 мг и/или гранулы 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для приема внутрь</t>
  </si>
  <si>
    <t>0873400003924000277</t>
  </si>
  <si>
    <t>0873400003924000278</t>
  </si>
  <si>
    <t>0873400003924000279</t>
  </si>
  <si>
    <t>0873400003924000280</t>
  </si>
  <si>
    <t>Глатирамера ацетат, раствор для подкожного 
введения, 40 мг/мл</t>
  </si>
  <si>
    <t>0873400003924000281</t>
  </si>
  <si>
    <t>0873400003924000282</t>
  </si>
  <si>
    <t>0873400003924000283</t>
  </si>
  <si>
    <t>0873400003924000284</t>
  </si>
  <si>
    <t>0873400003924000285</t>
  </si>
  <si>
    <t>0873400003924000286</t>
  </si>
  <si>
    <t>Идурсульфаза, концентрат для приготовления раствора для инфузий, 2 мг/мл</t>
  </si>
  <si>
    <t>0873400003924000287</t>
  </si>
  <si>
    <t>0873400003924000288</t>
  </si>
  <si>
    <t>Октоког альфа, лиофилизат для приготовления раствора для внутривенного введения, 1000 -1500 МЕ</t>
  </si>
  <si>
    <t>0873400003924000289</t>
  </si>
  <si>
    <t>Аминосалициловая кислота, таблетки 
кишечнорастворимые, покрытые пленочной 
оболочкой, и/или таблетки, покрытые 
кишечнорастворимой оболочкой, и/или 
таблетки кишечнорастворимые, покрытые 
оболочкой, 2000 мг и/или гранулы 
замедленного высвобождения для приема 
внутрь и/или гранулы с пролонгированным 
высвобождением и/или гранулы 
кишечнорастворимые и/или гранулы, 
покрытые кишечнорастворимой оболочкой, 
и/или гранулы, покрытые оболочкой, для 
приема внутрь</t>
  </si>
  <si>
    <t>0873400003924000290</t>
  </si>
  <si>
    <t>0873400003924000291</t>
  </si>
  <si>
    <t>0873400003924000293</t>
  </si>
  <si>
    <t>Селексипаг, таблетки, покрытые пленочной 
оболочкой, 800 мкг</t>
  </si>
  <si>
    <t>0873400003924000294</t>
  </si>
  <si>
    <t>Селексипаг, таблетки, покрытые пленочной 
оболочкой, 200 мкг</t>
  </si>
  <si>
    <t>0873400003924000295</t>
  </si>
  <si>
    <t xml:space="preserve">Энтректиниб, капсулы, 200 мг </t>
  </si>
  <si>
    <t>0873400003924000296</t>
  </si>
  <si>
    <t>0873400003924000297</t>
  </si>
  <si>
    <t>0873400003924000298</t>
  </si>
  <si>
    <t>Микофеноловая кислота, таблетки 
кишечнорастворимые, покрытые оболочкой 
и/или таблетки кишечнорастворимые, 
покрытые пленочной оболочкой и/или 
таблетки, покрытые кишечнорастворимой 
оболочкой, 360 мг</t>
  </si>
  <si>
    <t>0873400003924000299</t>
  </si>
  <si>
    <t>0873400003924000303</t>
  </si>
  <si>
    <t>Фактор свертывания крови VIII + Фактор 
Виллебранда, лиофилизат для приготовления 
раствора для внутривенного введения, 1000 
МЕ + 750 МЕ</t>
  </si>
  <si>
    <t>0873400003924000304</t>
  </si>
  <si>
    <t>Интерферон бета-1а, раствор для подкожного 
введения, 44 мкг/0,5 мл и/или 12 млн. МЕ, 0,5 
мл</t>
  </si>
  <si>
    <t>0873400003924000305</t>
  </si>
  <si>
    <t>Адалимумаб, раствор для подкожного 
введения, 40 мг/0,8 мл</t>
  </si>
  <si>
    <t>0873400003924000306</t>
  </si>
  <si>
    <t>Интерферон бета-1а, раствор для подкожного 
введения, 22 мкг/0,5 мл и/или 6 млн. МЕ/0,5 
мл</t>
  </si>
  <si>
    <t>0873400003924000307</t>
  </si>
  <si>
    <t>Фактор свертывания крови VIII + Фактор 
Виллебранда, лиофилизат для приготовления 
раствора для внутривенного введения, 450 
МЕ + 400 МЕ</t>
  </si>
  <si>
    <t>0873400003924000308</t>
  </si>
  <si>
    <t>0873400003924000309</t>
  </si>
  <si>
    <t>Даратумумаб, концентрат для приготовления 
раствора для инфузий, 20 мг/мл, 20 мл</t>
  </si>
  <si>
    <t>0873400003924000310</t>
  </si>
  <si>
    <t>0873400003924000311</t>
  </si>
  <si>
    <t>0873400003924000313</t>
  </si>
  <si>
    <t>Ивакафтор+Лумакафтор, гранулы, 188 мг +
150 мг</t>
  </si>
  <si>
    <t>0873400003924000314</t>
  </si>
  <si>
    <t>Иммуноглобулин человека нормальный, 
раствор для инфузий 100 мг/мл и/или раствор 
для внутривенных и подкожных инфузий, 
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</si>
</sst>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299" Type="http://schemas.openxmlformats.org/officeDocument/2006/relationships/hyperlink" Target="https://zakupki.gov.ru/epz/order/notice/ea20/view/common-info.html?regNumber=0873400003924000109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324" Type="http://schemas.openxmlformats.org/officeDocument/2006/relationships/hyperlink" Target="https://zakupki.gov.ru/epz/order/notice/ea20/view/common-info.html?regNumber=0873400003924000135" TargetMode="External"/><Relationship Id="rId366" Type="http://schemas.openxmlformats.org/officeDocument/2006/relationships/hyperlink" Target="https://zakupki.gov.ru/epz/order/notice/ea20/view/common-info.html?regNumber=0873400003924000179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226" Type="http://schemas.openxmlformats.org/officeDocument/2006/relationships/hyperlink" Target="https://zakupki.gov.ru/epz/order/notice/ea20/view/common-info.html?regNumber=0873400003924000056" TargetMode="External"/><Relationship Id="rId433" Type="http://schemas.openxmlformats.org/officeDocument/2006/relationships/hyperlink" Target="https://zakupki.gov.ru/epz/order/notice/ea20/view/common-info.html?regNumber=0873400003924000253" TargetMode="External"/><Relationship Id="rId268" Type="http://schemas.openxmlformats.org/officeDocument/2006/relationships/hyperlink" Target="https://zakupki.gov.ru/epz/order/notice/ea20/view/common-info.html?regNumber=0873400003924000078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335" Type="http://schemas.openxmlformats.org/officeDocument/2006/relationships/hyperlink" Target="https://zakupki.gov.ru/epz/order/notice/ea20/view/common-info.html?regNumber=0873400003924000148" TargetMode="External"/><Relationship Id="rId377" Type="http://schemas.openxmlformats.org/officeDocument/2006/relationships/hyperlink" Target="https://zakupki.gov.ru/epz/order/notice/ea20/view/common-info.html?regNumber=0873400003924000190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237" Type="http://schemas.openxmlformats.org/officeDocument/2006/relationships/hyperlink" Target="https://zakupki.gov.ru/epz/order/notice/ea20/view/common-info.html?regNumber=0873400003924000046" TargetMode="External"/><Relationship Id="rId402" Type="http://schemas.openxmlformats.org/officeDocument/2006/relationships/hyperlink" Target="https://zakupki.gov.ru/epz/order/notice/ea20/view/common-info.html?regNumber=0873400003924000216" TargetMode="External"/><Relationship Id="rId279" Type="http://schemas.openxmlformats.org/officeDocument/2006/relationships/hyperlink" Target="https://zakupki.gov.ru/epz/order/notice/ea20/view/common-info.html?regNumber=0873400003924000089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290" Type="http://schemas.openxmlformats.org/officeDocument/2006/relationships/hyperlink" Target="https://zakupki.gov.ru/epz/order/notice/ea20/view/common-info.html?regNumber=0873400003924000100" TargetMode="External"/><Relationship Id="rId304" Type="http://schemas.openxmlformats.org/officeDocument/2006/relationships/hyperlink" Target="https://zakupki.gov.ru/epz/order/notice/ea20/view/common-info.html?regNumber=0873400003924000114" TargetMode="External"/><Relationship Id="rId346" Type="http://schemas.openxmlformats.org/officeDocument/2006/relationships/hyperlink" Target="https://zakupki.gov.ru/epz/order/notice/ea20/view/common-info.html?regNumber=0873400003924000159" TargetMode="External"/><Relationship Id="rId388" Type="http://schemas.openxmlformats.org/officeDocument/2006/relationships/hyperlink" Target="https://zakupki.gov.ru/epz/order/notice/ea20/view/common-info.html?regNumber=0873400003924000201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192" Type="http://schemas.openxmlformats.org/officeDocument/2006/relationships/hyperlink" Target="https://zakupki.gov.ru/epz/order/notice/ea20/view/common-info.html?regNumber=0873400003924000002" TargetMode="External"/><Relationship Id="rId206" Type="http://schemas.openxmlformats.org/officeDocument/2006/relationships/hyperlink" Target="https://zakupki.gov.ru/epz/order/notice/ea20/view/common-info.html?regNumber=0873400003924000016" TargetMode="External"/><Relationship Id="rId413" Type="http://schemas.openxmlformats.org/officeDocument/2006/relationships/hyperlink" Target="https://zakupki.gov.ru/epz/order/notice/ea20/view/common-info.html?regNumber=0873400003924000228" TargetMode="External"/><Relationship Id="rId248" Type="http://schemas.openxmlformats.org/officeDocument/2006/relationships/hyperlink" Target="https://zakupki.gov.ru/epz/order/notice/ea20/view/common-info.html?regNumber=0873400003924000058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315" Type="http://schemas.openxmlformats.org/officeDocument/2006/relationships/hyperlink" Target="https://zakupki.gov.ru/epz/order/notice/ea20/view/common-info.html?regNumber=0873400003924000126" TargetMode="External"/><Relationship Id="rId357" Type="http://schemas.openxmlformats.org/officeDocument/2006/relationships/hyperlink" Target="https://zakupki.gov.ru/epz/order/notice/ea20/view/common-info.html?regNumber=0873400003924000170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217" Type="http://schemas.openxmlformats.org/officeDocument/2006/relationships/hyperlink" Target="https://zakupki.gov.ru/epz/order/notice/ea20/view/common-info.html?regNumber=0873400003924000027" TargetMode="External"/><Relationship Id="rId399" Type="http://schemas.openxmlformats.org/officeDocument/2006/relationships/hyperlink" Target="https://zakupki.gov.ru/epz/order/notice/ea20/view/common-info.html?regNumber=0873400003924000213" TargetMode="External"/><Relationship Id="rId259" Type="http://schemas.openxmlformats.org/officeDocument/2006/relationships/hyperlink" Target="https://zakupki.gov.ru/epz/order/notice/ea20/view/common-info.html?regNumber=0873400003924000069" TargetMode="External"/><Relationship Id="rId424" Type="http://schemas.openxmlformats.org/officeDocument/2006/relationships/hyperlink" Target="https://zakupki.gov.ru/epz/order/notice/ea20/view/common-info.html?regNumber=0873400003924000240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270" Type="http://schemas.openxmlformats.org/officeDocument/2006/relationships/hyperlink" Target="https://zakupki.gov.ru/epz/order/notice/ea20/view/common-info.html?regNumber=0873400003924000080" TargetMode="External"/><Relationship Id="rId326" Type="http://schemas.openxmlformats.org/officeDocument/2006/relationships/hyperlink" Target="https://zakupki.gov.ru/epz/order/notice/ea20/view/common-info.html?regNumber=0873400003924000137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368" Type="http://schemas.openxmlformats.org/officeDocument/2006/relationships/hyperlink" Target="https://zakupki.gov.ru/epz/order/notice/ea20/view/common-info.html?regNumber=0873400003924000181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228" Type="http://schemas.openxmlformats.org/officeDocument/2006/relationships/hyperlink" Target="https://zakupki.gov.ru/epz/order/notice/ea20/view/common-info.html?regNumber=0873400003924000037" TargetMode="External"/><Relationship Id="rId435" Type="http://schemas.openxmlformats.org/officeDocument/2006/relationships/hyperlink" Target="https://zakupki.gov.ru/epz/order/notice/ea20/view/common-info.html?regNumber=0873400003924000255" TargetMode="External"/><Relationship Id="rId281" Type="http://schemas.openxmlformats.org/officeDocument/2006/relationships/hyperlink" Target="https://zakupki.gov.ru/epz/order/notice/ea20/view/common-info.html?regNumber=0873400003924000091" TargetMode="External"/><Relationship Id="rId337" Type="http://schemas.openxmlformats.org/officeDocument/2006/relationships/hyperlink" Target="https://zakupki.gov.ru/epz/order/notice/ea20/view/common-info.html?regNumber=0873400003924000150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379" Type="http://schemas.openxmlformats.org/officeDocument/2006/relationships/hyperlink" Target="https://zakupki.gov.ru/epz/order/notice/ea20/view/common-info.html?regNumber=0873400003924000192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239" Type="http://schemas.openxmlformats.org/officeDocument/2006/relationships/hyperlink" Target="https://zakupki.gov.ru/epz/order/notice/ea20/view/common-info.html?regNumber=0873400003924000048" TargetMode="External"/><Relationship Id="rId390" Type="http://schemas.openxmlformats.org/officeDocument/2006/relationships/hyperlink" Target="https://zakupki.gov.ru/epz/order/notice/ea20/view/common-info.html?regNumber=0873400003924000203" TargetMode="External"/><Relationship Id="rId404" Type="http://schemas.openxmlformats.org/officeDocument/2006/relationships/hyperlink" Target="https://zakupki.gov.ru/epz/order/notice/ea20/view/common-info.html?regNumber=0873400003924000218" TargetMode="External"/><Relationship Id="rId250" Type="http://schemas.openxmlformats.org/officeDocument/2006/relationships/hyperlink" Target="https://zakupki.gov.ru/epz/order/notice/ea20/view/common-info.html?regNumber=0873400003924000060" TargetMode="External"/><Relationship Id="rId292" Type="http://schemas.openxmlformats.org/officeDocument/2006/relationships/hyperlink" Target="https://zakupki.gov.ru/epz/order/notice/ea20/view/common-info.html?regNumber=0873400003924000102" TargetMode="External"/><Relationship Id="rId306" Type="http://schemas.openxmlformats.org/officeDocument/2006/relationships/hyperlink" Target="https://zakupki.gov.ru/epz/order/notice/ea20/view/common-info.html?regNumber=0873400003924000116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348" Type="http://schemas.openxmlformats.org/officeDocument/2006/relationships/hyperlink" Target="https://zakupki.gov.ru/epz/order/notice/ea20/view/common-info.html?regNumber=0873400003924000161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194" Type="http://schemas.openxmlformats.org/officeDocument/2006/relationships/hyperlink" Target="https://zakupki.gov.ru/epz/order/notice/ea20/view/common-info.html?regNumber=0873400003924000004" TargetMode="External"/><Relationship Id="rId208" Type="http://schemas.openxmlformats.org/officeDocument/2006/relationships/hyperlink" Target="https://zakupki.gov.ru/epz/order/notice/ea20/view/common-info.html?regNumber=0873400003924000018" TargetMode="External"/><Relationship Id="rId415" Type="http://schemas.openxmlformats.org/officeDocument/2006/relationships/hyperlink" Target="https://zakupki.gov.ru/epz/order/notice/ea20/view/common-info.html?regNumber=0873400003924000230" TargetMode="External"/><Relationship Id="rId261" Type="http://schemas.openxmlformats.org/officeDocument/2006/relationships/hyperlink" Target="https://zakupki.gov.ru/epz/order/notice/ea20/view/common-info.html?regNumber=0873400003924000071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317" Type="http://schemas.openxmlformats.org/officeDocument/2006/relationships/hyperlink" Target="https://zakupki.gov.ru/epz/order/notice/ea20/view/common-info.html?regNumber=0873400003924000128" TargetMode="External"/><Relationship Id="rId359" Type="http://schemas.openxmlformats.org/officeDocument/2006/relationships/hyperlink" Target="https://zakupki.gov.ru/epz/order/notice/ea20/view/common-info.html?regNumber=0873400003924000172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219" Type="http://schemas.openxmlformats.org/officeDocument/2006/relationships/hyperlink" Target="https://zakupki.gov.ru/epz/order/notice/ea20/view/common-info.html?regNumber=0873400003924000029" TargetMode="External"/><Relationship Id="rId370" Type="http://schemas.openxmlformats.org/officeDocument/2006/relationships/hyperlink" Target="https://zakupki.gov.ru/epz/order/notice/ea20/view/common-info.html?regNumber=0873400003924000183" TargetMode="External"/><Relationship Id="rId426" Type="http://schemas.openxmlformats.org/officeDocument/2006/relationships/hyperlink" Target="https://zakupki.gov.ru/epz/order/notice/ea20/view/common-info.html?regNumber=0873400003924000242" TargetMode="External"/><Relationship Id="rId230" Type="http://schemas.openxmlformats.org/officeDocument/2006/relationships/hyperlink" Target="https://zakupki.gov.ru/epz/order/notice/ea20/view/common-info.html?regNumber=0873400003924000039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272" Type="http://schemas.openxmlformats.org/officeDocument/2006/relationships/hyperlink" Target="https://zakupki.gov.ru/epz/order/notice/ea20/view/common-info.html?regNumber=0873400003924000082" TargetMode="External"/><Relationship Id="rId328" Type="http://schemas.openxmlformats.org/officeDocument/2006/relationships/hyperlink" Target="https://zakupki.gov.ru/epz/order/notice/ea20/view/common-info.html?regNumber=0873400003924000139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381" Type="http://schemas.openxmlformats.org/officeDocument/2006/relationships/hyperlink" Target="https://zakupki.gov.ru/epz/order/notice/ea20/view/common-info.html?regNumber=0873400003924000194" TargetMode="External"/><Relationship Id="rId241" Type="http://schemas.openxmlformats.org/officeDocument/2006/relationships/hyperlink" Target="https://zakupki.gov.ru/epz/order/notice/ea20/view/common-info.html?regNumber=0873400003924000050" TargetMode="External"/><Relationship Id="rId437" Type="http://schemas.openxmlformats.org/officeDocument/2006/relationships/hyperlink" Target="https://zakupki.gov.ru/epz/order/notice/ea20/view/common-info.html?regNumber=0873400003924000257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283" Type="http://schemas.openxmlformats.org/officeDocument/2006/relationships/hyperlink" Target="https://zakupki.gov.ru/epz/order/notice/ea20/view/common-info.html?regNumber=0873400003924000093" TargetMode="External"/><Relationship Id="rId339" Type="http://schemas.openxmlformats.org/officeDocument/2006/relationships/hyperlink" Target="https://zakupki.gov.ru/epz/order/notice/ea20/view/common-info.html?regNumber=0873400003924000152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350" Type="http://schemas.openxmlformats.org/officeDocument/2006/relationships/hyperlink" Target="https://zakupki.gov.ru/epz/order/notice/ea20/view/common-info.html?regNumber=0873400003924000163" TargetMode="External"/><Relationship Id="rId406" Type="http://schemas.openxmlformats.org/officeDocument/2006/relationships/hyperlink" Target="https://zakupki.gov.ru/epz/order/notice/ea20/view/common-info.html?regNumber=0873400003924000220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210" Type="http://schemas.openxmlformats.org/officeDocument/2006/relationships/hyperlink" Target="https://zakupki.gov.ru/epz/order/notice/ea20/view/common-info.html?regNumber=0873400003924000020" TargetMode="External"/><Relationship Id="rId392" Type="http://schemas.openxmlformats.org/officeDocument/2006/relationships/hyperlink" Target="https://zakupki.gov.ru/epz/order/notice/ea20/view/common-info.html?regNumber=0873400003924000205" TargetMode="External"/><Relationship Id="rId252" Type="http://schemas.openxmlformats.org/officeDocument/2006/relationships/hyperlink" Target="https://zakupki.gov.ru/epz/order/notice/ea20/view/common-info.html?regNumber=0873400003924000062" TargetMode="External"/><Relationship Id="rId294" Type="http://schemas.openxmlformats.org/officeDocument/2006/relationships/hyperlink" Target="https://zakupki.gov.ru/epz/order/notice/ea20/view/common-info.html?regNumber=0873400003924000104" TargetMode="External"/><Relationship Id="rId308" Type="http://schemas.openxmlformats.org/officeDocument/2006/relationships/hyperlink" Target="https://zakupki.gov.ru/epz/order/notice/ea20/view/common-info.html?regNumber=0873400003924000118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361" Type="http://schemas.openxmlformats.org/officeDocument/2006/relationships/hyperlink" Target="https://zakupki.gov.ru/epz/order/notice/ea20/view/common-info.html?regNumber=0873400003924000174" TargetMode="External"/><Relationship Id="rId196" Type="http://schemas.openxmlformats.org/officeDocument/2006/relationships/hyperlink" Target="https://zakupki.gov.ru/epz/order/notice/ea20/view/common-info.html?regNumber=0873400003924000006" TargetMode="External"/><Relationship Id="rId417" Type="http://schemas.openxmlformats.org/officeDocument/2006/relationships/hyperlink" Target="https://zakupki.gov.ru/epz/order/notice/ea20/view/common-info.html?regNumber=0873400003924000232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221" Type="http://schemas.openxmlformats.org/officeDocument/2006/relationships/hyperlink" Target="https://zakupki.gov.ru/epz/order/notice/ea20/view/common-info.html?regNumber=0873400003924000031" TargetMode="External"/><Relationship Id="rId263" Type="http://schemas.openxmlformats.org/officeDocument/2006/relationships/hyperlink" Target="https://zakupki.gov.ru/epz/order/notice/ea20/view/common-info.html?regNumber=0873400003924000073" TargetMode="External"/><Relationship Id="rId319" Type="http://schemas.openxmlformats.org/officeDocument/2006/relationships/hyperlink" Target="https://zakupki.gov.ru/epz/order/notice/ea20/view/common-info.html?regNumber=0873400003924000130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330" Type="http://schemas.openxmlformats.org/officeDocument/2006/relationships/hyperlink" Target="https://zakupki.gov.ru/epz/order/notice/ea20/view/common-info.html?regNumber=0873400003924000142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372" Type="http://schemas.openxmlformats.org/officeDocument/2006/relationships/hyperlink" Target="https://zakupki.gov.ru/epz/order/notice/ea20/view/common-info.html?regNumber=0873400003924000185" TargetMode="External"/><Relationship Id="rId428" Type="http://schemas.openxmlformats.org/officeDocument/2006/relationships/hyperlink" Target="https://zakupki.gov.ru/epz/order/notice/ea20/view/common-info.html?regNumber=0873400003924000244" TargetMode="External"/><Relationship Id="rId232" Type="http://schemas.openxmlformats.org/officeDocument/2006/relationships/hyperlink" Target="https://zakupki.gov.ru/epz/order/notice/ea20/view/common-info.html?regNumber=0873400003924000041" TargetMode="External"/><Relationship Id="rId274" Type="http://schemas.openxmlformats.org/officeDocument/2006/relationships/hyperlink" Target="https://zakupki.gov.ru/epz/order/notice/ea20/view/common-info.html?regNumber=0873400003924000084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341" Type="http://schemas.openxmlformats.org/officeDocument/2006/relationships/hyperlink" Target="https://zakupki.gov.ru/epz/order/notice/ea20/view/common-info.html?regNumber=0873400003924000154" TargetMode="External"/><Relationship Id="rId383" Type="http://schemas.openxmlformats.org/officeDocument/2006/relationships/hyperlink" Target="https://zakupki.gov.ru/epz/order/notice/ea20/view/common-info.html?regNumber=0873400003924000196" TargetMode="External"/><Relationship Id="rId439" Type="http://schemas.openxmlformats.org/officeDocument/2006/relationships/hyperlink" Target="https://zakupki.gov.ru/epz/order/notice/ea20/view/common-info.html?regNumber=0873400003924000259" TargetMode="External"/><Relationship Id="rId201" Type="http://schemas.openxmlformats.org/officeDocument/2006/relationships/hyperlink" Target="https://zakupki.gov.ru/epz/order/notice/ea20/view/common-info.html?regNumber=0873400003924000011" TargetMode="External"/><Relationship Id="rId243" Type="http://schemas.openxmlformats.org/officeDocument/2006/relationships/hyperlink" Target="https://zakupki.gov.ru/epz/order/notice/ea20/view/common-info.html?regNumber=0873400003924000052" TargetMode="External"/><Relationship Id="rId285" Type="http://schemas.openxmlformats.org/officeDocument/2006/relationships/hyperlink" Target="https://zakupki.gov.ru/epz/order/notice/ea20/view/common-info.html?regNumber=0873400003924000095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310" Type="http://schemas.openxmlformats.org/officeDocument/2006/relationships/hyperlink" Target="https://zakupki.gov.ru/epz/order/notice/ea20/view/common-info.html?regNumber=0873400003924000120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352" Type="http://schemas.openxmlformats.org/officeDocument/2006/relationships/hyperlink" Target="https://zakupki.gov.ru/epz/order/notice/ea20/view/common-info.html?regNumber=0873400003924000165" TargetMode="External"/><Relationship Id="rId394" Type="http://schemas.openxmlformats.org/officeDocument/2006/relationships/hyperlink" Target="https://zakupki.gov.ru/epz/order/notice/ea20/view/common-info.html?regNumber=0873400003924000207" TargetMode="External"/><Relationship Id="rId408" Type="http://schemas.openxmlformats.org/officeDocument/2006/relationships/hyperlink" Target="https://zakupki.gov.ru/epz/order/notice/ea20/view/common-info.html?regNumber=0873400003924000222" TargetMode="External"/><Relationship Id="rId212" Type="http://schemas.openxmlformats.org/officeDocument/2006/relationships/hyperlink" Target="https://zakupki.gov.ru/epz/order/notice/ea20/view/common-info.html?regNumber=0873400003924000022" TargetMode="External"/><Relationship Id="rId254" Type="http://schemas.openxmlformats.org/officeDocument/2006/relationships/hyperlink" Target="https://zakupki.gov.ru/epz/order/notice/ea20/view/common-info.html?regNumber=087340000392400006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296" Type="http://schemas.openxmlformats.org/officeDocument/2006/relationships/hyperlink" Target="https://zakupki.gov.ru/epz/order/notice/ea20/view/common-info.html?regNumber=0873400003924000106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177" Type="http://schemas.openxmlformats.org/officeDocument/2006/relationships/hyperlink" Target="https://zakupki.gov.ru/epz/order/notice/ea20/view/common-info.html?regNumber=0873400003923000728" TargetMode="External"/><Relationship Id="rId198" Type="http://schemas.openxmlformats.org/officeDocument/2006/relationships/hyperlink" Target="https://zakupki.gov.ru/epz/order/notice/ea20/view/common-info.html?regNumber=0873400003924000008" TargetMode="External"/><Relationship Id="rId321" Type="http://schemas.openxmlformats.org/officeDocument/2006/relationships/hyperlink" Target="https://zakupki.gov.ru/epz/order/notice/ea20/view/common-info.html?regNumber=0873400003924000132" TargetMode="External"/><Relationship Id="rId342" Type="http://schemas.openxmlformats.org/officeDocument/2006/relationships/hyperlink" Target="https://zakupki.gov.ru/epz/order/notice/ea20/view/common-info.html?regNumber=0873400003924000155" TargetMode="External"/><Relationship Id="rId363" Type="http://schemas.openxmlformats.org/officeDocument/2006/relationships/hyperlink" Target="https://zakupki.gov.ru/epz/order/notice/ea20/view/common-info.html?regNumber=0873400003924000176" TargetMode="External"/><Relationship Id="rId384" Type="http://schemas.openxmlformats.org/officeDocument/2006/relationships/hyperlink" Target="https://zakupki.gov.ru/epz/order/notice/ea20/view/common-info.html?regNumber=0873400003924000197" TargetMode="External"/><Relationship Id="rId419" Type="http://schemas.openxmlformats.org/officeDocument/2006/relationships/hyperlink" Target="https://zakupki.gov.ru/epz/order/notice/ea20/view/common-info.html?regNumber=0873400003924000235" TargetMode="External"/><Relationship Id="rId202" Type="http://schemas.openxmlformats.org/officeDocument/2006/relationships/hyperlink" Target="https://zakupki.gov.ru/epz/order/notice/ea20/view/common-info.html?regNumber=0873400003924000012" TargetMode="External"/><Relationship Id="rId223" Type="http://schemas.openxmlformats.org/officeDocument/2006/relationships/hyperlink" Target="https://zakupki.gov.ru/epz/order/notice/ea20/view/common-info.html?regNumber=0873400003924000033" TargetMode="External"/><Relationship Id="rId244" Type="http://schemas.openxmlformats.org/officeDocument/2006/relationships/hyperlink" Target="https://zakupki.gov.ru/epz/order/notice/ea20/view/common-info.html?regNumber=0873400003924000053" TargetMode="External"/><Relationship Id="rId430" Type="http://schemas.openxmlformats.org/officeDocument/2006/relationships/hyperlink" Target="https://zakupki.gov.ru/epz/order/notice/ea20/view/common-info.html?regNumber=0873400003924000246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265" Type="http://schemas.openxmlformats.org/officeDocument/2006/relationships/hyperlink" Target="https://zakupki.gov.ru/epz/order/notice/ea20/view/common-info.html?regNumber=0873400003924000075" TargetMode="External"/><Relationship Id="rId286" Type="http://schemas.openxmlformats.org/officeDocument/2006/relationships/hyperlink" Target="https://zakupki.gov.ru/epz/order/notice/ea20/view/common-info.html?regNumber=0873400003924000096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311" Type="http://schemas.openxmlformats.org/officeDocument/2006/relationships/hyperlink" Target="https://zakupki.gov.ru/epz/order/notice/ea20/view/common-info.html?regNumber=0873400003924000121" TargetMode="External"/><Relationship Id="rId332" Type="http://schemas.openxmlformats.org/officeDocument/2006/relationships/hyperlink" Target="https://zakupki.gov.ru/epz/order/notice/ea20/view/common-info.html?regNumber=0873400003924000144" TargetMode="External"/><Relationship Id="rId353" Type="http://schemas.openxmlformats.org/officeDocument/2006/relationships/hyperlink" Target="https://zakupki.gov.ru/epz/order/notice/ea20/view/common-info.html?regNumber=0873400003924000166" TargetMode="External"/><Relationship Id="rId374" Type="http://schemas.openxmlformats.org/officeDocument/2006/relationships/hyperlink" Target="https://zakupki.gov.ru/epz/order/notice/ea20/view/common-info.html?regNumber=0873400003924000187" TargetMode="External"/><Relationship Id="rId395" Type="http://schemas.openxmlformats.org/officeDocument/2006/relationships/hyperlink" Target="https://zakupki.gov.ru/epz/order/notice/ea20/view/common-info.html?regNumber=0873400003924000208" TargetMode="External"/><Relationship Id="rId409" Type="http://schemas.openxmlformats.org/officeDocument/2006/relationships/hyperlink" Target="https://zakupki.gov.ru/epz/order/notice/ea20/view/common-info.html?regNumber=0873400003924000223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213" Type="http://schemas.openxmlformats.org/officeDocument/2006/relationships/hyperlink" Target="https://zakupki.gov.ru/epz/order/notice/ea20/view/common-info.html?regNumber=0873400003924000023" TargetMode="External"/><Relationship Id="rId234" Type="http://schemas.openxmlformats.org/officeDocument/2006/relationships/hyperlink" Target="https://zakupki.gov.ru/epz/order/notice/ea20/view/common-info.html?regNumber=0873400003924000043" TargetMode="External"/><Relationship Id="rId420" Type="http://schemas.openxmlformats.org/officeDocument/2006/relationships/hyperlink" Target="https://zakupki.gov.ru/epz/order/notice/ea20/view/common-info.html?regNumber=0873400003924000236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255" Type="http://schemas.openxmlformats.org/officeDocument/2006/relationships/hyperlink" Target="https://zakupki.gov.ru/epz/order/notice/ea20/view/common-info.html?regNumber=0873400003924000065" TargetMode="External"/><Relationship Id="rId276" Type="http://schemas.openxmlformats.org/officeDocument/2006/relationships/hyperlink" Target="https://zakupki.gov.ru/epz/order/notice/ea20/view/common-info.html?regNumber=0873400003924000086" TargetMode="External"/><Relationship Id="rId297" Type="http://schemas.openxmlformats.org/officeDocument/2006/relationships/hyperlink" Target="https://zakupki.gov.ru/epz/order/notice/ea20/view/common-info.html?regNumber=0873400003924000107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301" Type="http://schemas.openxmlformats.org/officeDocument/2006/relationships/hyperlink" Target="https://zakupki.gov.ru/epz/order/notice/ea20/view/common-info.html?regNumber=0873400003924000111" TargetMode="External"/><Relationship Id="rId322" Type="http://schemas.openxmlformats.org/officeDocument/2006/relationships/hyperlink" Target="https://zakupki.gov.ru/epz/order/notice/ea20/view/common-info.html?regNumber=0873400003924000133" TargetMode="External"/><Relationship Id="rId343" Type="http://schemas.openxmlformats.org/officeDocument/2006/relationships/hyperlink" Target="https://zakupki.gov.ru/epz/order/notice/ea20/view/common-info.html?regNumber=0873400003924000156" TargetMode="External"/><Relationship Id="rId364" Type="http://schemas.openxmlformats.org/officeDocument/2006/relationships/hyperlink" Target="https://zakupki.gov.ru/epz/order/notice/ea20/view/common-info.html?regNumber=0873400003924000177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99" Type="http://schemas.openxmlformats.org/officeDocument/2006/relationships/hyperlink" Target="https://zakupki.gov.ru/epz/order/notice/ea20/view/common-info.html?regNumber=0873400003924000009" TargetMode="External"/><Relationship Id="rId203" Type="http://schemas.openxmlformats.org/officeDocument/2006/relationships/hyperlink" Target="https://zakupki.gov.ru/epz/order/notice/ea20/view/common-info.html?regNumber=0873400003924000013" TargetMode="External"/><Relationship Id="rId385" Type="http://schemas.openxmlformats.org/officeDocument/2006/relationships/hyperlink" Target="https://zakupki.gov.ru/epz/order/notice/ea20/view/common-info.html?regNumber=0873400003924000198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224" Type="http://schemas.openxmlformats.org/officeDocument/2006/relationships/hyperlink" Target="https://zakupki.gov.ru/epz/order/notice/ea20/view/common-info.html?regNumber=0873400003924000034" TargetMode="External"/><Relationship Id="rId245" Type="http://schemas.openxmlformats.org/officeDocument/2006/relationships/hyperlink" Target="https://zakupki.gov.ru/epz/order/notice/ea20/view/common-info.html?regNumber=0873400003924000054" TargetMode="External"/><Relationship Id="rId266" Type="http://schemas.openxmlformats.org/officeDocument/2006/relationships/hyperlink" Target="https://zakupki.gov.ru/epz/order/notice/ea20/view/common-info.html?regNumber=0873400003924000076" TargetMode="External"/><Relationship Id="rId287" Type="http://schemas.openxmlformats.org/officeDocument/2006/relationships/hyperlink" Target="https://zakupki.gov.ru/epz/order/notice/ea20/view/common-info.html?regNumber=0873400003924000097" TargetMode="External"/><Relationship Id="rId410" Type="http://schemas.openxmlformats.org/officeDocument/2006/relationships/hyperlink" Target="https://zakupki.gov.ru/epz/order/notice/ea20/view/common-info.html?regNumber=0873400003924000224" TargetMode="External"/><Relationship Id="rId431" Type="http://schemas.openxmlformats.org/officeDocument/2006/relationships/hyperlink" Target="https://zakupki.gov.ru/epz/order/notice/ea20/view/common-info.html?regNumber=0873400003924000247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312" Type="http://schemas.openxmlformats.org/officeDocument/2006/relationships/hyperlink" Target="https://zakupki.gov.ru/epz/order/notice/ea20/view/common-info.html?regNumber=0873400003924000122" TargetMode="External"/><Relationship Id="rId333" Type="http://schemas.openxmlformats.org/officeDocument/2006/relationships/hyperlink" Target="https://zakupki.gov.ru/epz/order/notice/ea20/view/common-info.html?regNumber=0873400003924000145" TargetMode="External"/><Relationship Id="rId354" Type="http://schemas.openxmlformats.org/officeDocument/2006/relationships/hyperlink" Target="https://zakupki.gov.ru/epz/order/notice/ea20/view/common-info.html?regNumber=0873400003924000167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75" Type="http://schemas.openxmlformats.org/officeDocument/2006/relationships/hyperlink" Target="https://zakupki.gov.ru/epz/order/notice/ea20/view/common-info.html?regNumber=0873400003924000188" TargetMode="External"/><Relationship Id="rId396" Type="http://schemas.openxmlformats.org/officeDocument/2006/relationships/hyperlink" Target="https://zakupki.gov.ru/epz/order/notice/ea20/view/common-info.html?regNumber=0873400003924000209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14" Type="http://schemas.openxmlformats.org/officeDocument/2006/relationships/hyperlink" Target="https://zakupki.gov.ru/epz/order/notice/ea20/view/common-info.html?regNumber=0873400003924000024" TargetMode="External"/><Relationship Id="rId235" Type="http://schemas.openxmlformats.org/officeDocument/2006/relationships/hyperlink" Target="https://zakupki.gov.ru/epz/order/notice/ea20/view/common-info.html?regNumber=0873400003924000044" TargetMode="External"/><Relationship Id="rId256" Type="http://schemas.openxmlformats.org/officeDocument/2006/relationships/hyperlink" Target="https://zakupki.gov.ru/epz/order/notice/ea20/view/common-info.html?regNumber=0873400003924000066" TargetMode="External"/><Relationship Id="rId277" Type="http://schemas.openxmlformats.org/officeDocument/2006/relationships/hyperlink" Target="https://zakupki.gov.ru/epz/order/notice/ea20/view/common-info.html?regNumber=0873400003924000087" TargetMode="External"/><Relationship Id="rId298" Type="http://schemas.openxmlformats.org/officeDocument/2006/relationships/hyperlink" Target="https://zakupki.gov.ru/epz/order/notice/ea20/view/common-info.html?regNumber=0873400003924000108" TargetMode="External"/><Relationship Id="rId400" Type="http://schemas.openxmlformats.org/officeDocument/2006/relationships/hyperlink" Target="https://zakupki.gov.ru/epz/order/notice/ea20/view/common-info.html?regNumber=0873400003924000214" TargetMode="External"/><Relationship Id="rId421" Type="http://schemas.openxmlformats.org/officeDocument/2006/relationships/hyperlink" Target="https://zakupki.gov.ru/epz/order/notice/ea20/view/common-info.html?regNumber=0873400003924000237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302" Type="http://schemas.openxmlformats.org/officeDocument/2006/relationships/hyperlink" Target="https://zakupki.gov.ru/epz/order/notice/ea20/view/common-info.html?regNumber=0873400003924000112" TargetMode="External"/><Relationship Id="rId323" Type="http://schemas.openxmlformats.org/officeDocument/2006/relationships/hyperlink" Target="https://zakupki.gov.ru/epz/order/notice/ea20/view/common-info.html?regNumber=0873400003924000134" TargetMode="External"/><Relationship Id="rId344" Type="http://schemas.openxmlformats.org/officeDocument/2006/relationships/hyperlink" Target="https://zakupki.gov.ru/epz/order/notice/ea20/view/common-info.html?regNumber=0873400003924000157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365" Type="http://schemas.openxmlformats.org/officeDocument/2006/relationships/hyperlink" Target="https://zakupki.gov.ru/epz/order/notice/ea20/view/common-info.html?regNumber=0873400003924000178" TargetMode="External"/><Relationship Id="rId386" Type="http://schemas.openxmlformats.org/officeDocument/2006/relationships/hyperlink" Target="https://zakupki.gov.ru/epz/order/notice/ea20/view/common-info.html?regNumber=0873400003924000199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204" Type="http://schemas.openxmlformats.org/officeDocument/2006/relationships/hyperlink" Target="https://zakupki.gov.ru/epz/order/notice/ea20/view/common-info.html?regNumber=0873400003924000014" TargetMode="External"/><Relationship Id="rId225" Type="http://schemas.openxmlformats.org/officeDocument/2006/relationships/hyperlink" Target="https://zakupki.gov.ru/epz/order/notice/ea20/view/common-info.html?regNumber=0873400003924000035" TargetMode="External"/><Relationship Id="rId246" Type="http://schemas.openxmlformats.org/officeDocument/2006/relationships/hyperlink" Target="https://zakupki.gov.ru/epz/order/notice/ea20/view/common-info.html?regNumber=0873400003924000055" TargetMode="External"/><Relationship Id="rId267" Type="http://schemas.openxmlformats.org/officeDocument/2006/relationships/hyperlink" Target="https://zakupki.gov.ru/epz/order/notice/ea20/view/common-info.html?regNumber=0873400003924000077" TargetMode="External"/><Relationship Id="rId288" Type="http://schemas.openxmlformats.org/officeDocument/2006/relationships/hyperlink" Target="https://zakupki.gov.ru/epz/order/notice/ea20/view/common-info.html?regNumber=0873400003924000098" TargetMode="External"/><Relationship Id="rId411" Type="http://schemas.openxmlformats.org/officeDocument/2006/relationships/hyperlink" Target="https://zakupki.gov.ru/epz/order/notice/ea20/view/common-info.html?regNumber=0873400003924000225" TargetMode="External"/><Relationship Id="rId432" Type="http://schemas.openxmlformats.org/officeDocument/2006/relationships/hyperlink" Target="https://zakupki.gov.ru/epz/order/notice/ea20/view/common-info.html?regNumber=0873400003924000252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1" TargetMode="External"/><Relationship Id="rId313" Type="http://schemas.openxmlformats.org/officeDocument/2006/relationships/hyperlink" Target="https://zakupki.gov.ru/epz/order/notice/ea20/view/common-info.html?regNumber=0873400003924000123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334" Type="http://schemas.openxmlformats.org/officeDocument/2006/relationships/hyperlink" Target="https://zakupki.gov.ru/epz/order/notice/ea20/view/common-info.html?regNumber=0873400003924000146" TargetMode="External"/><Relationship Id="rId355" Type="http://schemas.openxmlformats.org/officeDocument/2006/relationships/hyperlink" Target="https://zakupki.gov.ru/epz/order/notice/ea20/view/common-info.html?regNumber=0873400003924000168" TargetMode="External"/><Relationship Id="rId376" Type="http://schemas.openxmlformats.org/officeDocument/2006/relationships/hyperlink" Target="https://zakupki.gov.ru/epz/order/notice/ea20/view/common-info.html?regNumber=0873400003924000189" TargetMode="External"/><Relationship Id="rId397" Type="http://schemas.openxmlformats.org/officeDocument/2006/relationships/hyperlink" Target="https://zakupki.gov.ru/epz/order/notice/ea20/view/common-info.html?regNumber=0873400003924000211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15" Type="http://schemas.openxmlformats.org/officeDocument/2006/relationships/hyperlink" Target="https://zakupki.gov.ru/epz/order/notice/ea20/view/common-info.html?regNumber=0873400003924000025" TargetMode="External"/><Relationship Id="rId236" Type="http://schemas.openxmlformats.org/officeDocument/2006/relationships/hyperlink" Target="https://zakupki.gov.ru/epz/order/notice/ea20/view/common-info.html?regNumber=0873400003924000045" TargetMode="External"/><Relationship Id="rId257" Type="http://schemas.openxmlformats.org/officeDocument/2006/relationships/hyperlink" Target="https://zakupki.gov.ru/epz/order/notice/ea20/view/common-info.html?regNumber=0873400003924000067" TargetMode="External"/><Relationship Id="rId278" Type="http://schemas.openxmlformats.org/officeDocument/2006/relationships/hyperlink" Target="https://zakupki.gov.ru/epz/order/notice/ea20/view/common-info.html?regNumber=0873400003924000088" TargetMode="External"/><Relationship Id="rId401" Type="http://schemas.openxmlformats.org/officeDocument/2006/relationships/hyperlink" Target="https://zakupki.gov.ru/epz/order/notice/ea20/view/common-info.html?regNumber=0873400003924000215" TargetMode="External"/><Relationship Id="rId422" Type="http://schemas.openxmlformats.org/officeDocument/2006/relationships/hyperlink" Target="https://zakupki.gov.ru/epz/order/notice/ea20/view/common-info.html?regNumber=0873400003924000238" TargetMode="External"/><Relationship Id="rId303" Type="http://schemas.openxmlformats.org/officeDocument/2006/relationships/hyperlink" Target="https://zakupki.gov.ru/epz/order/notice/ea20/view/common-info.html?regNumber=0873400003924000113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345" Type="http://schemas.openxmlformats.org/officeDocument/2006/relationships/hyperlink" Target="https://zakupki.gov.ru/epz/order/notice/ea20/view/common-info.html?regNumber=0873400003924000158" TargetMode="External"/><Relationship Id="rId387" Type="http://schemas.openxmlformats.org/officeDocument/2006/relationships/hyperlink" Target="https://zakupki.gov.ru/epz/order/notice/ea20/view/common-info.html?regNumber=0873400003924000200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205" Type="http://schemas.openxmlformats.org/officeDocument/2006/relationships/hyperlink" Target="https://zakupki.gov.ru/epz/order/notice/ea20/view/common-info.html?regNumber=0873400003924000015" TargetMode="External"/><Relationship Id="rId247" Type="http://schemas.openxmlformats.org/officeDocument/2006/relationships/hyperlink" Target="https://zakupki.gov.ru/epz/order/notice/ea20/view/common-info.html?regNumber=0873400003924000057" TargetMode="External"/><Relationship Id="rId412" Type="http://schemas.openxmlformats.org/officeDocument/2006/relationships/hyperlink" Target="https://zakupki.gov.ru/epz/order/notice/ea20/view/common-info.html?regNumber=0873400003924000227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289" Type="http://schemas.openxmlformats.org/officeDocument/2006/relationships/hyperlink" Target="https://zakupki.gov.ru/epz/order/notice/ea20/view/common-info.html?regNumber=0873400003924000099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314" Type="http://schemas.openxmlformats.org/officeDocument/2006/relationships/hyperlink" Target="https://zakupki.gov.ru/epz/order/notice/ea20/view/common-info.html?regNumber=0873400003924000125" TargetMode="External"/><Relationship Id="rId356" Type="http://schemas.openxmlformats.org/officeDocument/2006/relationships/hyperlink" Target="https://zakupki.gov.ru/epz/order/notice/ea20/view/common-info.html?regNumber=0873400003924000169" TargetMode="External"/><Relationship Id="rId398" Type="http://schemas.openxmlformats.org/officeDocument/2006/relationships/hyperlink" Target="https://zakupki.gov.ru/epz/order/notice/ea20/view/common-info.html?regNumber=0873400003924000212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216" Type="http://schemas.openxmlformats.org/officeDocument/2006/relationships/hyperlink" Target="https://zakupki.gov.ru/epz/order/notice/ea20/view/common-info.html?regNumber=0873400003924000026" TargetMode="External"/><Relationship Id="rId423" Type="http://schemas.openxmlformats.org/officeDocument/2006/relationships/hyperlink" Target="https://zakupki.gov.ru/epz/order/notice/ea20/view/common-info.html?regNumber=0873400003924000239" TargetMode="External"/><Relationship Id="rId258" Type="http://schemas.openxmlformats.org/officeDocument/2006/relationships/hyperlink" Target="https://zakupki.gov.ru/epz/order/notice/ea20/view/common-info.html?regNumber=0873400003924000068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325" Type="http://schemas.openxmlformats.org/officeDocument/2006/relationships/hyperlink" Target="https://zakupki.gov.ru/epz/order/notice/ea20/view/common-info.html?regNumber=0873400003924000136" TargetMode="External"/><Relationship Id="rId367" Type="http://schemas.openxmlformats.org/officeDocument/2006/relationships/hyperlink" Target="https://zakupki.gov.ru/epz/order/notice/ea20/view/common-info.html?regNumber=0873400003924000180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227" Type="http://schemas.openxmlformats.org/officeDocument/2006/relationships/hyperlink" Target="https://zakupki.gov.ru/epz/order/notice/ea20/view/common-info.html?regNumber=0873400003924000036" TargetMode="External"/><Relationship Id="rId269" Type="http://schemas.openxmlformats.org/officeDocument/2006/relationships/hyperlink" Target="https://zakupki.gov.ru/epz/order/notice/ea20/view/common-info.html?regNumber=0873400003924000079" TargetMode="External"/><Relationship Id="rId434" Type="http://schemas.openxmlformats.org/officeDocument/2006/relationships/hyperlink" Target="https://zakupki.gov.ru/epz/order/notice/ea20/view/common-info.html?regNumber=0873400003924000254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280" Type="http://schemas.openxmlformats.org/officeDocument/2006/relationships/hyperlink" Target="https://zakupki.gov.ru/epz/order/notice/ea20/view/common-info.html?regNumber=0873400003924000090" TargetMode="External"/><Relationship Id="rId336" Type="http://schemas.openxmlformats.org/officeDocument/2006/relationships/hyperlink" Target="https://zakupki.gov.ru/epz/order/notice/ea20/view/common-info.html?regNumber=0873400003924000149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378" Type="http://schemas.openxmlformats.org/officeDocument/2006/relationships/hyperlink" Target="https://zakupki.gov.ru/epz/order/notice/ea20/view/common-info.html?regNumber=0873400003924000191" TargetMode="External"/><Relationship Id="rId403" Type="http://schemas.openxmlformats.org/officeDocument/2006/relationships/hyperlink" Target="https://zakupki.gov.ru/epz/order/notice/ea20/view/common-info.html?regNumber=0873400003924000217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8" Type="http://schemas.openxmlformats.org/officeDocument/2006/relationships/hyperlink" Target="https://zakupki.gov.ru/epz/order/notice/ea20/view/common-info.html?regNumber=0873400003924000047" TargetMode="External"/><Relationship Id="rId291" Type="http://schemas.openxmlformats.org/officeDocument/2006/relationships/hyperlink" Target="https://zakupki.gov.ru/epz/order/notice/ea20/view/common-info.html?regNumber=0873400003924000101" TargetMode="External"/><Relationship Id="rId305" Type="http://schemas.openxmlformats.org/officeDocument/2006/relationships/hyperlink" Target="https://zakupki.gov.ru/epz/order/notice/ea20/view/common-info.html?regNumber=0873400003924000115" TargetMode="External"/><Relationship Id="rId347" Type="http://schemas.openxmlformats.org/officeDocument/2006/relationships/hyperlink" Target="https://zakupki.gov.ru/epz/order/notice/ea20/view/common-info.html?regNumber=0873400003924000160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389" Type="http://schemas.openxmlformats.org/officeDocument/2006/relationships/hyperlink" Target="https://zakupki.gov.ru/epz/order/notice/ea20/view/common-info.html?regNumber=0873400003924000202" TargetMode="External"/><Relationship Id="rId193" Type="http://schemas.openxmlformats.org/officeDocument/2006/relationships/hyperlink" Target="https://zakupki.gov.ru/epz/order/notice/ea20/view/common-info.html?regNumber=0873400003924000003" TargetMode="External"/><Relationship Id="rId207" Type="http://schemas.openxmlformats.org/officeDocument/2006/relationships/hyperlink" Target="https://zakupki.gov.ru/epz/order/notice/ea20/view/common-info.html?regNumber=0873400003924000017" TargetMode="External"/><Relationship Id="rId249" Type="http://schemas.openxmlformats.org/officeDocument/2006/relationships/hyperlink" Target="https://zakupki.gov.ru/epz/order/notice/ea20/view/common-info.html?regNumber=0873400003924000059" TargetMode="External"/><Relationship Id="rId414" Type="http://schemas.openxmlformats.org/officeDocument/2006/relationships/hyperlink" Target="https://zakupki.gov.ru/epz/order/notice/ea20/view/common-info.html?regNumber=0873400003924000229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260" Type="http://schemas.openxmlformats.org/officeDocument/2006/relationships/hyperlink" Target="https://zakupki.gov.ru/epz/order/notice/ea20/view/common-info.html?regNumber=0873400003924000070" TargetMode="External"/><Relationship Id="rId316" Type="http://schemas.openxmlformats.org/officeDocument/2006/relationships/hyperlink" Target="https://zakupki.gov.ru/epz/order/notice/ea20/view/common-info.html?regNumber=0873400003924000127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358" Type="http://schemas.openxmlformats.org/officeDocument/2006/relationships/hyperlink" Target="https://zakupki.gov.ru/epz/order/notice/ea20/view/common-info.html?regNumber=0873400003924000171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218" Type="http://schemas.openxmlformats.org/officeDocument/2006/relationships/hyperlink" Target="https://zakupki.gov.ru/epz/order/notice/ea20/view/common-info.html?regNumber=0873400003924000028" TargetMode="External"/><Relationship Id="rId425" Type="http://schemas.openxmlformats.org/officeDocument/2006/relationships/hyperlink" Target="https://zakupki.gov.ru/epz/order/notice/ea20/view/common-info.html?regNumber=0873400003924000241" TargetMode="External"/><Relationship Id="rId271" Type="http://schemas.openxmlformats.org/officeDocument/2006/relationships/hyperlink" Target="https://zakupki.gov.ru/epz/order/notice/ea20/view/common-info.html?regNumber=0873400003924000081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327" Type="http://schemas.openxmlformats.org/officeDocument/2006/relationships/hyperlink" Target="https://zakupki.gov.ru/epz/order/notice/ea20/view/common-info.html?regNumber=0873400003924000138" TargetMode="External"/><Relationship Id="rId369" Type="http://schemas.openxmlformats.org/officeDocument/2006/relationships/hyperlink" Target="https://zakupki.gov.ru/epz/order/notice/ea20/view/common-info.html?regNumber=0873400003924000182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229" Type="http://schemas.openxmlformats.org/officeDocument/2006/relationships/hyperlink" Target="https://zakupki.gov.ru/epz/order/notice/ea20/view/common-info.html?regNumber=0873400003924000038" TargetMode="External"/><Relationship Id="rId380" Type="http://schemas.openxmlformats.org/officeDocument/2006/relationships/hyperlink" Target="https://zakupki.gov.ru/epz/order/notice/ea20/view/common-info.html?regNumber=0873400003924000193" TargetMode="External"/><Relationship Id="rId436" Type="http://schemas.openxmlformats.org/officeDocument/2006/relationships/hyperlink" Target="https://zakupki.gov.ru/epz/order/notice/ea20/view/common-info.html?regNumber=0873400003924000256" TargetMode="External"/><Relationship Id="rId240" Type="http://schemas.openxmlformats.org/officeDocument/2006/relationships/hyperlink" Target="https://zakupki.gov.ru/epz/order/notice/ea20/view/common-info.html?regNumber=0873400003924000049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282" Type="http://schemas.openxmlformats.org/officeDocument/2006/relationships/hyperlink" Target="https://zakupki.gov.ru/epz/order/notice/ea20/view/common-info.html?regNumber=0873400003924000092" TargetMode="External"/><Relationship Id="rId338" Type="http://schemas.openxmlformats.org/officeDocument/2006/relationships/hyperlink" Target="https://zakupki.gov.ru/epz/order/notice/ea20/view/common-info.html?regNumber=0873400003924000151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391" Type="http://schemas.openxmlformats.org/officeDocument/2006/relationships/hyperlink" Target="https://zakupki.gov.ru/epz/order/notice/ea20/view/common-info.html?regNumber=0873400003924000204" TargetMode="External"/><Relationship Id="rId405" Type="http://schemas.openxmlformats.org/officeDocument/2006/relationships/hyperlink" Target="https://zakupki.gov.ru/epz/order/notice/ea20/view/common-info.html?regNumber=0873400003924000219" TargetMode="External"/><Relationship Id="rId251" Type="http://schemas.openxmlformats.org/officeDocument/2006/relationships/hyperlink" Target="https://zakupki.gov.ru/epz/order/notice/ea20/view/common-info.html?regNumber=0873400003924000061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293" Type="http://schemas.openxmlformats.org/officeDocument/2006/relationships/hyperlink" Target="https://zakupki.gov.ru/epz/order/notice/ea20/view/common-info.html?regNumber=0873400003924000103" TargetMode="External"/><Relationship Id="rId307" Type="http://schemas.openxmlformats.org/officeDocument/2006/relationships/hyperlink" Target="https://zakupki.gov.ru/epz/order/notice/ea20/view/common-info.html?regNumber=0873400003924000117" TargetMode="External"/><Relationship Id="rId349" Type="http://schemas.openxmlformats.org/officeDocument/2006/relationships/hyperlink" Target="https://zakupki.gov.ru/epz/order/notice/ea20/view/common-info.html?regNumber=0873400003924000162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95" Type="http://schemas.openxmlformats.org/officeDocument/2006/relationships/hyperlink" Target="https://zakupki.gov.ru/epz/order/notice/ea20/view/common-info.html?regNumber=0873400003924000005" TargetMode="External"/><Relationship Id="rId209" Type="http://schemas.openxmlformats.org/officeDocument/2006/relationships/hyperlink" Target="https://zakupki.gov.ru/epz/order/notice/ea20/view/common-info.html?regNumber=0873400003924000019" TargetMode="External"/><Relationship Id="rId360" Type="http://schemas.openxmlformats.org/officeDocument/2006/relationships/hyperlink" Target="https://zakupki.gov.ru/epz/order/notice/ea20/view/common-info.html?regNumber=0873400003924000173" TargetMode="External"/><Relationship Id="rId416" Type="http://schemas.openxmlformats.org/officeDocument/2006/relationships/hyperlink" Target="https://zakupki.gov.ru/epz/order/notice/ea20/view/common-info.html?regNumber=0873400003924000231" TargetMode="External"/><Relationship Id="rId220" Type="http://schemas.openxmlformats.org/officeDocument/2006/relationships/hyperlink" Target="https://zakupki.gov.ru/epz/order/notice/ea20/view/common-info.html?regNumber=08734000039240003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262" Type="http://schemas.openxmlformats.org/officeDocument/2006/relationships/hyperlink" Target="https://zakupki.gov.ru/epz/order/notice/ea20/view/common-info.html?regNumber=0873400003924000072" TargetMode="External"/><Relationship Id="rId318" Type="http://schemas.openxmlformats.org/officeDocument/2006/relationships/hyperlink" Target="https://zakupki.gov.ru/epz/order/notice/ea20/view/common-info.html?regNumber=0873400003924000129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371" Type="http://schemas.openxmlformats.org/officeDocument/2006/relationships/hyperlink" Target="https://zakupki.gov.ru/epz/order/notice/ea20/view/common-info.html?regNumber=0873400003924000184" TargetMode="External"/><Relationship Id="rId427" Type="http://schemas.openxmlformats.org/officeDocument/2006/relationships/hyperlink" Target="https://zakupki.gov.ru/epz/order/notice/ea20/view/common-info.html?regNumber=0873400003924000243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231" Type="http://schemas.openxmlformats.org/officeDocument/2006/relationships/hyperlink" Target="https://zakupki.gov.ru/epz/order/notice/ea20/view/common-info.html?regNumber=0873400003924000040" TargetMode="External"/><Relationship Id="rId273" Type="http://schemas.openxmlformats.org/officeDocument/2006/relationships/hyperlink" Target="https://zakupki.gov.ru/epz/order/notice/ea20/view/common-info.html?regNumber=0873400003924000083" TargetMode="External"/><Relationship Id="rId329" Type="http://schemas.openxmlformats.org/officeDocument/2006/relationships/hyperlink" Target="https://zakupki.gov.ru/epz/order/notice/ea20/view/common-info.html?regNumber=0873400003924000140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340" Type="http://schemas.openxmlformats.org/officeDocument/2006/relationships/hyperlink" Target="https://zakupki.gov.ru/epz/order/notice/ea20/view/common-info.html?regNumber=0873400003924000153" TargetMode="External"/><Relationship Id="rId200" Type="http://schemas.openxmlformats.org/officeDocument/2006/relationships/hyperlink" Target="https://zakupki.gov.ru/epz/order/notice/ea20/view/common-info.html?regNumber=0873400003924000010" TargetMode="External"/><Relationship Id="rId382" Type="http://schemas.openxmlformats.org/officeDocument/2006/relationships/hyperlink" Target="https://zakupki.gov.ru/epz/order/notice/ea20/view/common-info.html?regNumber=0873400003924000195" TargetMode="External"/><Relationship Id="rId438" Type="http://schemas.openxmlformats.org/officeDocument/2006/relationships/hyperlink" Target="https://zakupki.gov.ru/epz/order/notice/ea20/view/common-info.html?regNumber=0873400003924000258" TargetMode="External"/><Relationship Id="rId242" Type="http://schemas.openxmlformats.org/officeDocument/2006/relationships/hyperlink" Target="https://zakupki.gov.ru/epz/order/notice/ea20/view/common-info.html?regNumber=0873400003924000050" TargetMode="External"/><Relationship Id="rId284" Type="http://schemas.openxmlformats.org/officeDocument/2006/relationships/hyperlink" Target="https://zakupki.gov.ru/epz/order/notice/ea20/view/common-info.html?regNumber=0873400003924000094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351" Type="http://schemas.openxmlformats.org/officeDocument/2006/relationships/hyperlink" Target="https://zakupki.gov.ru/epz/order/notice/ea20/view/common-info.html?regNumber=0873400003924000164" TargetMode="External"/><Relationship Id="rId393" Type="http://schemas.openxmlformats.org/officeDocument/2006/relationships/hyperlink" Target="https://zakupki.gov.ru/epz/order/notice/ea20/view/common-info.html?regNumber=0873400003924000206" TargetMode="External"/><Relationship Id="rId407" Type="http://schemas.openxmlformats.org/officeDocument/2006/relationships/hyperlink" Target="https://zakupki.gov.ru/epz/order/notice/ea20/view/common-info.html?regNumber=0873400003924000221" TargetMode="External"/><Relationship Id="rId211" Type="http://schemas.openxmlformats.org/officeDocument/2006/relationships/hyperlink" Target="https://zakupki.gov.ru/epz/order/notice/ea20/view/common-info.html?regNumber=0873400003924000021" TargetMode="External"/><Relationship Id="rId253" Type="http://schemas.openxmlformats.org/officeDocument/2006/relationships/hyperlink" Target="https://zakupki.gov.ru/epz/order/notice/ea20/view/common-info.html?regNumber=0873400003924000063" TargetMode="External"/><Relationship Id="rId295" Type="http://schemas.openxmlformats.org/officeDocument/2006/relationships/hyperlink" Target="https://zakupki.gov.ru/epz/order/notice/ea20/view/common-info.html?regNumber=0873400003924000105" TargetMode="External"/><Relationship Id="rId309" Type="http://schemas.openxmlformats.org/officeDocument/2006/relationships/hyperlink" Target="https://zakupki.gov.ru/epz/order/notice/ea20/view/common-info.html?regNumber=0873400003924000119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320" Type="http://schemas.openxmlformats.org/officeDocument/2006/relationships/hyperlink" Target="https://zakupki.gov.ru/epz/order/notice/ea20/view/common-info.html?regNumber=0873400003924000131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97" Type="http://schemas.openxmlformats.org/officeDocument/2006/relationships/hyperlink" Target="https://zakupki.gov.ru/epz/order/notice/ea20/view/common-info.html?regNumber=0873400003924000007" TargetMode="External"/><Relationship Id="rId362" Type="http://schemas.openxmlformats.org/officeDocument/2006/relationships/hyperlink" Target="https://zakupki.gov.ru/epz/order/notice/ea20/view/common-info.html?regNumber=0873400003924000175" TargetMode="External"/><Relationship Id="rId418" Type="http://schemas.openxmlformats.org/officeDocument/2006/relationships/hyperlink" Target="https://zakupki.gov.ru/epz/order/notice/ea20/view/common-info.html?regNumber=0873400003924000234" TargetMode="External"/><Relationship Id="rId222" Type="http://schemas.openxmlformats.org/officeDocument/2006/relationships/hyperlink" Target="https://zakupki.gov.ru/epz/order/notice/ea20/view/common-info.html?regNumber=0873400003924000032" TargetMode="External"/><Relationship Id="rId264" Type="http://schemas.openxmlformats.org/officeDocument/2006/relationships/hyperlink" Target="https://zakupki.gov.ru/epz/order/notice/ea20/view/common-info.html?regNumber=0873400003924000074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331" Type="http://schemas.openxmlformats.org/officeDocument/2006/relationships/hyperlink" Target="https://zakupki.gov.ru/epz/order/notice/ea20/view/common-info.html?regNumber=0873400003924000143" TargetMode="External"/><Relationship Id="rId373" Type="http://schemas.openxmlformats.org/officeDocument/2006/relationships/hyperlink" Target="https://zakupki.gov.ru/epz/order/notice/ea20/view/common-info.html?regNumber=0873400003924000186" TargetMode="External"/><Relationship Id="rId429" Type="http://schemas.openxmlformats.org/officeDocument/2006/relationships/hyperlink" Target="https://zakupki.gov.ru/epz/order/notice/ea20/view/common-info.html?regNumber=0873400003924000245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33" Type="http://schemas.openxmlformats.org/officeDocument/2006/relationships/hyperlink" Target="https://zakupki.gov.ru/epz/order/notice/ea20/view/common-info.html?regNumber=0873400003924000042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275" Type="http://schemas.openxmlformats.org/officeDocument/2006/relationships/hyperlink" Target="https://zakupki.gov.ru/epz/order/notice/ea20/view/common-info.html?regNumber=0873400003924000085" TargetMode="External"/><Relationship Id="rId300" Type="http://schemas.openxmlformats.org/officeDocument/2006/relationships/hyperlink" Target="https://zakupki.gov.ru/epz/order/notice/ea20/view/common-info.html?regNumber=08734000039240001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4000088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138" Type="http://schemas.openxmlformats.org/officeDocument/2006/relationships/hyperlink" Target="https://zakupki.gov.ru/epz/order/notice/ea20/view/common-info.html?regNumber=0873400003924000204" TargetMode="External"/><Relationship Id="rId159" Type="http://schemas.openxmlformats.org/officeDocument/2006/relationships/hyperlink" Target="https://zakupki.gov.ru/epz/order/notice/ea20/view/common-info.html?regNumber=0873400003924000245" TargetMode="External"/><Relationship Id="rId107" Type="http://schemas.openxmlformats.org/officeDocument/2006/relationships/hyperlink" Target="https://zakupki.gov.ru/epz/order/notice/ea20/view/common-info.html?regNumber=0873400003924000073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128" Type="http://schemas.openxmlformats.org/officeDocument/2006/relationships/hyperlink" Target="https://zakupki.gov.ru/epz/order/notice/ea20/view/common-info.html?regNumber=0873400003924000181" TargetMode="External"/><Relationship Id="rId149" Type="http://schemas.openxmlformats.org/officeDocument/2006/relationships/hyperlink" Target="https://zakupki.gov.ru/epz/order/notice/ea20/view/common-info.html?regNumber=0873400003924000234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160" Type="http://schemas.openxmlformats.org/officeDocument/2006/relationships/hyperlink" Target="https://zakupki.gov.ru/epz/order/notice/ea20/view/common-info.html?regNumber=0873400003924000247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118" Type="http://schemas.openxmlformats.org/officeDocument/2006/relationships/hyperlink" Target="https://zakupki.gov.ru/epz/order/notice/ea20/view/common-info.html?regNumber=0873400003924000134" TargetMode="External"/><Relationship Id="rId139" Type="http://schemas.openxmlformats.org/officeDocument/2006/relationships/hyperlink" Target="https://zakupki.gov.ru/epz/order/notice/ea20/view/common-info.html?regNumber=0873400003924000206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50" Type="http://schemas.openxmlformats.org/officeDocument/2006/relationships/hyperlink" Target="https://zakupki.gov.ru/epz/order/notice/ea20/view/common-info.html?regNumber=0873400003924000236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108" Type="http://schemas.openxmlformats.org/officeDocument/2006/relationships/hyperlink" Target="https://zakupki.gov.ru/epz/order/notice/ea20/view/common-info.html?regNumber=0873400003924000074" TargetMode="External"/><Relationship Id="rId124" Type="http://schemas.openxmlformats.org/officeDocument/2006/relationships/hyperlink" Target="https://zakupki.gov.ru/epz/order/notice/ea20/view/common-info.html?regNumber=0873400003924000162" TargetMode="External"/><Relationship Id="rId129" Type="http://schemas.openxmlformats.org/officeDocument/2006/relationships/hyperlink" Target="https://zakupki.gov.ru/epz/order/notice/ea20/view/common-info.html?regNumber=0873400003924000183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40" Type="http://schemas.openxmlformats.org/officeDocument/2006/relationships/hyperlink" Target="https://zakupki.gov.ru/epz/order/notice/ea20/view/common-info.html?regNumber=0873400003924000209" TargetMode="External"/><Relationship Id="rId145" Type="http://schemas.openxmlformats.org/officeDocument/2006/relationships/hyperlink" Target="https://zakupki.gov.ru/epz/order/notice/ea20/view/common-info.html?regNumber=0873400003924000228" TargetMode="External"/><Relationship Id="rId161" Type="http://schemas.openxmlformats.org/officeDocument/2006/relationships/hyperlink" Target="https://zakupki.gov.ru/epz/order/notice/ea20/view/common-info.html?regNumber=0873400003924000254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114" Type="http://schemas.openxmlformats.org/officeDocument/2006/relationships/hyperlink" Target="https://zakupki.gov.ru/epz/order/notice/ea20/view/common-info.html?regNumber=0873400003924000082" TargetMode="External"/><Relationship Id="rId119" Type="http://schemas.openxmlformats.org/officeDocument/2006/relationships/hyperlink" Target="https://zakupki.gov.ru/epz/order/notice/ea20/view/common-info.html?regNumber=0873400003924000138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60" Type="http://schemas.openxmlformats.org/officeDocument/2006/relationships/hyperlink" Target="https://zakupki.gov.ru/epz/order/notice/ea20/view/common-info.html?regNumber=0873400003923000645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130" Type="http://schemas.openxmlformats.org/officeDocument/2006/relationships/hyperlink" Target="https://zakupki.gov.ru/epz/order/notice/ea20/view/common-info.html?regNumber=0873400003924000184" TargetMode="External"/><Relationship Id="rId135" Type="http://schemas.openxmlformats.org/officeDocument/2006/relationships/hyperlink" Target="https://zakupki.gov.ru/epz/order/notice/ea20/view/common-info.html?regNumber=0873400003924000198" TargetMode="External"/><Relationship Id="rId151" Type="http://schemas.openxmlformats.org/officeDocument/2006/relationships/hyperlink" Target="https://zakupki.gov.ru/epz/order/notice/ea20/view/common-info.html?regNumber=0873400003924000237" TargetMode="External"/><Relationship Id="rId156" Type="http://schemas.openxmlformats.org/officeDocument/2006/relationships/hyperlink" Target="https://zakupki.gov.ru/epz/order/notice/ea20/view/common-info.html?regNumber=0873400003924000242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109" Type="http://schemas.openxmlformats.org/officeDocument/2006/relationships/hyperlink" Target="https://zakupki.gov.ru/epz/order/notice/ea20/view/common-info.html?regNumber=0873400003924000076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120" Type="http://schemas.openxmlformats.org/officeDocument/2006/relationships/hyperlink" Target="https://zakupki.gov.ru/epz/order/notice/ea20/view/common-info.html?regNumber=0873400003924000139" TargetMode="External"/><Relationship Id="rId125" Type="http://schemas.openxmlformats.org/officeDocument/2006/relationships/hyperlink" Target="https://zakupki.gov.ru/epz/order/notice/ea20/view/common-info.html?regNumber=0873400003924000163" TargetMode="External"/><Relationship Id="rId141" Type="http://schemas.openxmlformats.org/officeDocument/2006/relationships/hyperlink" Target="https://zakupki.gov.ru/epz/order/notice/ea20/view/common-info.html?regNumber=0873400003924000213" TargetMode="External"/><Relationship Id="rId146" Type="http://schemas.openxmlformats.org/officeDocument/2006/relationships/hyperlink" Target="https://zakupki.gov.ru/epz/order/notice/ea20/view/common-info.html?regNumber=0873400003924000229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162" Type="http://schemas.openxmlformats.org/officeDocument/2006/relationships/hyperlink" Target="https://zakupki.gov.ru/epz/order/notice/ea20/view/common-info.html?regNumber=0873400003924000255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110" Type="http://schemas.openxmlformats.org/officeDocument/2006/relationships/hyperlink" Target="https://zakupki.gov.ru/epz/order/notice/ea20/view/common-info.html?regNumber=0873400003924000077" TargetMode="External"/><Relationship Id="rId115" Type="http://schemas.openxmlformats.org/officeDocument/2006/relationships/hyperlink" Target="https://zakupki.gov.ru/epz/order/notice/ea20/view/common-info.html?regNumber=0873400003924000086" TargetMode="External"/><Relationship Id="rId131" Type="http://schemas.openxmlformats.org/officeDocument/2006/relationships/hyperlink" Target="https://zakupki.gov.ru/epz/order/notice/ea20/view/common-info.html?regNumber=0873400003924000187" TargetMode="External"/><Relationship Id="rId136" Type="http://schemas.openxmlformats.org/officeDocument/2006/relationships/hyperlink" Target="https://zakupki.gov.ru/epz/order/notice/ea20/view/common-info.html?regNumber=0873400003924000200" TargetMode="External"/><Relationship Id="rId157" Type="http://schemas.openxmlformats.org/officeDocument/2006/relationships/hyperlink" Target="https://zakupki.gov.ru/epz/order/notice/ea20/view/common-info.html?regNumber=0873400003924000243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52" Type="http://schemas.openxmlformats.org/officeDocument/2006/relationships/hyperlink" Target="https://zakupki.gov.ru/epz/order/notice/ea20/view/common-info.html?regNumber=0873400003924000238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126" Type="http://schemas.openxmlformats.org/officeDocument/2006/relationships/hyperlink" Target="https://zakupki.gov.ru/epz/order/notice/ea20/view/common-info.html?regNumber=0873400003924000164" TargetMode="External"/><Relationship Id="rId147" Type="http://schemas.openxmlformats.org/officeDocument/2006/relationships/hyperlink" Target="https://zakupki.gov.ru/epz/order/notice/ea20/view/common-info.html?regNumber=0873400003924000230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121" Type="http://schemas.openxmlformats.org/officeDocument/2006/relationships/hyperlink" Target="https://zakupki.gov.ru/epz/order/notice/ea20/view/common-info.html?regNumber=0873400003924000140" TargetMode="External"/><Relationship Id="rId142" Type="http://schemas.openxmlformats.org/officeDocument/2006/relationships/hyperlink" Target="https://zakupki.gov.ru/epz/order/notice/ea20/view/common-info.html?regNumber=0873400003924000216" TargetMode="External"/><Relationship Id="rId163" Type="http://schemas.openxmlformats.org/officeDocument/2006/relationships/hyperlink" Target="https://zakupki.gov.ru/epz/order/notice/ea20/view/common-info.html?regNumber=0873400003924000258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Relationship Id="rId116" Type="http://schemas.openxmlformats.org/officeDocument/2006/relationships/hyperlink" Target="https://zakupki.gov.ru/epz/order/notice/ea20/view/common-info.html?regNumber=0873400003924000087" TargetMode="External"/><Relationship Id="rId137" Type="http://schemas.openxmlformats.org/officeDocument/2006/relationships/hyperlink" Target="https://zakupki.gov.ru/epz/order/notice/ea20/view/common-info.html?regNumber=0873400003924000202" TargetMode="External"/><Relationship Id="rId158" Type="http://schemas.openxmlformats.org/officeDocument/2006/relationships/hyperlink" Target="https://zakupki.gov.ru/epz/order/notice/ea20/view/common-info.html?regNumber=0873400003924000244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111" Type="http://schemas.openxmlformats.org/officeDocument/2006/relationships/hyperlink" Target="https://zakupki.gov.ru/epz/order/notice/ea20/view/common-info.html?regNumber=0873400003924000079" TargetMode="External"/><Relationship Id="rId132" Type="http://schemas.openxmlformats.org/officeDocument/2006/relationships/hyperlink" Target="https://zakupki.gov.ru/epz/order/notice/ea20/view/common-info.html?regNumber=0873400003924000188" TargetMode="External"/><Relationship Id="rId153" Type="http://schemas.openxmlformats.org/officeDocument/2006/relationships/hyperlink" Target="https://zakupki.gov.ru/epz/order/notice/ea20/view/common-info.html?regNumber=0873400003924000239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27" Type="http://schemas.openxmlformats.org/officeDocument/2006/relationships/hyperlink" Target="https://zakupki.gov.ru/epz/order/notice/ea20/view/common-info.html?regNumber=0873400003924000178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122" Type="http://schemas.openxmlformats.org/officeDocument/2006/relationships/hyperlink" Target="https://zakupki.gov.ru/epz/order/notice/ea20/view/common-info.html?regNumber=0873400003924000144" TargetMode="External"/><Relationship Id="rId143" Type="http://schemas.openxmlformats.org/officeDocument/2006/relationships/hyperlink" Target="https://zakupki.gov.ru/epz/order/notice/ea20/view/common-info.html?regNumber=0873400003924000217" TargetMode="External"/><Relationship Id="rId148" Type="http://schemas.openxmlformats.org/officeDocument/2006/relationships/hyperlink" Target="https://zakupki.gov.ru/epz/order/notice/ea20/view/common-info.html?regNumber=0873400003924000232" TargetMode="External"/><Relationship Id="rId164" Type="http://schemas.openxmlformats.org/officeDocument/2006/relationships/hyperlink" Target="https://zakupki.gov.ru/epz/order/notice/ea20/view/common-info.html?regNumber=0873400003924000259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26" Type="http://schemas.openxmlformats.org/officeDocument/2006/relationships/hyperlink" Target="https://zakupki.gov.ru/epz/order/notice/ea20/view/common-info.html?regNumber=0873400003923000572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12" Type="http://schemas.openxmlformats.org/officeDocument/2006/relationships/hyperlink" Target="https://zakupki.gov.ru/epz/order/notice/ea20/view/common-info.html?regNumber=0873400003924000080" TargetMode="External"/><Relationship Id="rId133" Type="http://schemas.openxmlformats.org/officeDocument/2006/relationships/hyperlink" Target="https://zakupki.gov.ru/epz/order/notice/ea20/view/common-info.html?regNumber=0873400003924000194" TargetMode="External"/><Relationship Id="rId154" Type="http://schemas.openxmlformats.org/officeDocument/2006/relationships/hyperlink" Target="https://zakupki.gov.ru/epz/order/notice/ea20/view/common-info.html?regNumber=0873400003924000240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123" Type="http://schemas.openxmlformats.org/officeDocument/2006/relationships/hyperlink" Target="https://zakupki.gov.ru/epz/order/notice/ea20/view/common-info.html?regNumber=0873400003924000148" TargetMode="External"/><Relationship Id="rId144" Type="http://schemas.openxmlformats.org/officeDocument/2006/relationships/hyperlink" Target="https://zakupki.gov.ru/epz/order/notice/ea20/view/common-info.html?regNumber=0873400003924000227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113" Type="http://schemas.openxmlformats.org/officeDocument/2006/relationships/hyperlink" Target="https://zakupki.gov.ru/epz/order/notice/ea20/view/common-info.html?regNumber=0873400003924000081" TargetMode="External"/><Relationship Id="rId134" Type="http://schemas.openxmlformats.org/officeDocument/2006/relationships/hyperlink" Target="https://zakupki.gov.ru/epz/order/notice/ea20/view/common-info.html?regNumber=0873400003924000195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155" Type="http://schemas.openxmlformats.org/officeDocument/2006/relationships/hyperlink" Target="https://zakupki.gov.ru/epz/order/notice/ea20/view/common-info.html?regNumber=087340000392400024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4000006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42" Type="http://schemas.openxmlformats.org/officeDocument/2006/relationships/hyperlink" Target="https://zakupki.gov.ru/epz/order/notice/ea20/view/common-info.html?regNumber=0873400003924000026" TargetMode="External"/><Relationship Id="rId47" Type="http://schemas.openxmlformats.org/officeDocument/2006/relationships/hyperlink" Target="https://zakupki.gov.ru/epz/order/notice/ea20/view/common-info.html?regNumber=0873400003924000031" TargetMode="External"/><Relationship Id="rId63" Type="http://schemas.openxmlformats.org/officeDocument/2006/relationships/hyperlink" Target="https://zakupki.gov.ru/epz/order/notice/ea20/view/common-info.html?regNumber=0873400003924000100" TargetMode="External"/><Relationship Id="rId68" Type="http://schemas.openxmlformats.org/officeDocument/2006/relationships/hyperlink" Target="https://zakupki.gov.ru/epz/order/notice/ea20/view/common-info.html?regNumber=0873400003924000111" TargetMode="External"/><Relationship Id="rId84" Type="http://schemas.openxmlformats.org/officeDocument/2006/relationships/hyperlink" Target="https://zakupki.gov.ru/epz/order/notice/ea20/view/common-info.html?regNumber=0873400003924000133" TargetMode="External"/><Relationship Id="rId89" Type="http://schemas.openxmlformats.org/officeDocument/2006/relationships/hyperlink" Target="https://zakupki.gov.ru/epz/order/notice/ea20/view/common-info.html?regNumber=0873400003924000143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32" Type="http://schemas.openxmlformats.org/officeDocument/2006/relationships/hyperlink" Target="https://zakupki.gov.ru/epz/order/notice/ea20/view/common-info.html?regNumber=0873400003924000012" TargetMode="External"/><Relationship Id="rId37" Type="http://schemas.openxmlformats.org/officeDocument/2006/relationships/hyperlink" Target="https://zakupki.gov.ru/epz/order/notice/ea20/view/common-info.html?regNumber=0873400003924000021" TargetMode="External"/><Relationship Id="rId53" Type="http://schemas.openxmlformats.org/officeDocument/2006/relationships/hyperlink" Target="https://zakupki.gov.ru/epz/order/notice/ea20/view/common-info.html?regNumber=0873400003924000040" TargetMode="External"/><Relationship Id="rId58" Type="http://schemas.openxmlformats.org/officeDocument/2006/relationships/hyperlink" Target="https://zakupki.gov.ru/epz/order/notice/ea20/view/common-info.html?regNumber=0873400003924000064" TargetMode="External"/><Relationship Id="rId74" Type="http://schemas.openxmlformats.org/officeDocument/2006/relationships/hyperlink" Target="https://zakupki.gov.ru/epz/order/notice/ea20/view/common-info.html?regNumber=0873400003924000120" TargetMode="External"/><Relationship Id="rId79" Type="http://schemas.openxmlformats.org/officeDocument/2006/relationships/hyperlink" Target="https://zakupki.gov.ru/epz/order/notice/ea20/view/common-info.html?regNumber=0873400003924000128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90" Type="http://schemas.openxmlformats.org/officeDocument/2006/relationships/hyperlink" Target="https://zakupki.gov.ru/epz/order/notice/ea20/view/common-info.html?regNumber=0873400003924000145" TargetMode="External"/><Relationship Id="rId95" Type="http://schemas.openxmlformats.org/officeDocument/2006/relationships/hyperlink" Target="https://zakupki.gov.ru/epz/order/notice/ea20/view/common-info.html?regNumber=0873400003924000161" TargetMode="External"/><Relationship Id="rId22" Type="http://schemas.openxmlformats.org/officeDocument/2006/relationships/hyperlink" Target="https://zakupki.gov.ru/epz/order/notice/ea20/view/common-info.html?regNumber=0873400003924000002" TargetMode="External"/><Relationship Id="rId27" Type="http://schemas.openxmlformats.org/officeDocument/2006/relationships/hyperlink" Target="https://zakupki.gov.ru/epz/order/notice/ea20/view/common-info.html?regNumber=0873400003924000007" TargetMode="External"/><Relationship Id="rId43" Type="http://schemas.openxmlformats.org/officeDocument/2006/relationships/hyperlink" Target="https://zakupki.gov.ru/epz/order/notice/ea20/view/common-info.html?regNumber=0873400003924000027" TargetMode="External"/><Relationship Id="rId48" Type="http://schemas.openxmlformats.org/officeDocument/2006/relationships/hyperlink" Target="https://zakupki.gov.ru/epz/order/notice/ea20/view/common-info.html?regNumber=0873400003924000032" TargetMode="External"/><Relationship Id="rId64" Type="http://schemas.openxmlformats.org/officeDocument/2006/relationships/hyperlink" Target="https://zakupki.gov.ru/epz/order/notice/ea20/view/common-info.html?regNumber=0873400003924000103" TargetMode="External"/><Relationship Id="rId69" Type="http://schemas.openxmlformats.org/officeDocument/2006/relationships/hyperlink" Target="https://zakupki.gov.ru/epz/order/notice/ea20/view/common-info.html?regNumber=0873400003924000112" TargetMode="External"/><Relationship Id="rId80" Type="http://schemas.openxmlformats.org/officeDocument/2006/relationships/hyperlink" Target="https://zakupki.gov.ru/epz/order/notice/ea20/view/common-info.html?regNumber=0873400003924000129" TargetMode="External"/><Relationship Id="rId85" Type="http://schemas.openxmlformats.org/officeDocument/2006/relationships/hyperlink" Target="https://zakupki.gov.ru/epz/order/notice/ea20/view/common-info.html?regNumber=0873400003924000135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5" Type="http://schemas.openxmlformats.org/officeDocument/2006/relationships/hyperlink" Target="https://zakupki.gov.ru/epz/order/notice/ea20/view/common-info.html?regNumber=0873400003924000005" TargetMode="External"/><Relationship Id="rId33" Type="http://schemas.openxmlformats.org/officeDocument/2006/relationships/hyperlink" Target="https://zakupki.gov.ru/epz/order/notice/ea20/view/common-info.html?regNumber=0873400003924000013" TargetMode="External"/><Relationship Id="rId38" Type="http://schemas.openxmlformats.org/officeDocument/2006/relationships/hyperlink" Target="https://zakupki.gov.ru/epz/order/notice/ea20/view/common-info.html?regNumber=0873400003924000022" TargetMode="External"/><Relationship Id="rId46" Type="http://schemas.openxmlformats.org/officeDocument/2006/relationships/hyperlink" Target="https://zakupki.gov.ru/epz/order/notice/ea20/view/common-info.html?regNumber=087340000392400030" TargetMode="External"/><Relationship Id="rId59" Type="http://schemas.openxmlformats.org/officeDocument/2006/relationships/hyperlink" Target="https://zakupki.gov.ru/epz/order/notice/ea20/view/common-info.html?regNumber=0873400003924000065" TargetMode="External"/><Relationship Id="rId67" Type="http://schemas.openxmlformats.org/officeDocument/2006/relationships/hyperlink" Target="https://zakupki.gov.ru/epz/order/notice/ea20/view/common-info.html?regNumber=0873400003924000109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41" Type="http://schemas.openxmlformats.org/officeDocument/2006/relationships/hyperlink" Target="https://zakupki.gov.ru/epz/order/notice/ea20/view/common-info.html?regNumber=0873400003924000025" TargetMode="External"/><Relationship Id="rId54" Type="http://schemas.openxmlformats.org/officeDocument/2006/relationships/hyperlink" Target="https://zakupki.gov.ru/epz/order/notice/ea20/view/common-info.html?regNumber=0873400003924000048" TargetMode="External"/><Relationship Id="rId62" Type="http://schemas.openxmlformats.org/officeDocument/2006/relationships/hyperlink" Target="https://zakupki.gov.ru/epz/order/notice/ea20/view/common-info.html?regNumber=0873400003924000099" TargetMode="External"/><Relationship Id="rId70" Type="http://schemas.openxmlformats.org/officeDocument/2006/relationships/hyperlink" Target="https://zakupki.gov.ru/epz/order/notice/ea20/view/common-info.html?regNumber=0873400003924000114" TargetMode="External"/><Relationship Id="rId75" Type="http://schemas.openxmlformats.org/officeDocument/2006/relationships/hyperlink" Target="https://zakupki.gov.ru/epz/order/notice/ea20/view/common-info.html?regNumber=0873400003924000122" TargetMode="External"/><Relationship Id="rId83" Type="http://schemas.openxmlformats.org/officeDocument/2006/relationships/hyperlink" Target="https://zakupki.gov.ru/epz/order/notice/ea20/view/common-info.html?regNumber=0873400003924000132" TargetMode="External"/><Relationship Id="rId88" Type="http://schemas.openxmlformats.org/officeDocument/2006/relationships/hyperlink" Target="https://zakupki.gov.ru/epz/order/notice/ea20/view/common-info.html?regNumber=0873400003924000142" TargetMode="External"/><Relationship Id="rId91" Type="http://schemas.openxmlformats.org/officeDocument/2006/relationships/hyperlink" Target="https://zakupki.gov.ru/epz/order/notice/ea20/view/common-info.html?regNumber=0873400003924000146" TargetMode="External"/><Relationship Id="rId96" Type="http://schemas.openxmlformats.org/officeDocument/2006/relationships/hyperlink" Target="https://zakupki.gov.ru/epz/order/notice/ea20/view/common-info.html?regNumber=0873400003924000165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23" Type="http://schemas.openxmlformats.org/officeDocument/2006/relationships/hyperlink" Target="https://zakupki.gov.ru/epz/order/notice/ea20/view/common-info.html?regNumber=0873400003924000003" TargetMode="External"/><Relationship Id="rId28" Type="http://schemas.openxmlformats.org/officeDocument/2006/relationships/hyperlink" Target="https://zakupki.gov.ru/epz/order/notice/ea20/view/common-info.html?regNumber=0873400003924000008" TargetMode="External"/><Relationship Id="rId36" Type="http://schemas.openxmlformats.org/officeDocument/2006/relationships/hyperlink" Target="https://zakupki.gov.ru/epz/order/notice/ea20/view/common-info.html?regNumber=0873400003924000020" TargetMode="External"/><Relationship Id="rId49" Type="http://schemas.openxmlformats.org/officeDocument/2006/relationships/hyperlink" Target="https://zakupki.gov.ru/epz/order/notice/ea20/view/common-info.html?regNumber=0873400003924000033" TargetMode="External"/><Relationship Id="rId57" Type="http://schemas.openxmlformats.org/officeDocument/2006/relationships/hyperlink" Target="https://zakupki.gov.ru/epz/order/notice/ea20/view/common-info.html?regNumber=0873400003924000054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31" Type="http://schemas.openxmlformats.org/officeDocument/2006/relationships/hyperlink" Target="https://zakupki.gov.ru/epz/order/notice/ea20/view/common-info.html?regNumber=0873400003924000011" TargetMode="External"/><Relationship Id="rId44" Type="http://schemas.openxmlformats.org/officeDocument/2006/relationships/hyperlink" Target="https://zakupki.gov.ru/epz/order/notice/ea20/view/common-info.html?regNumber=0873400003924000028" TargetMode="External"/><Relationship Id="rId52" Type="http://schemas.openxmlformats.org/officeDocument/2006/relationships/hyperlink" Target="https://zakupki.gov.ru/epz/order/notice/ea20/view/common-info.html?regNumber=0873400003924000036" TargetMode="External"/><Relationship Id="rId60" Type="http://schemas.openxmlformats.org/officeDocument/2006/relationships/hyperlink" Target="https://zakupki.gov.ru/epz/order/notice/ea20/view/common-info.html?regNumber=0873400003924000075" TargetMode="External"/><Relationship Id="rId65" Type="http://schemas.openxmlformats.org/officeDocument/2006/relationships/hyperlink" Target="https://zakupki.gov.ru/epz/order/notice/ea20/view/common-info.html?regNumber=0873400003924000105" TargetMode="External"/><Relationship Id="rId73" Type="http://schemas.openxmlformats.org/officeDocument/2006/relationships/hyperlink" Target="https://zakupki.gov.ru/epz/order/notice/ea20/view/common-info.html?regNumber=0873400003924000119" TargetMode="External"/><Relationship Id="rId78" Type="http://schemas.openxmlformats.org/officeDocument/2006/relationships/hyperlink" Target="https://zakupki.gov.ru/epz/order/notice/ea20/view/common-info.html?regNumber=0873400003924000127" TargetMode="External"/><Relationship Id="rId81" Type="http://schemas.openxmlformats.org/officeDocument/2006/relationships/hyperlink" Target="https://zakupki.gov.ru/epz/order/notice/ea20/view/common-info.html?regNumber=0873400003924000130" TargetMode="External"/><Relationship Id="rId86" Type="http://schemas.openxmlformats.org/officeDocument/2006/relationships/hyperlink" Target="https://zakupki.gov.ru/epz/order/notice/ea20/view/common-info.html?regNumber=0873400003924000136" TargetMode="External"/><Relationship Id="rId94" Type="http://schemas.openxmlformats.org/officeDocument/2006/relationships/hyperlink" Target="https://zakupki.gov.ru/epz/order/notice/ea20/view/common-info.html?regNumber=0873400003924000153" TargetMode="External"/><Relationship Id="rId99" Type="http://schemas.openxmlformats.org/officeDocument/2006/relationships/hyperlink" Target="https://zakupki.gov.ru/epz/order/notice/ea20/view/common-info.html?regNumber=0873400003924000207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39" Type="http://schemas.openxmlformats.org/officeDocument/2006/relationships/hyperlink" Target="https://zakupki.gov.ru/epz/order/notice/ea20/view/common-info.html?regNumber=0873400003924000023" TargetMode="External"/><Relationship Id="rId34" Type="http://schemas.openxmlformats.org/officeDocument/2006/relationships/hyperlink" Target="https://zakupki.gov.ru/epz/order/notice/ea20/view/common-info.html?regNumber=0873400003924000015" TargetMode="External"/><Relationship Id="rId50" Type="http://schemas.openxmlformats.org/officeDocument/2006/relationships/hyperlink" Target="https://zakupki.gov.ru/epz/order/notice/ea20/view/common-info.html?regNumber=0873400003924000034" TargetMode="External"/><Relationship Id="rId55" Type="http://schemas.openxmlformats.org/officeDocument/2006/relationships/hyperlink" Target="https://zakupki.gov.ru/epz/order/notice/ea20/view/common-info.html?regNumber=0873400003924000050" TargetMode="External"/><Relationship Id="rId76" Type="http://schemas.openxmlformats.org/officeDocument/2006/relationships/hyperlink" Target="https://zakupki.gov.ru/epz/order/notice/ea20/view/common-info.html?regNumber=0873400003924000125" TargetMode="External"/><Relationship Id="rId97" Type="http://schemas.openxmlformats.org/officeDocument/2006/relationships/hyperlink" Target="https://zakupki.gov.ru/epz/order/notice/ea20/view/common-info.html?regNumber=0873400003924000175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71" Type="http://schemas.openxmlformats.org/officeDocument/2006/relationships/hyperlink" Target="https://zakupki.gov.ru/epz/order/notice/ea20/view/common-info.html?regNumber=0873400003924000115" TargetMode="External"/><Relationship Id="rId92" Type="http://schemas.openxmlformats.org/officeDocument/2006/relationships/hyperlink" Target="https://zakupki.gov.ru/epz/order/notice/ea20/view/common-info.html?regNumber=0873400003924000149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29" Type="http://schemas.openxmlformats.org/officeDocument/2006/relationships/hyperlink" Target="https://zakupki.gov.ru/epz/order/notice/ea20/view/common-info.html?regNumber=0873400003924000009" TargetMode="External"/><Relationship Id="rId24" Type="http://schemas.openxmlformats.org/officeDocument/2006/relationships/hyperlink" Target="https://zakupki.gov.ru/epz/order/notice/ea20/view/common-info.html?regNumber=0873400003924000004" TargetMode="External"/><Relationship Id="rId40" Type="http://schemas.openxmlformats.org/officeDocument/2006/relationships/hyperlink" Target="https://zakupki.gov.ru/epz/order/notice/ea20/view/common-info.html?regNumber=0873400003924000024" TargetMode="External"/><Relationship Id="rId45" Type="http://schemas.openxmlformats.org/officeDocument/2006/relationships/hyperlink" Target="https://zakupki.gov.ru/epz/order/notice/ea20/view/common-info.html?regNumber=0873400003924000029" TargetMode="External"/><Relationship Id="rId66" Type="http://schemas.openxmlformats.org/officeDocument/2006/relationships/hyperlink" Target="https://zakupki.gov.ru/epz/order/notice/ea20/view/common-info.html?regNumber=0873400003924000106" TargetMode="External"/><Relationship Id="rId87" Type="http://schemas.openxmlformats.org/officeDocument/2006/relationships/hyperlink" Target="https://zakupki.gov.ru/epz/order/notice/ea20/view/common-info.html?regNumber=0873400003924000137" TargetMode="External"/><Relationship Id="rId61" Type="http://schemas.openxmlformats.org/officeDocument/2006/relationships/hyperlink" Target="https://zakupki.gov.ru/epz/order/notice/ea20/view/common-info.html?regNumber=0873400003924000096" TargetMode="External"/><Relationship Id="rId82" Type="http://schemas.openxmlformats.org/officeDocument/2006/relationships/hyperlink" Target="https://zakupki.gov.ru/epz/order/notice/ea20/view/common-info.html?regNumber=0873400003924000131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14" Type="http://schemas.openxmlformats.org/officeDocument/2006/relationships/hyperlink" Target="https://zakupki.gov.ru/epz/order/notice/ea20/view/common-info.html?regNumber=0873400003923000692" TargetMode="External"/><Relationship Id="rId30" Type="http://schemas.openxmlformats.org/officeDocument/2006/relationships/hyperlink" Target="https://zakupki.gov.ru/epz/order/notice/ea20/view/common-info.html?regNumber=0873400003924000010" TargetMode="External"/><Relationship Id="rId35" Type="http://schemas.openxmlformats.org/officeDocument/2006/relationships/hyperlink" Target="https://zakupki.gov.ru/epz/order/notice/ea20/view/common-info.html?regNumber=0873400003924000019" TargetMode="External"/><Relationship Id="rId56" Type="http://schemas.openxmlformats.org/officeDocument/2006/relationships/hyperlink" Target="https://zakupki.gov.ru/epz/order/notice/ea20/view/common-info.html?regNumber=0873400003924000050" TargetMode="External"/><Relationship Id="rId77" Type="http://schemas.openxmlformats.org/officeDocument/2006/relationships/hyperlink" Target="https://zakupki.gov.ru/epz/order/notice/ea20/view/common-info.html?regNumber=0873400003924000126" TargetMode="External"/><Relationship Id="rId8" Type="http://schemas.openxmlformats.org/officeDocument/2006/relationships/hyperlink" Target="https://zakupki.gov.ru/epz/order/notice/ea20/view/common-info.html?regNumber=0873400003923000646" TargetMode="External"/><Relationship Id="rId51" Type="http://schemas.openxmlformats.org/officeDocument/2006/relationships/hyperlink" Target="https://zakupki.gov.ru/epz/order/notice/ea20/view/common-info.html?regNumber=0873400003924000035" TargetMode="External"/><Relationship Id="rId72" Type="http://schemas.openxmlformats.org/officeDocument/2006/relationships/hyperlink" Target="https://zakupki.gov.ru/epz/order/notice/ea20/view/common-info.html?regNumber=0873400003924000116" TargetMode="External"/><Relationship Id="rId93" Type="http://schemas.openxmlformats.org/officeDocument/2006/relationships/hyperlink" Target="https://zakupki.gov.ru/epz/order/notice/ea20/view/common-info.html?regNumber=0873400003924000150" TargetMode="External"/><Relationship Id="rId98" Type="http://schemas.openxmlformats.org/officeDocument/2006/relationships/hyperlink" Target="https://zakupki.gov.ru/epz/order/notice/ea20/view/common-info.html?regNumber=087340000392400019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4000101" TargetMode="External"/><Relationship Id="rId18" Type="http://schemas.openxmlformats.org/officeDocument/2006/relationships/hyperlink" Target="https://zakupki.gov.ru/epz/order/notice/ea20/view/common-info.html?regNumber=0873400003924000110" TargetMode="External"/><Relationship Id="rId26" Type="http://schemas.openxmlformats.org/officeDocument/2006/relationships/hyperlink" Target="https://zakupki.gov.ru/epz/order/notice/ea20/view/common-info.html?regNumber=0873400003924000160" TargetMode="External"/><Relationship Id="rId39" Type="http://schemas.openxmlformats.org/officeDocument/2006/relationships/hyperlink" Target="https://zakupki.gov.ru/epz/order/notice/ea20/view/common-info.html?regNumber=0873400003924000193" TargetMode="External"/><Relationship Id="rId21" Type="http://schemas.openxmlformats.org/officeDocument/2006/relationships/hyperlink" Target="https://zakupki.gov.ru/epz/order/notice/ea20/view/common-info.html?regNumber=0873400003924000118" TargetMode="External"/><Relationship Id="rId34" Type="http://schemas.openxmlformats.org/officeDocument/2006/relationships/hyperlink" Target="https://zakupki.gov.ru/epz/order/notice/ea20/view/common-info.html?regNumber=0873400003924000186" TargetMode="External"/><Relationship Id="rId42" Type="http://schemas.openxmlformats.org/officeDocument/2006/relationships/hyperlink" Target="https://zakupki.gov.ru/epz/order/notice/ea20/view/common-info.html?regNumber=0873400003924000203" TargetMode="External"/><Relationship Id="rId47" Type="http://schemas.openxmlformats.org/officeDocument/2006/relationships/hyperlink" Target="https://zakupki.gov.ru/epz/order/notice/ea20/view/common-info.html?regNumber=0873400003924000215" TargetMode="External"/><Relationship Id="rId7" Type="http://schemas.openxmlformats.org/officeDocument/2006/relationships/hyperlink" Target="https://zakupki.gov.ru/epz/order/notice/ea20/view/common-info.html?regNumber=0873400003924000090" TargetMode="External"/><Relationship Id="rId2" Type="http://schemas.openxmlformats.org/officeDocument/2006/relationships/hyperlink" Target="https://zakupki.gov.ru/epz/order/notice/ea20/view/common-info.html?regNumber=0873400003923000514" TargetMode="External"/><Relationship Id="rId16" Type="http://schemas.openxmlformats.org/officeDocument/2006/relationships/hyperlink" Target="https://zakupki.gov.ru/epz/order/notice/ea20/view/common-info.html?regNumber=0873400003924000107" TargetMode="External"/><Relationship Id="rId29" Type="http://schemas.openxmlformats.org/officeDocument/2006/relationships/hyperlink" Target="https://zakupki.gov.ru/epz/order/notice/ea20/view/common-info.html?regNumber=0873400003924000176" TargetMode="External"/><Relationship Id="rId1" Type="http://schemas.openxmlformats.org/officeDocument/2006/relationships/hyperlink" Target="https://zakupki.gov.ru/epz/order/notice/ea20/view/common-info.html?regNumber=0873400003923000492" TargetMode="External"/><Relationship Id="rId6" Type="http://schemas.openxmlformats.org/officeDocument/2006/relationships/hyperlink" Target="https://zakupki.gov.ru/epz/order/notice/ea20/view/common-info.html?regNumber=0873400003924000089" TargetMode="External"/><Relationship Id="rId11" Type="http://schemas.openxmlformats.org/officeDocument/2006/relationships/hyperlink" Target="https://zakupki.gov.ru/epz/order/notice/ea20/view/common-info.html?regNumber=0873400003924000095" TargetMode="External"/><Relationship Id="rId24" Type="http://schemas.openxmlformats.org/officeDocument/2006/relationships/hyperlink" Target="https://zakupki.gov.ru/epz/order/notice/ea20/view/common-info.html?regNumber=0873400003924000152" TargetMode="External"/><Relationship Id="rId32" Type="http://schemas.openxmlformats.org/officeDocument/2006/relationships/hyperlink" Target="https://zakupki.gov.ru/epz/order/notice/ea20/view/common-info.html?regNumber=0873400003924000180" TargetMode="External"/><Relationship Id="rId37" Type="http://schemas.openxmlformats.org/officeDocument/2006/relationships/hyperlink" Target="https://zakupki.gov.ru/epz/order/notice/ea20/view/common-info.html?regNumber=0873400003924000191" TargetMode="External"/><Relationship Id="rId40" Type="http://schemas.openxmlformats.org/officeDocument/2006/relationships/hyperlink" Target="https://zakupki.gov.ru/epz/order/notice/ea20/view/common-info.html?regNumber=0873400003924000197" TargetMode="External"/><Relationship Id="rId45" Type="http://schemas.openxmlformats.org/officeDocument/2006/relationships/hyperlink" Target="https://zakupki.gov.ru/epz/order/notice/ea20/view/common-info.html?regNumber=0873400003924000211" TargetMode="External"/><Relationship Id="rId5" Type="http://schemas.openxmlformats.org/officeDocument/2006/relationships/hyperlink" Target="https://zakupki.gov.ru/epz/order/notice/ea20/view/common-info.html?regNumber=0873400003924000085" TargetMode="External"/><Relationship Id="rId15" Type="http://schemas.openxmlformats.org/officeDocument/2006/relationships/hyperlink" Target="https://zakupki.gov.ru/epz/order/notice/ea20/view/common-info.html?regNumber=0873400003924000104" TargetMode="External"/><Relationship Id="rId23" Type="http://schemas.openxmlformats.org/officeDocument/2006/relationships/hyperlink" Target="https://zakupki.gov.ru/epz/order/notice/ea20/view/common-info.html?regNumber=0873400003924000151" TargetMode="External"/><Relationship Id="rId28" Type="http://schemas.openxmlformats.org/officeDocument/2006/relationships/hyperlink" Target="https://zakupki.gov.ru/epz/order/notice/ea20/view/common-info.html?regNumber=0873400003924000174" TargetMode="External"/><Relationship Id="rId36" Type="http://schemas.openxmlformats.org/officeDocument/2006/relationships/hyperlink" Target="https://zakupki.gov.ru/epz/order/notice/ea20/view/common-info.html?regNumber=0873400003924000190" TargetMode="External"/><Relationship Id="rId10" Type="http://schemas.openxmlformats.org/officeDocument/2006/relationships/hyperlink" Target="https://zakupki.gov.ru/epz/order/notice/ea20/view/common-info.html?regNumber=0873400003924000094" TargetMode="External"/><Relationship Id="rId19" Type="http://schemas.openxmlformats.org/officeDocument/2006/relationships/hyperlink" Target="https://zakupki.gov.ru/epz/order/notice/ea20/view/common-info.html?regNumber=0873400003924000113" TargetMode="External"/><Relationship Id="rId31" Type="http://schemas.openxmlformats.org/officeDocument/2006/relationships/hyperlink" Target="https://zakupki.gov.ru/epz/order/notice/ea20/view/common-info.html?regNumber=0873400003924000179" TargetMode="External"/><Relationship Id="rId44" Type="http://schemas.openxmlformats.org/officeDocument/2006/relationships/hyperlink" Target="https://zakupki.gov.ru/epz/order/notice/ea20/view/common-info.html?regNumber=0873400003924000208" TargetMode="External"/><Relationship Id="rId4" Type="http://schemas.openxmlformats.org/officeDocument/2006/relationships/hyperlink" Target="https://zakupki.gov.ru/epz/order/notice/ea20/view/common-info.html?regNumber=0873400003924000084" TargetMode="External"/><Relationship Id="rId9" Type="http://schemas.openxmlformats.org/officeDocument/2006/relationships/hyperlink" Target="https://zakupki.gov.ru/epz/order/notice/ea20/view/common-info.html?regNumber=0873400003924000093" TargetMode="External"/><Relationship Id="rId14" Type="http://schemas.openxmlformats.org/officeDocument/2006/relationships/hyperlink" Target="https://zakupki.gov.ru/epz/order/notice/ea20/view/common-info.html?regNumber=0873400003924000102" TargetMode="External"/><Relationship Id="rId22" Type="http://schemas.openxmlformats.org/officeDocument/2006/relationships/hyperlink" Target="https://zakupki.gov.ru/epz/order/notice/ea20/view/common-info.html?regNumber=0873400003924000121" TargetMode="External"/><Relationship Id="rId27" Type="http://schemas.openxmlformats.org/officeDocument/2006/relationships/hyperlink" Target="https://zakupki.gov.ru/epz/order/notice/ea20/view/common-info.html?regNumber=0873400003924000173" TargetMode="External"/><Relationship Id="rId30" Type="http://schemas.openxmlformats.org/officeDocument/2006/relationships/hyperlink" Target="https://zakupki.gov.ru/epz/order/notice/ea20/view/common-info.html?regNumber=0873400003924000177" TargetMode="External"/><Relationship Id="rId35" Type="http://schemas.openxmlformats.org/officeDocument/2006/relationships/hyperlink" Target="https://zakupki.gov.ru/epz/order/notice/ea20/view/common-info.html?regNumber=0873400003924000189" TargetMode="External"/><Relationship Id="rId43" Type="http://schemas.openxmlformats.org/officeDocument/2006/relationships/hyperlink" Target="https://zakupki.gov.ru/epz/order/notice/ea20/view/common-info.html?regNumber=0873400003924000205" TargetMode="External"/><Relationship Id="rId8" Type="http://schemas.openxmlformats.org/officeDocument/2006/relationships/hyperlink" Target="https://zakupki.gov.ru/epz/order/notice/ea20/view/common-info.html?regNumber=0873400003924000091" TargetMode="External"/><Relationship Id="rId3" Type="http://schemas.openxmlformats.org/officeDocument/2006/relationships/hyperlink" Target="https://zakupki.gov.ru/epz/order/notice/ea20/view/common-info.html?regNumber=0873400003924000083" TargetMode="External"/><Relationship Id="rId12" Type="http://schemas.openxmlformats.org/officeDocument/2006/relationships/hyperlink" Target="https://zakupki.gov.ru/epz/order/notice/ea20/view/common-info.html?regNumber=0873400003924000098" TargetMode="External"/><Relationship Id="rId17" Type="http://schemas.openxmlformats.org/officeDocument/2006/relationships/hyperlink" Target="https://zakupki.gov.ru/epz/order/notice/ea20/view/common-info.html?regNumber=0873400003924000108" TargetMode="External"/><Relationship Id="rId25" Type="http://schemas.openxmlformats.org/officeDocument/2006/relationships/hyperlink" Target="https://zakupki.gov.ru/epz/order/notice/ea20/view/common-info.html?regNumber=0873400003924000159" TargetMode="External"/><Relationship Id="rId33" Type="http://schemas.openxmlformats.org/officeDocument/2006/relationships/hyperlink" Target="https://zakupki.gov.ru/epz/order/notice/ea20/view/common-info.html?regNumber=0873400003924000182" TargetMode="External"/><Relationship Id="rId38" Type="http://schemas.openxmlformats.org/officeDocument/2006/relationships/hyperlink" Target="https://zakupki.gov.ru/epz/order/notice/ea20/view/common-info.html?regNumber=0873400003924000192" TargetMode="External"/><Relationship Id="rId46" Type="http://schemas.openxmlformats.org/officeDocument/2006/relationships/hyperlink" Target="https://zakupki.gov.ru/epz/order/notice/ea20/view/common-info.html?regNumber=0873400003924000212" TargetMode="External"/><Relationship Id="rId20" Type="http://schemas.openxmlformats.org/officeDocument/2006/relationships/hyperlink" Target="https://zakupki.gov.ru/epz/order/notice/ea20/view/common-info.html?regNumber=0873400003924000117" TargetMode="External"/><Relationship Id="rId41" Type="http://schemas.openxmlformats.org/officeDocument/2006/relationships/hyperlink" Target="https://zakupki.gov.ru/epz/order/notice/ea20/view/common-info.html?regNumber=087340000392400020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13" Type="http://schemas.openxmlformats.org/officeDocument/2006/relationships/hyperlink" Target="https://zakupki.gov.ru/epz/order/notice/ea20/view/common-info.html?regNumber=0873400003924000038" TargetMode="External"/><Relationship Id="rId18" Type="http://schemas.openxmlformats.org/officeDocument/2006/relationships/hyperlink" Target="https://zakupki.gov.ru/epz/order/notice/ea20/view/common-info.html?regNumber=0873400003924000044" TargetMode="External"/><Relationship Id="rId26" Type="http://schemas.openxmlformats.org/officeDocument/2006/relationships/hyperlink" Target="https://zakupki.gov.ru/epz/order/notice/ea20/view/common-info.html?regNumber=0873400003924000059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21" Type="http://schemas.openxmlformats.org/officeDocument/2006/relationships/hyperlink" Target="https://zakupki.gov.ru/epz/order/notice/ea20/view/common-info.html?regNumber=0873400003924000047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12" Type="http://schemas.openxmlformats.org/officeDocument/2006/relationships/hyperlink" Target="https://zakupki.gov.ru/epz/order/notice/ea20/view/common-info.html?regNumber=0873400003924000037" TargetMode="External"/><Relationship Id="rId17" Type="http://schemas.openxmlformats.org/officeDocument/2006/relationships/hyperlink" Target="https://zakupki.gov.ru/epz/order/notice/ea20/view/common-info.html?regNumber=0873400003924000043" TargetMode="External"/><Relationship Id="rId25" Type="http://schemas.openxmlformats.org/officeDocument/2006/relationships/hyperlink" Target="https://zakupki.gov.ru/epz/order/notice/ea20/view/common-info.html?regNumber=0873400003924000055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6" Type="http://schemas.openxmlformats.org/officeDocument/2006/relationships/hyperlink" Target="https://zakupki.gov.ru/epz/order/notice/ea20/view/common-info.html?regNumber=0873400003924000042" TargetMode="External"/><Relationship Id="rId20" Type="http://schemas.openxmlformats.org/officeDocument/2006/relationships/hyperlink" Target="https://zakupki.gov.ru/epz/order/notice/ea20/view/common-info.html?regNumber=0873400003924000046" TargetMode="External"/><Relationship Id="rId29" Type="http://schemas.openxmlformats.org/officeDocument/2006/relationships/hyperlink" Target="https://zakupki.gov.ru/epz/order/notice/ea20/view/common-info.html?regNumber=0873400003924000062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24" Type="http://schemas.openxmlformats.org/officeDocument/2006/relationships/hyperlink" Target="https://zakupki.gov.ru/epz/order/notice/ea20/view/common-info.html?regNumber=0873400003924000053" TargetMode="External"/><Relationship Id="rId32" Type="http://schemas.openxmlformats.org/officeDocument/2006/relationships/hyperlink" Target="https://zakupki.gov.ru/epz/order/notice/ea20/view/common-info.html?regNumber=0873400003924000214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5" Type="http://schemas.openxmlformats.org/officeDocument/2006/relationships/hyperlink" Target="https://zakupki.gov.ru/epz/order/notice/ea20/view/common-info.html?regNumber=0873400003924000041" TargetMode="External"/><Relationship Id="rId23" Type="http://schemas.openxmlformats.org/officeDocument/2006/relationships/hyperlink" Target="https://zakupki.gov.ru/epz/order/notice/ea20/view/common-info.html?regNumber=0873400003924000052" TargetMode="External"/><Relationship Id="rId28" Type="http://schemas.openxmlformats.org/officeDocument/2006/relationships/hyperlink" Target="https://zakupki.gov.ru/epz/order/notice/ea20/view/common-info.html?regNumber=0873400003924000061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19" Type="http://schemas.openxmlformats.org/officeDocument/2006/relationships/hyperlink" Target="https://zakupki.gov.ru/epz/order/notice/ea20/view/common-info.html?regNumber=0873400003924000045" TargetMode="External"/><Relationship Id="rId31" Type="http://schemas.openxmlformats.org/officeDocument/2006/relationships/hyperlink" Target="https://zakupki.gov.ru/epz/order/notice/ea20/view/common-info.html?regNumber=0873400003924000092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Relationship Id="rId14" Type="http://schemas.openxmlformats.org/officeDocument/2006/relationships/hyperlink" Target="https://zakupki.gov.ru/epz/order/notice/ea20/view/common-info.html?regNumber=0873400003924000039" TargetMode="External"/><Relationship Id="rId22" Type="http://schemas.openxmlformats.org/officeDocument/2006/relationships/hyperlink" Target="https://zakupki.gov.ru/epz/order/notice/ea20/view/common-info.html?regNumber=0873400003924000049" TargetMode="External"/><Relationship Id="rId27" Type="http://schemas.openxmlformats.org/officeDocument/2006/relationships/hyperlink" Target="https://zakupki.gov.ru/epz/order/notice/ea20/view/common-info.html?regNumber=0873400003924000060" TargetMode="External"/><Relationship Id="rId30" Type="http://schemas.openxmlformats.org/officeDocument/2006/relationships/hyperlink" Target="https://zakupki.gov.ru/epz/order/notice/ea20/view/common-info.html?regNumber=087340000392400006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19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63" Type="http://schemas.openxmlformats.org/officeDocument/2006/relationships/hyperlink" Target="https://zakupki.gov.ru/epz/order/notice/ea20/view/common-info.html?regNumber=0873400003924000070" TargetMode="External"/><Relationship Id="rId68" Type="http://schemas.openxmlformats.org/officeDocument/2006/relationships/hyperlink" Target="https://zakupki.gov.ru/epz/order/notice/ea20/view/common-info.html?regNumber=0873400003924000123" TargetMode="External"/><Relationship Id="rId84" Type="http://schemas.openxmlformats.org/officeDocument/2006/relationships/hyperlink" Target="https://zakupki.gov.ru/epz/order/notice/ea20/view/common-info.html?regNumber=0873400003924000219" TargetMode="External"/><Relationship Id="rId89" Type="http://schemas.openxmlformats.org/officeDocument/2006/relationships/hyperlink" Target="https://zakupki.gov.ru/epz/order/notice/ea20/view/common-info.html?regNumber=0873400003924000224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53" Type="http://schemas.openxmlformats.org/officeDocument/2006/relationships/hyperlink" Target="https://zakupki.gov.ru/epz/order/notice/ea20/view/common-info.html?regNumber=0873400003924000016" TargetMode="External"/><Relationship Id="rId58" Type="http://schemas.openxmlformats.org/officeDocument/2006/relationships/hyperlink" Target="https://zakupki.gov.ru/epz/order/notice/ea20/view/common-info.html?regNumber=0873400003924000058" TargetMode="External"/><Relationship Id="rId74" Type="http://schemas.openxmlformats.org/officeDocument/2006/relationships/hyperlink" Target="https://zakupki.gov.ru/epz/order/notice/ea20/view/common-info.html?regNumber=0873400003924000166" TargetMode="External"/><Relationship Id="rId79" Type="http://schemas.openxmlformats.org/officeDocument/2006/relationships/hyperlink" Target="https://zakupki.gov.ru/epz/order/notice/ea20/view/common-info.html?regNumber=0873400003924000171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90" Type="http://schemas.openxmlformats.org/officeDocument/2006/relationships/hyperlink" Target="https://zakupki.gov.ru/epz/order/notice/ea20/view/common-info.html?regNumber=0873400003924000225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56" Type="http://schemas.openxmlformats.org/officeDocument/2006/relationships/hyperlink" Target="https://zakupki.gov.ru/epz/order/notice/ea20/view/common-info.html?regNumber=0873400003924000056" TargetMode="External"/><Relationship Id="rId64" Type="http://schemas.openxmlformats.org/officeDocument/2006/relationships/hyperlink" Target="https://zakupki.gov.ru/epz/order/notice/ea20/view/common-info.html?regNumber=0873400003924000071" TargetMode="External"/><Relationship Id="rId69" Type="http://schemas.openxmlformats.org/officeDocument/2006/relationships/hyperlink" Target="https://zakupki.gov.ru/epz/order/notice/ea20/view/common-info.html?regNumber=0873400003924000154" TargetMode="External"/><Relationship Id="rId77" Type="http://schemas.openxmlformats.org/officeDocument/2006/relationships/hyperlink" Target="https://zakupki.gov.ru/epz/order/notice/ea20/view/common-info.html?regNumber=0873400003924000169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72" Type="http://schemas.openxmlformats.org/officeDocument/2006/relationships/hyperlink" Target="https://zakupki.gov.ru/epz/order/notice/ea20/view/common-info.html?regNumber=0873400003924000157" TargetMode="External"/><Relationship Id="rId80" Type="http://schemas.openxmlformats.org/officeDocument/2006/relationships/hyperlink" Target="https://zakupki.gov.ru/epz/order/notice/ea20/view/common-info.html?regNumber=0873400003924000172" TargetMode="External"/><Relationship Id="rId85" Type="http://schemas.openxmlformats.org/officeDocument/2006/relationships/hyperlink" Target="https://zakupki.gov.ru/epz/order/notice/ea20/view/common-info.html?regNumber=0873400003924000220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59" Type="http://schemas.openxmlformats.org/officeDocument/2006/relationships/hyperlink" Target="https://zakupki.gov.ru/epz/order/notice/ea20/view/common-info.html?regNumber=0873400003924000066" TargetMode="External"/><Relationship Id="rId67" Type="http://schemas.openxmlformats.org/officeDocument/2006/relationships/hyperlink" Target="https://zakupki.gov.ru/epz/order/notice/ea20/view/common-info.html?regNumber=0873400003924000097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54" Type="http://schemas.openxmlformats.org/officeDocument/2006/relationships/hyperlink" Target="https://zakupki.gov.ru/epz/order/notice/ea20/view/common-info.html?regNumber=0873400003924000017" TargetMode="External"/><Relationship Id="rId62" Type="http://schemas.openxmlformats.org/officeDocument/2006/relationships/hyperlink" Target="https://zakupki.gov.ru/epz/order/notice/ea20/view/common-info.html?regNumber=0873400003924000069" TargetMode="External"/><Relationship Id="rId70" Type="http://schemas.openxmlformats.org/officeDocument/2006/relationships/hyperlink" Target="https://zakupki.gov.ru/epz/order/notice/ea20/view/common-info.html?regNumber=0873400003924000155" TargetMode="External"/><Relationship Id="rId75" Type="http://schemas.openxmlformats.org/officeDocument/2006/relationships/hyperlink" Target="https://zakupki.gov.ru/epz/order/notice/ea20/view/common-info.html?regNumber=0873400003924000167" TargetMode="External"/><Relationship Id="rId83" Type="http://schemas.openxmlformats.org/officeDocument/2006/relationships/hyperlink" Target="https://zakupki.gov.ru/epz/order/notice/ea20/view/common-info.html?regNumber=0873400003924000218" TargetMode="External"/><Relationship Id="rId88" Type="http://schemas.openxmlformats.org/officeDocument/2006/relationships/hyperlink" Target="https://zakupki.gov.ru/epz/order/notice/ea20/view/common-info.html?regNumber=0873400003924000223" TargetMode="External"/><Relationship Id="rId91" Type="http://schemas.openxmlformats.org/officeDocument/2006/relationships/hyperlink" Target="https://zakupki.gov.ru/epz/order/notice/ea20/view/common-info.html?regNumber=0873400003924000252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Relationship Id="rId57" Type="http://schemas.openxmlformats.org/officeDocument/2006/relationships/hyperlink" Target="https://zakupki.gov.ru/epz/order/notice/ea20/view/common-info.html?regNumber=0873400003924000057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52" Type="http://schemas.openxmlformats.org/officeDocument/2006/relationships/hyperlink" Target="https://zakupki.gov.ru/epz/order/notice/ea20/view/common-info.html?regNumber=0873400003924000014" TargetMode="External"/><Relationship Id="rId60" Type="http://schemas.openxmlformats.org/officeDocument/2006/relationships/hyperlink" Target="https://zakupki.gov.ru/epz/order/notice/ea20/view/common-info.html?regNumber=0873400003924000067" TargetMode="External"/><Relationship Id="rId65" Type="http://schemas.openxmlformats.org/officeDocument/2006/relationships/hyperlink" Target="https://zakupki.gov.ru/epz/order/notice/ea20/view/common-info.html?regNumber=0873400003924000072" TargetMode="External"/><Relationship Id="rId73" Type="http://schemas.openxmlformats.org/officeDocument/2006/relationships/hyperlink" Target="https://zakupki.gov.ru/epz/order/notice/ea20/view/common-info.html?regNumber=0873400003924000158" TargetMode="External"/><Relationship Id="rId78" Type="http://schemas.openxmlformats.org/officeDocument/2006/relationships/hyperlink" Target="https://zakupki.gov.ru/epz/order/notice/ea20/view/common-info.html?regNumber=0873400003924000170" TargetMode="External"/><Relationship Id="rId81" Type="http://schemas.openxmlformats.org/officeDocument/2006/relationships/hyperlink" Target="https://zakupki.gov.ru/epz/order/notice/ea20/view/common-info.html?regNumber=0873400003924000185" TargetMode="External"/><Relationship Id="rId86" Type="http://schemas.openxmlformats.org/officeDocument/2006/relationships/hyperlink" Target="https://zakupki.gov.ru/epz/order/notice/ea20/view/common-info.html?regNumber=0873400003924000221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55" Type="http://schemas.openxmlformats.org/officeDocument/2006/relationships/hyperlink" Target="https://zakupki.gov.ru/epz/order/notice/ea20/view/common-info.html?regNumber=0873400003924000018" TargetMode="External"/><Relationship Id="rId76" Type="http://schemas.openxmlformats.org/officeDocument/2006/relationships/hyperlink" Target="https://zakupki.gov.ru/epz/order/notice/ea20/view/common-info.html?regNumber=0873400003924000168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71" Type="http://schemas.openxmlformats.org/officeDocument/2006/relationships/hyperlink" Target="https://zakupki.gov.ru/epz/order/notice/ea20/view/common-info.html?regNumber=0873400003924000156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66" Type="http://schemas.openxmlformats.org/officeDocument/2006/relationships/hyperlink" Target="https://zakupki.gov.ru/epz/order/notice/ea20/view/common-info.html?regNumber=0873400003924000078" TargetMode="External"/><Relationship Id="rId87" Type="http://schemas.openxmlformats.org/officeDocument/2006/relationships/hyperlink" Target="https://zakupki.gov.ru/epz/order/notice/ea20/view/common-info.html?regNumber=0873400003924000222" TargetMode="External"/><Relationship Id="rId61" Type="http://schemas.openxmlformats.org/officeDocument/2006/relationships/hyperlink" Target="https://zakupki.gov.ru/epz/order/notice/ea20/view/common-info.html?regNumber=0873400003924000068" TargetMode="External"/><Relationship Id="rId82" Type="http://schemas.openxmlformats.org/officeDocument/2006/relationships/hyperlink" Target="https://zakupki.gov.ru/epz/order/notice/ea20/view/common-info.html?regNumber=0873400003924000196" TargetMode="External"/><Relationship Id="rId19" Type="http://schemas.openxmlformats.org/officeDocument/2006/relationships/hyperlink" Target="https://zakupki.gov.ru/epz/order/notice/ea20/view/common-info.html?regNumber=0873400003923000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87B7-338E-4447-A099-BEB459D8AC1D}">
  <dimension ref="A1:AY609"/>
  <sheetViews>
    <sheetView tabSelected="1" zoomScale="80" zoomScaleNormal="80" workbookViewId="0">
      <pane xSplit="1" ySplit="2" topLeftCell="B173" activePane="bottomRight" state="frozen"/>
      <selection pane="topRight" activeCell="D1" sqref="D1"/>
      <selection pane="bottomLeft" activeCell="A3" sqref="A3"/>
      <selection pane="bottomRight" activeCell="D174" sqref="D174"/>
    </sheetView>
  </sheetViews>
  <sheetFormatPr defaultColWidth="9.140625" defaultRowHeight="15.75" x14ac:dyDescent="0.25"/>
  <cols>
    <col min="1" max="1" width="23.85546875" style="20" customWidth="1"/>
    <col min="2" max="2" width="15.140625" style="71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73" customWidth="1"/>
    <col min="7" max="7" width="33.42578125" style="49" customWidth="1"/>
    <col min="8" max="8" width="19.140625" style="72" customWidth="1"/>
    <col min="9" max="9" width="38.28515625" style="20" customWidth="1"/>
    <col min="10" max="13" width="22.140625" style="49" customWidth="1"/>
    <col min="14" max="14" width="19.140625" style="49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4" customWidth="1"/>
    <col min="26" max="26" width="15.5703125" style="20" customWidth="1"/>
    <col min="27" max="27" width="15.5703125" style="72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49" customWidth="1"/>
    <col min="37" max="37" width="14.85546875" style="49" customWidth="1"/>
    <col min="38" max="38" width="15.42578125" style="20" customWidth="1"/>
    <col min="39" max="39" width="14.85546875" style="74" customWidth="1"/>
    <col min="40" max="40" width="16.28515625" style="72" customWidth="1"/>
    <col min="41" max="41" width="30.42578125" style="72" customWidth="1"/>
    <col min="42" max="42" width="19" style="49" customWidth="1"/>
    <col min="43" max="43" width="16.28515625" style="49" customWidth="1"/>
    <col min="44" max="44" width="11" style="20" customWidth="1"/>
    <col min="45" max="45" width="14.7109375" style="50" customWidth="1"/>
    <col min="46" max="46" width="12.5703125" style="20" customWidth="1"/>
    <col min="47" max="47" width="13.85546875" style="72" customWidth="1"/>
    <col min="48" max="48" width="8.5703125" style="74" customWidth="1"/>
    <col min="49" max="49" width="7.7109375" style="74" customWidth="1"/>
    <col min="50" max="50" width="18.42578125" style="49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78.75" customHeight="1" x14ac:dyDescent="0.25">
      <c r="A3" s="35" t="s">
        <v>49</v>
      </c>
      <c r="B3" s="36">
        <v>44580</v>
      </c>
      <c r="C3" s="37">
        <v>1416</v>
      </c>
      <c r="D3" s="35" t="s">
        <v>50</v>
      </c>
      <c r="E3" s="39" t="s">
        <v>51</v>
      </c>
      <c r="F3" s="36">
        <v>44617</v>
      </c>
      <c r="G3" s="37" t="s">
        <v>52</v>
      </c>
      <c r="H3" s="40" t="s">
        <v>53</v>
      </c>
      <c r="I3" s="40" t="s">
        <v>54</v>
      </c>
      <c r="J3" s="41">
        <v>765023068.5</v>
      </c>
      <c r="K3" s="41">
        <v>255007689.5</v>
      </c>
      <c r="L3" s="41">
        <v>255007689.5</v>
      </c>
      <c r="M3" s="41">
        <v>255007689.5</v>
      </c>
      <c r="N3" s="42">
        <f>((J3-P3)/J3)*100</f>
        <v>0</v>
      </c>
      <c r="O3" s="43">
        <f>J3-P3</f>
        <v>0</v>
      </c>
      <c r="P3" s="41">
        <v>765023068.5</v>
      </c>
      <c r="Q3" s="43">
        <f>T3-J3</f>
        <v>44970673.24000001</v>
      </c>
      <c r="R3" s="41">
        <v>255007689.5</v>
      </c>
      <c r="S3" s="30">
        <v>299978362.74000001</v>
      </c>
      <c r="T3" s="30">
        <v>809993741.74000001</v>
      </c>
      <c r="U3" s="30">
        <f>J3/2590050</f>
        <v>295.37</v>
      </c>
      <c r="V3" s="41">
        <f>T3/X3</f>
        <v>295.37</v>
      </c>
      <c r="W3" s="41">
        <f>V3*AU3</f>
        <v>14768.5</v>
      </c>
      <c r="X3" s="41">
        <v>2742302</v>
      </c>
      <c r="Y3" s="41"/>
      <c r="Z3" s="41"/>
      <c r="AA3" s="41">
        <v>1015602</v>
      </c>
      <c r="AB3" s="41">
        <v>22300</v>
      </c>
      <c r="AC3" s="41">
        <f>AB3*V3</f>
        <v>6586751</v>
      </c>
      <c r="AD3" s="41">
        <v>993302</v>
      </c>
      <c r="AE3" s="41">
        <f>AD3*V3</f>
        <v>293391611.74000001</v>
      </c>
      <c r="AF3" s="42">
        <f>X3/AU3</f>
        <v>54846.04</v>
      </c>
      <c r="AG3" s="45">
        <f>_xlfn.CEILING.MATH(AF3)</f>
        <v>54847</v>
      </c>
      <c r="AH3" s="36">
        <v>44682</v>
      </c>
      <c r="AI3" s="36">
        <v>45047</v>
      </c>
      <c r="AJ3" s="36">
        <v>45413</v>
      </c>
      <c r="AK3" s="36">
        <v>44696</v>
      </c>
      <c r="AL3" s="36">
        <v>45061</v>
      </c>
      <c r="AM3" s="46">
        <v>45427</v>
      </c>
      <c r="AN3" s="40" t="s">
        <v>55</v>
      </c>
      <c r="AO3" s="40" t="s">
        <v>56</v>
      </c>
      <c r="AP3" s="40" t="s">
        <v>57</v>
      </c>
      <c r="AQ3" s="40" t="s">
        <v>58</v>
      </c>
      <c r="AR3" s="37">
        <v>0</v>
      </c>
      <c r="AS3" s="37">
        <v>100</v>
      </c>
      <c r="AT3" s="37" t="s">
        <v>59</v>
      </c>
      <c r="AU3" s="47">
        <v>50</v>
      </c>
      <c r="AV3" s="37" t="s">
        <v>60</v>
      </c>
      <c r="AW3" s="37">
        <v>10</v>
      </c>
      <c r="AX3" s="30">
        <f>(J3*10)/100</f>
        <v>76502306.849999994</v>
      </c>
      <c r="AY3" s="40" t="s">
        <v>61</v>
      </c>
    </row>
    <row r="4" spans="1:51" ht="78.75" customHeight="1" x14ac:dyDescent="0.25">
      <c r="A4" s="35" t="s">
        <v>62</v>
      </c>
      <c r="B4" s="36">
        <v>44580</v>
      </c>
      <c r="C4" s="37">
        <v>1416</v>
      </c>
      <c r="D4" s="35" t="s">
        <v>63</v>
      </c>
      <c r="E4" s="39" t="s">
        <v>64</v>
      </c>
      <c r="F4" s="36">
        <v>44617</v>
      </c>
      <c r="G4" s="37" t="s">
        <v>65</v>
      </c>
      <c r="H4" s="40" t="s">
        <v>53</v>
      </c>
      <c r="I4" s="40" t="s">
        <v>66</v>
      </c>
      <c r="J4" s="41">
        <v>659336242.5</v>
      </c>
      <c r="K4" s="41">
        <v>219778747.5</v>
      </c>
      <c r="L4" s="41">
        <v>219778747.5</v>
      </c>
      <c r="M4" s="41">
        <v>219778747.5</v>
      </c>
      <c r="N4" s="42">
        <f>((J4-P4)/J4)*100</f>
        <v>0</v>
      </c>
      <c r="O4" s="43">
        <f>J4-P4</f>
        <v>0</v>
      </c>
      <c r="P4" s="41">
        <v>659336242.5</v>
      </c>
      <c r="Q4" s="43">
        <f>T4-J4</f>
        <v>22382694.450000048</v>
      </c>
      <c r="R4" s="41">
        <v>219778747.5</v>
      </c>
      <c r="S4" s="30">
        <v>242161441.94999999</v>
      </c>
      <c r="T4" s="30">
        <v>681718936.95000005</v>
      </c>
      <c r="U4" s="30">
        <f>T4/X4</f>
        <v>27.55</v>
      </c>
      <c r="V4" s="41">
        <f>T4/X4</f>
        <v>27.55</v>
      </c>
      <c r="W4" s="41">
        <f>V4*AU4</f>
        <v>1377.5</v>
      </c>
      <c r="X4" s="41">
        <v>24744789</v>
      </c>
      <c r="Y4" s="41"/>
      <c r="Z4" s="41"/>
      <c r="AA4" s="41">
        <v>8789889</v>
      </c>
      <c r="AB4" s="41">
        <v>168850</v>
      </c>
      <c r="AC4" s="41">
        <f t="shared" ref="AC4:AC67" si="0">AB4*V4</f>
        <v>4651817.5</v>
      </c>
      <c r="AD4" s="41">
        <v>8621039</v>
      </c>
      <c r="AE4" s="41">
        <f t="shared" ref="AE4:AE67" si="1">AD4*V4</f>
        <v>237509624.45000002</v>
      </c>
      <c r="AF4" s="42">
        <f>X4/AU4</f>
        <v>494895.78</v>
      </c>
      <c r="AG4" s="45">
        <f>_xlfn.CEILING.MATH(AF4)</f>
        <v>494896</v>
      </c>
      <c r="AH4" s="36">
        <v>44682</v>
      </c>
      <c r="AI4" s="36">
        <v>45047</v>
      </c>
      <c r="AJ4" s="36">
        <v>45413</v>
      </c>
      <c r="AK4" s="36">
        <v>44696</v>
      </c>
      <c r="AL4" s="36">
        <v>45061</v>
      </c>
      <c r="AM4" s="46">
        <v>45427</v>
      </c>
      <c r="AN4" s="40" t="s">
        <v>55</v>
      </c>
      <c r="AO4" s="40" t="s">
        <v>56</v>
      </c>
      <c r="AP4" s="40" t="s">
        <v>57</v>
      </c>
      <c r="AQ4" s="40" t="s">
        <v>58</v>
      </c>
      <c r="AR4" s="37">
        <v>0</v>
      </c>
      <c r="AS4" s="37">
        <v>100</v>
      </c>
      <c r="AT4" s="37" t="s">
        <v>59</v>
      </c>
      <c r="AU4" s="47">
        <v>50</v>
      </c>
      <c r="AV4" s="37" t="s">
        <v>60</v>
      </c>
      <c r="AW4" s="37">
        <v>10</v>
      </c>
      <c r="AX4" s="30">
        <f>(J4*10)/100</f>
        <v>65933624.25</v>
      </c>
      <c r="AY4" s="40" t="s">
        <v>61</v>
      </c>
    </row>
    <row r="5" spans="1:51" ht="78.75" customHeight="1" x14ac:dyDescent="0.25">
      <c r="A5" s="35" t="s">
        <v>67</v>
      </c>
      <c r="B5" s="36">
        <v>44580</v>
      </c>
      <c r="C5" s="37">
        <v>1416</v>
      </c>
      <c r="D5" s="35" t="s">
        <v>68</v>
      </c>
      <c r="E5" s="39" t="s">
        <v>69</v>
      </c>
      <c r="F5" s="36">
        <v>44616</v>
      </c>
      <c r="G5" s="35" t="s">
        <v>70</v>
      </c>
      <c r="H5" s="40" t="s">
        <v>53</v>
      </c>
      <c r="I5" s="40" t="s">
        <v>71</v>
      </c>
      <c r="J5" s="41">
        <v>2656156119</v>
      </c>
      <c r="K5" s="41">
        <v>885385373</v>
      </c>
      <c r="L5" s="41">
        <v>885385373</v>
      </c>
      <c r="M5" s="41">
        <v>885385373</v>
      </c>
      <c r="N5" s="42">
        <f>((J5-P5)/J5)*100</f>
        <v>0</v>
      </c>
      <c r="O5" s="43">
        <f>J5-P5</f>
        <v>0</v>
      </c>
      <c r="P5" s="41">
        <v>2656156119</v>
      </c>
      <c r="Q5" s="43">
        <f>T5-J5</f>
        <v>256404931.71000004</v>
      </c>
      <c r="R5" s="41">
        <v>1141790304.71</v>
      </c>
      <c r="S5" s="30">
        <f>R5</f>
        <v>1141790304.71</v>
      </c>
      <c r="T5" s="30">
        <v>2912561050.71</v>
      </c>
      <c r="U5" s="30">
        <f>T5/X5</f>
        <v>59.81</v>
      </c>
      <c r="V5" s="41">
        <f>T5/X5</f>
        <v>59.81</v>
      </c>
      <c r="W5" s="41">
        <f>V5*AU5</f>
        <v>2990.5</v>
      </c>
      <c r="X5" s="41">
        <v>48696891</v>
      </c>
      <c r="Y5" s="41"/>
      <c r="Z5" s="41"/>
      <c r="AA5" s="41">
        <v>19090291</v>
      </c>
      <c r="AB5" s="41">
        <v>345100</v>
      </c>
      <c r="AC5" s="41">
        <f t="shared" si="0"/>
        <v>20640431</v>
      </c>
      <c r="AD5" s="41">
        <v>18745191</v>
      </c>
      <c r="AE5" s="41">
        <f t="shared" si="1"/>
        <v>1121149873.71</v>
      </c>
      <c r="AF5" s="41">
        <f>S5/X5</f>
        <v>23.44688297883329</v>
      </c>
      <c r="AG5" s="41">
        <f>_xlfn.CEILING.MATH(AF5)</f>
        <v>24</v>
      </c>
      <c r="AH5" s="36">
        <v>44682</v>
      </c>
      <c r="AI5" s="36">
        <v>45047</v>
      </c>
      <c r="AJ5" s="36">
        <v>45413</v>
      </c>
      <c r="AK5" s="36">
        <v>44701</v>
      </c>
      <c r="AL5" s="36">
        <v>45066</v>
      </c>
      <c r="AM5" s="46">
        <v>45432</v>
      </c>
      <c r="AN5" s="40" t="s">
        <v>55</v>
      </c>
      <c r="AO5" s="40" t="s">
        <v>56</v>
      </c>
      <c r="AP5" s="40" t="s">
        <v>57</v>
      </c>
      <c r="AQ5" s="40" t="s">
        <v>58</v>
      </c>
      <c r="AR5" s="37">
        <v>0</v>
      </c>
      <c r="AS5" s="37">
        <v>100</v>
      </c>
      <c r="AT5" s="37" t="s">
        <v>59</v>
      </c>
      <c r="AU5" s="50">
        <v>50</v>
      </c>
      <c r="AV5" s="37" t="s">
        <v>60</v>
      </c>
      <c r="AW5" s="37">
        <v>10</v>
      </c>
      <c r="AX5" s="30">
        <f>(J5*10)/100</f>
        <v>265615611.90000001</v>
      </c>
      <c r="AY5" s="40" t="s">
        <v>61</v>
      </c>
    </row>
    <row r="6" spans="1:51" ht="78.75" customHeight="1" x14ac:dyDescent="0.25">
      <c r="A6" s="35" t="s">
        <v>72</v>
      </c>
      <c r="B6" s="36">
        <v>44670</v>
      </c>
      <c r="C6" s="37">
        <v>1416</v>
      </c>
      <c r="D6" s="35" t="s">
        <v>73</v>
      </c>
      <c r="E6" s="39" t="s">
        <v>74</v>
      </c>
      <c r="F6" s="36">
        <v>44707</v>
      </c>
      <c r="G6" s="35" t="s">
        <v>75</v>
      </c>
      <c r="H6" s="40" t="s">
        <v>53</v>
      </c>
      <c r="I6" s="40" t="s">
        <v>76</v>
      </c>
      <c r="J6" s="41">
        <v>1153585170</v>
      </c>
      <c r="K6" s="41">
        <v>747348732</v>
      </c>
      <c r="L6" s="41">
        <v>406236438</v>
      </c>
      <c r="M6" s="41">
        <v>0</v>
      </c>
      <c r="N6" s="42">
        <v>0</v>
      </c>
      <c r="O6" s="43">
        <v>0</v>
      </c>
      <c r="P6" s="41">
        <v>1153585170</v>
      </c>
      <c r="Q6" s="43">
        <v>0</v>
      </c>
      <c r="R6" s="30">
        <v>406236438</v>
      </c>
      <c r="S6" s="30">
        <v>752311989</v>
      </c>
      <c r="T6" s="30">
        <v>1499660721</v>
      </c>
      <c r="U6" s="30">
        <f>T6/X6</f>
        <v>647.1</v>
      </c>
      <c r="V6" s="41">
        <f>T6/X6</f>
        <v>647.1</v>
      </c>
      <c r="W6" s="41">
        <f>V6*AU6</f>
        <v>6471</v>
      </c>
      <c r="X6" s="41">
        <v>2317510</v>
      </c>
      <c r="Y6" s="41"/>
      <c r="Z6" s="41"/>
      <c r="AA6" s="41">
        <v>1162590</v>
      </c>
      <c r="AB6" s="41">
        <v>520</v>
      </c>
      <c r="AC6" s="41">
        <f t="shared" si="0"/>
        <v>336492</v>
      </c>
      <c r="AD6" s="41">
        <v>1162070</v>
      </c>
      <c r="AE6" s="41">
        <f t="shared" si="1"/>
        <v>751975497</v>
      </c>
      <c r="AF6" s="41">
        <v>178270</v>
      </c>
      <c r="AG6" s="41">
        <v>178270</v>
      </c>
      <c r="AH6" s="36">
        <v>44936</v>
      </c>
      <c r="AI6" s="36">
        <v>44986</v>
      </c>
      <c r="AJ6" s="36">
        <v>45352</v>
      </c>
      <c r="AK6" s="36">
        <v>44951</v>
      </c>
      <c r="AL6" s="36">
        <v>45000</v>
      </c>
      <c r="AM6" s="46">
        <v>45383</v>
      </c>
      <c r="AN6" s="40" t="s">
        <v>77</v>
      </c>
      <c r="AO6" s="40" t="s">
        <v>78</v>
      </c>
      <c r="AP6" s="40" t="s">
        <v>79</v>
      </c>
      <c r="AQ6" s="40" t="s">
        <v>80</v>
      </c>
      <c r="AR6" s="37">
        <v>100</v>
      </c>
      <c r="AS6" s="37">
        <v>0</v>
      </c>
      <c r="AT6" s="37" t="s">
        <v>81</v>
      </c>
      <c r="AU6" s="47">
        <v>10</v>
      </c>
      <c r="AV6" s="37" t="s">
        <v>60</v>
      </c>
      <c r="AW6" s="37">
        <v>10</v>
      </c>
      <c r="AX6" s="30">
        <v>115358517</v>
      </c>
      <c r="AY6" s="40" t="s">
        <v>61</v>
      </c>
    </row>
    <row r="7" spans="1:51" ht="78.75" customHeight="1" x14ac:dyDescent="0.25">
      <c r="A7" s="35" t="s">
        <v>82</v>
      </c>
      <c r="B7" s="36">
        <v>44671</v>
      </c>
      <c r="C7" s="37">
        <v>1416</v>
      </c>
      <c r="D7" s="35" t="s">
        <v>83</v>
      </c>
      <c r="E7" s="39" t="s">
        <v>84</v>
      </c>
      <c r="F7" s="36">
        <v>44697</v>
      </c>
      <c r="G7" s="37" t="s">
        <v>85</v>
      </c>
      <c r="H7" s="40" t="s">
        <v>86</v>
      </c>
      <c r="I7" s="40" t="s">
        <v>87</v>
      </c>
      <c r="J7" s="41">
        <v>90177300</v>
      </c>
      <c r="K7" s="41" t="s">
        <v>88</v>
      </c>
      <c r="L7" s="41">
        <v>30059100</v>
      </c>
      <c r="M7" s="41">
        <v>0</v>
      </c>
      <c r="N7" s="42">
        <v>0</v>
      </c>
      <c r="O7" s="43">
        <v>0</v>
      </c>
      <c r="P7" s="41">
        <v>90177300</v>
      </c>
      <c r="Q7" s="43">
        <v>0</v>
      </c>
      <c r="R7" s="41">
        <v>30059100</v>
      </c>
      <c r="S7" s="41">
        <v>57112290</v>
      </c>
      <c r="T7" s="30">
        <v>117230490</v>
      </c>
      <c r="U7" s="30">
        <f>T7/X7</f>
        <v>12.37</v>
      </c>
      <c r="V7" s="41">
        <f>T7/X7</f>
        <v>12.37</v>
      </c>
      <c r="W7" s="41">
        <f>V7*AU7</f>
        <v>18555</v>
      </c>
      <c r="X7" s="41">
        <v>9477000</v>
      </c>
      <c r="Y7" s="41"/>
      <c r="Z7" s="41"/>
      <c r="AA7" s="41">
        <v>4617000</v>
      </c>
      <c r="AB7" s="41">
        <v>0</v>
      </c>
      <c r="AC7" s="41">
        <f t="shared" si="0"/>
        <v>0</v>
      </c>
      <c r="AD7" s="41">
        <v>4617000</v>
      </c>
      <c r="AE7" s="41">
        <f t="shared" si="1"/>
        <v>57112290</v>
      </c>
      <c r="AF7" s="41">
        <v>4860</v>
      </c>
      <c r="AG7" s="41">
        <v>4860</v>
      </c>
      <c r="AH7" s="36">
        <v>44936</v>
      </c>
      <c r="AI7" s="36">
        <v>44986</v>
      </c>
      <c r="AJ7" s="36">
        <v>45352</v>
      </c>
      <c r="AK7" s="36">
        <v>44951</v>
      </c>
      <c r="AL7" s="36">
        <v>45000</v>
      </c>
      <c r="AM7" s="46">
        <v>45383</v>
      </c>
      <c r="AN7" s="40" t="s">
        <v>89</v>
      </c>
      <c r="AO7" s="40" t="s">
        <v>90</v>
      </c>
      <c r="AP7" s="40" t="s">
        <v>91</v>
      </c>
      <c r="AQ7" s="40" t="s">
        <v>92</v>
      </c>
      <c r="AR7" s="37">
        <v>0</v>
      </c>
      <c r="AS7" s="37">
        <v>100</v>
      </c>
      <c r="AT7" s="37" t="s">
        <v>93</v>
      </c>
      <c r="AU7" s="47">
        <v>1500</v>
      </c>
      <c r="AV7" s="37" t="s">
        <v>94</v>
      </c>
      <c r="AW7" s="37">
        <v>10</v>
      </c>
      <c r="AX7" s="30">
        <v>9017730</v>
      </c>
      <c r="AY7" s="40" t="s">
        <v>95</v>
      </c>
    </row>
    <row r="8" spans="1:51" ht="78.75" customHeight="1" x14ac:dyDescent="0.25">
      <c r="A8" s="35" t="s">
        <v>96</v>
      </c>
      <c r="B8" s="36">
        <v>44671</v>
      </c>
      <c r="C8" s="37">
        <v>1416</v>
      </c>
      <c r="D8" s="35" t="s">
        <v>97</v>
      </c>
      <c r="E8" s="39" t="s">
        <v>98</v>
      </c>
      <c r="F8" s="36">
        <v>44697</v>
      </c>
      <c r="G8" s="37" t="s">
        <v>99</v>
      </c>
      <c r="H8" s="40" t="s">
        <v>86</v>
      </c>
      <c r="I8" s="40" t="s">
        <v>100</v>
      </c>
      <c r="J8" s="41">
        <v>39485040</v>
      </c>
      <c r="K8" s="41">
        <v>26323360</v>
      </c>
      <c r="L8" s="41">
        <v>13161680</v>
      </c>
      <c r="M8" s="41">
        <v>0</v>
      </c>
      <c r="N8" s="42">
        <v>0</v>
      </c>
      <c r="O8" s="43">
        <v>0</v>
      </c>
      <c r="P8" s="41">
        <v>39485040</v>
      </c>
      <c r="Q8" s="43">
        <v>0</v>
      </c>
      <c r="R8" s="41">
        <v>13161680</v>
      </c>
      <c r="S8" s="30">
        <v>25005955</v>
      </c>
      <c r="T8" s="30">
        <v>51329315</v>
      </c>
      <c r="U8" s="30">
        <f>T8/X8</f>
        <v>12.37</v>
      </c>
      <c r="V8" s="41">
        <f>T8/X8</f>
        <v>12.37</v>
      </c>
      <c r="W8" s="41">
        <f>V8*AU8</f>
        <v>6185</v>
      </c>
      <c r="X8" s="41">
        <v>4149500</v>
      </c>
      <c r="Y8" s="41"/>
      <c r="Z8" s="41"/>
      <c r="AA8" s="41">
        <v>2021500</v>
      </c>
      <c r="AB8" s="41">
        <v>0</v>
      </c>
      <c r="AC8" s="41">
        <f t="shared" si="0"/>
        <v>0</v>
      </c>
      <c r="AD8" s="41">
        <v>2021500</v>
      </c>
      <c r="AE8" s="41">
        <f t="shared" si="1"/>
        <v>25005955</v>
      </c>
      <c r="AF8" s="41">
        <v>6384</v>
      </c>
      <c r="AG8" s="41">
        <v>6384</v>
      </c>
      <c r="AH8" s="36">
        <v>44936</v>
      </c>
      <c r="AI8" s="36">
        <v>44986</v>
      </c>
      <c r="AJ8" s="36">
        <v>45352</v>
      </c>
      <c r="AK8" s="36">
        <v>44941</v>
      </c>
      <c r="AL8" s="36">
        <v>45000</v>
      </c>
      <c r="AM8" s="46">
        <v>45383</v>
      </c>
      <c r="AN8" s="40" t="s">
        <v>89</v>
      </c>
      <c r="AO8" s="40" t="s">
        <v>101</v>
      </c>
      <c r="AP8" s="40" t="s">
        <v>91</v>
      </c>
      <c r="AQ8" s="40" t="s">
        <v>92</v>
      </c>
      <c r="AR8" s="37">
        <v>0</v>
      </c>
      <c r="AS8" s="37">
        <v>100</v>
      </c>
      <c r="AT8" s="37" t="s">
        <v>93</v>
      </c>
      <c r="AU8" s="47">
        <v>500</v>
      </c>
      <c r="AV8" s="37" t="s">
        <v>94</v>
      </c>
      <c r="AW8" s="37">
        <v>10</v>
      </c>
      <c r="AX8" s="30">
        <v>3948504</v>
      </c>
      <c r="AY8" s="40" t="s">
        <v>61</v>
      </c>
    </row>
    <row r="9" spans="1:51" ht="78.75" customHeight="1" x14ac:dyDescent="0.25">
      <c r="A9" s="35" t="s">
        <v>102</v>
      </c>
      <c r="B9" s="36">
        <v>44671</v>
      </c>
      <c r="C9" s="37">
        <v>1416</v>
      </c>
      <c r="D9" s="35" t="s">
        <v>103</v>
      </c>
      <c r="E9" s="39" t="s">
        <v>104</v>
      </c>
      <c r="F9" s="36">
        <v>44704</v>
      </c>
      <c r="G9" s="35" t="s">
        <v>105</v>
      </c>
      <c r="H9" s="40" t="s">
        <v>86</v>
      </c>
      <c r="I9" s="40" t="s">
        <v>106</v>
      </c>
      <c r="J9" s="41">
        <v>465000670</v>
      </c>
      <c r="K9" s="41">
        <v>310004570</v>
      </c>
      <c r="L9" s="41">
        <v>154996100</v>
      </c>
      <c r="M9" s="41">
        <v>0</v>
      </c>
      <c r="N9" s="42">
        <v>0</v>
      </c>
      <c r="O9" s="43">
        <v>0</v>
      </c>
      <c r="P9" s="41">
        <v>465000670</v>
      </c>
      <c r="Q9" s="43">
        <v>0</v>
      </c>
      <c r="R9" s="41">
        <v>154996100</v>
      </c>
      <c r="S9" s="30">
        <v>294492590</v>
      </c>
      <c r="T9" s="30">
        <v>604497160</v>
      </c>
      <c r="U9" s="30">
        <f>T9/X9</f>
        <v>12.37</v>
      </c>
      <c r="V9" s="41">
        <f>T9/X9</f>
        <v>12.37</v>
      </c>
      <c r="W9" s="41">
        <f>V9*AU9</f>
        <v>12370</v>
      </c>
      <c r="X9" s="41">
        <v>48868000</v>
      </c>
      <c r="Y9" s="41"/>
      <c r="Z9" s="41"/>
      <c r="AA9" s="41">
        <v>23807000</v>
      </c>
      <c r="AB9" s="41">
        <v>0</v>
      </c>
      <c r="AC9" s="41">
        <f t="shared" si="0"/>
        <v>0</v>
      </c>
      <c r="AD9" s="41">
        <v>23807000</v>
      </c>
      <c r="AE9" s="41">
        <f t="shared" si="1"/>
        <v>294492590</v>
      </c>
      <c r="AF9" s="41">
        <v>37591</v>
      </c>
      <c r="AG9" s="41">
        <v>37591</v>
      </c>
      <c r="AH9" s="36">
        <v>44936</v>
      </c>
      <c r="AI9" s="36">
        <v>44986</v>
      </c>
      <c r="AJ9" s="36">
        <v>45352</v>
      </c>
      <c r="AK9" s="36">
        <v>44941</v>
      </c>
      <c r="AL9" s="36">
        <v>45000</v>
      </c>
      <c r="AM9" s="46">
        <v>45383</v>
      </c>
      <c r="AN9" s="40" t="s">
        <v>89</v>
      </c>
      <c r="AO9" s="40" t="s">
        <v>107</v>
      </c>
      <c r="AP9" s="40" t="s">
        <v>91</v>
      </c>
      <c r="AQ9" s="40" t="s">
        <v>92</v>
      </c>
      <c r="AR9" s="37">
        <v>0</v>
      </c>
      <c r="AS9" s="37">
        <v>100</v>
      </c>
      <c r="AT9" s="37" t="s">
        <v>93</v>
      </c>
      <c r="AU9" s="47">
        <v>1000</v>
      </c>
      <c r="AV9" s="37" t="s">
        <v>60</v>
      </c>
      <c r="AW9" s="37">
        <v>10</v>
      </c>
      <c r="AX9" s="30">
        <v>46500067</v>
      </c>
      <c r="AY9" s="40" t="s">
        <v>61</v>
      </c>
    </row>
    <row r="10" spans="1:51" ht="78.75" customHeight="1" x14ac:dyDescent="0.25">
      <c r="A10" s="35" t="s">
        <v>108</v>
      </c>
      <c r="B10" s="36">
        <v>44673</v>
      </c>
      <c r="C10" s="37">
        <v>1416</v>
      </c>
      <c r="D10" s="35" t="s">
        <v>109</v>
      </c>
      <c r="E10" s="39" t="s">
        <v>110</v>
      </c>
      <c r="F10" s="36">
        <v>44705</v>
      </c>
      <c r="G10" s="35" t="s">
        <v>111</v>
      </c>
      <c r="H10" s="40" t="s">
        <v>112</v>
      </c>
      <c r="I10" s="40" t="s">
        <v>113</v>
      </c>
      <c r="J10" s="41">
        <v>78920034.480000004</v>
      </c>
      <c r="K10" s="41" t="s">
        <v>114</v>
      </c>
      <c r="L10" s="41" t="s">
        <v>114</v>
      </c>
      <c r="M10" s="41">
        <v>0</v>
      </c>
      <c r="N10" s="42">
        <v>0.49999999695894937</v>
      </c>
      <c r="O10" s="43">
        <v>394600.17000000179</v>
      </c>
      <c r="P10" s="41">
        <v>78525434.310000002</v>
      </c>
      <c r="Q10" s="43">
        <v>-404686.8</v>
      </c>
      <c r="R10" s="41">
        <v>39257673.840000004</v>
      </c>
      <c r="S10" s="30">
        <v>39257673.840000004</v>
      </c>
      <c r="T10" s="30">
        <v>78515347.680000007</v>
      </c>
      <c r="U10" s="30">
        <f>T10/X10</f>
        <v>514.1400000000001</v>
      </c>
      <c r="V10" s="41">
        <f>T10/X10</f>
        <v>514.1400000000001</v>
      </c>
      <c r="W10" s="41">
        <f>V10*AU10</f>
        <v>3084.8400000000006</v>
      </c>
      <c r="X10" s="41">
        <v>152712</v>
      </c>
      <c r="Y10" s="41"/>
      <c r="Z10" s="41">
        <v>76356</v>
      </c>
      <c r="AA10" s="41"/>
      <c r="AB10" s="41">
        <v>228</v>
      </c>
      <c r="AC10" s="41">
        <f t="shared" si="0"/>
        <v>117223.92000000003</v>
      </c>
      <c r="AD10" s="41">
        <v>76128</v>
      </c>
      <c r="AE10" s="41">
        <f t="shared" si="1"/>
        <v>39140449.920000009</v>
      </c>
      <c r="AF10" s="41">
        <v>25452</v>
      </c>
      <c r="AG10" s="41">
        <v>25452</v>
      </c>
      <c r="AH10" s="36">
        <v>44958</v>
      </c>
      <c r="AI10" s="36">
        <v>45323</v>
      </c>
      <c r="AJ10" s="36"/>
      <c r="AK10" s="36">
        <v>44986</v>
      </c>
      <c r="AL10" s="36">
        <v>45352</v>
      </c>
      <c r="AM10" s="46"/>
      <c r="AN10" s="40" t="s">
        <v>115</v>
      </c>
      <c r="AO10" s="40" t="s">
        <v>116</v>
      </c>
      <c r="AP10" s="40" t="s">
        <v>117</v>
      </c>
      <c r="AQ10" s="40" t="s">
        <v>80</v>
      </c>
      <c r="AR10" s="37">
        <v>100</v>
      </c>
      <c r="AS10" s="37">
        <v>0</v>
      </c>
      <c r="AT10" s="37" t="s">
        <v>81</v>
      </c>
      <c r="AU10" s="47">
        <v>6</v>
      </c>
      <c r="AV10" s="37" t="s">
        <v>60</v>
      </c>
      <c r="AW10" s="37">
        <v>10</v>
      </c>
      <c r="AX10" s="30">
        <v>7892003.4480000008</v>
      </c>
      <c r="AY10" s="40" t="s">
        <v>95</v>
      </c>
    </row>
    <row r="11" spans="1:51" ht="78.75" customHeight="1" x14ac:dyDescent="0.25">
      <c r="A11" s="35" t="s">
        <v>118</v>
      </c>
      <c r="B11" s="36">
        <v>44673</v>
      </c>
      <c r="C11" s="37">
        <v>1416</v>
      </c>
      <c r="D11" s="35" t="s">
        <v>119</v>
      </c>
      <c r="E11" s="39" t="s">
        <v>120</v>
      </c>
      <c r="F11" s="36">
        <v>44711</v>
      </c>
      <c r="G11" s="35" t="s">
        <v>121</v>
      </c>
      <c r="H11" s="40" t="s">
        <v>112</v>
      </c>
      <c r="I11" s="40" t="s">
        <v>122</v>
      </c>
      <c r="J11" s="41">
        <v>2737233000</v>
      </c>
      <c r="K11" s="41">
        <v>1824789645</v>
      </c>
      <c r="L11" s="41">
        <v>912443355</v>
      </c>
      <c r="M11" s="41">
        <v>0</v>
      </c>
      <c r="N11" s="42">
        <v>0</v>
      </c>
      <c r="O11" s="43">
        <v>0</v>
      </c>
      <c r="P11" s="41">
        <v>2737233000</v>
      </c>
      <c r="Q11" s="43">
        <v>0</v>
      </c>
      <c r="R11" s="41">
        <v>912443355</v>
      </c>
      <c r="S11" s="30">
        <v>1733613255</v>
      </c>
      <c r="T11" s="30">
        <v>3558402900</v>
      </c>
      <c r="U11" s="30">
        <f>T11/X11</f>
        <v>647.1</v>
      </c>
      <c r="V11" s="41">
        <f>T11/X11</f>
        <v>647.1</v>
      </c>
      <c r="W11" s="41" t="e">
        <f>V11*AU11</f>
        <v>#VALUE!</v>
      </c>
      <c r="X11" s="41">
        <v>5499000</v>
      </c>
      <c r="Y11" s="41"/>
      <c r="Z11" s="41"/>
      <c r="AA11" s="41">
        <v>2679050</v>
      </c>
      <c r="AB11" s="41">
        <v>0</v>
      </c>
      <c r="AC11" s="41">
        <f t="shared" si="0"/>
        <v>0</v>
      </c>
      <c r="AD11" s="41">
        <v>2679050</v>
      </c>
      <c r="AE11" s="41">
        <f t="shared" si="1"/>
        <v>1733613255</v>
      </c>
      <c r="AF11" s="41">
        <v>114013.5</v>
      </c>
      <c r="AG11" s="41">
        <v>114014</v>
      </c>
      <c r="AH11" s="36">
        <v>44936</v>
      </c>
      <c r="AI11" s="36">
        <v>44986</v>
      </c>
      <c r="AJ11" s="36">
        <v>45352</v>
      </c>
      <c r="AK11" s="36">
        <v>44951</v>
      </c>
      <c r="AL11" s="36">
        <v>45000</v>
      </c>
      <c r="AM11" s="46">
        <v>45383</v>
      </c>
      <c r="AN11" s="40" t="s">
        <v>123</v>
      </c>
      <c r="AO11" s="40" t="s">
        <v>124</v>
      </c>
      <c r="AP11" s="40" t="s">
        <v>125</v>
      </c>
      <c r="AQ11" s="40" t="s">
        <v>80</v>
      </c>
      <c r="AR11" s="37">
        <v>100</v>
      </c>
      <c r="AS11" s="37">
        <v>0</v>
      </c>
      <c r="AT11" s="37" t="s">
        <v>81</v>
      </c>
      <c r="AU11" s="51" t="s">
        <v>126</v>
      </c>
      <c r="AV11" s="37" t="s">
        <v>60</v>
      </c>
      <c r="AW11" s="37">
        <v>10</v>
      </c>
      <c r="AX11" s="30">
        <v>273723300</v>
      </c>
      <c r="AY11" s="40" t="s">
        <v>61</v>
      </c>
    </row>
    <row r="12" spans="1:51" ht="78.75" customHeight="1" x14ac:dyDescent="0.25">
      <c r="A12" s="35" t="s">
        <v>127</v>
      </c>
      <c r="B12" s="36">
        <v>44673</v>
      </c>
      <c r="C12" s="37">
        <v>1416</v>
      </c>
      <c r="D12" s="35" t="s">
        <v>128</v>
      </c>
      <c r="E12" s="39" t="s">
        <v>129</v>
      </c>
      <c r="F12" s="36">
        <v>44704</v>
      </c>
      <c r="G12" s="35" t="s">
        <v>130</v>
      </c>
      <c r="H12" s="40" t="s">
        <v>112</v>
      </c>
      <c r="I12" s="40" t="s">
        <v>131</v>
      </c>
      <c r="J12" s="41">
        <v>95831540.640000001</v>
      </c>
      <c r="K12" s="41">
        <v>47915770.32</v>
      </c>
      <c r="L12" s="41">
        <v>47915770.32</v>
      </c>
      <c r="M12" s="41">
        <v>0</v>
      </c>
      <c r="N12" s="42">
        <v>0</v>
      </c>
      <c r="O12" s="43">
        <v>0</v>
      </c>
      <c r="P12" s="41">
        <v>95831540.640000001</v>
      </c>
      <c r="Q12" s="43">
        <v>0</v>
      </c>
      <c r="R12" s="41">
        <v>55271866.32</v>
      </c>
      <c r="S12" s="30">
        <v>55271866.32</v>
      </c>
      <c r="T12" s="30">
        <v>103187636.64</v>
      </c>
      <c r="U12" s="30">
        <f>T12/X12</f>
        <v>3065.04</v>
      </c>
      <c r="V12" s="41">
        <f>T12/X12</f>
        <v>3065.04</v>
      </c>
      <c r="W12" s="41">
        <f>V12*AU12</f>
        <v>4597.5599999999995</v>
      </c>
      <c r="X12" s="41">
        <v>33666</v>
      </c>
      <c r="Y12" s="41"/>
      <c r="Z12" s="41">
        <v>18033</v>
      </c>
      <c r="AA12" s="41"/>
      <c r="AB12" s="41">
        <v>4732.5</v>
      </c>
      <c r="AC12" s="41">
        <f t="shared" si="0"/>
        <v>14505301.800000001</v>
      </c>
      <c r="AD12" s="41">
        <v>13300.5</v>
      </c>
      <c r="AE12" s="41">
        <f t="shared" si="1"/>
        <v>40766564.519999996</v>
      </c>
      <c r="AF12" s="41">
        <v>20844</v>
      </c>
      <c r="AG12" s="41">
        <v>20844</v>
      </c>
      <c r="AH12" s="36">
        <v>44958</v>
      </c>
      <c r="AI12" s="36">
        <v>45352</v>
      </c>
      <c r="AJ12" s="36"/>
      <c r="AK12" s="36">
        <v>44972</v>
      </c>
      <c r="AL12" s="36">
        <v>45383</v>
      </c>
      <c r="AM12" s="46"/>
      <c r="AN12" s="40" t="s">
        <v>132</v>
      </c>
      <c r="AO12" s="40" t="s">
        <v>133</v>
      </c>
      <c r="AP12" s="40" t="s">
        <v>134</v>
      </c>
      <c r="AQ12" s="40" t="s">
        <v>80</v>
      </c>
      <c r="AR12" s="37">
        <v>100</v>
      </c>
      <c r="AS12" s="37">
        <v>0</v>
      </c>
      <c r="AT12" s="37" t="s">
        <v>81</v>
      </c>
      <c r="AU12" s="52">
        <v>1.5</v>
      </c>
      <c r="AV12" s="37" t="s">
        <v>60</v>
      </c>
      <c r="AW12" s="37">
        <v>10</v>
      </c>
      <c r="AX12" s="30">
        <v>9583154.0639999993</v>
      </c>
      <c r="AY12" s="40" t="s">
        <v>61</v>
      </c>
    </row>
    <row r="13" spans="1:51" ht="78.75" customHeight="1" x14ac:dyDescent="0.25">
      <c r="A13" s="35" t="s">
        <v>135</v>
      </c>
      <c r="B13" s="36">
        <v>44677</v>
      </c>
      <c r="C13" s="37">
        <v>1416</v>
      </c>
      <c r="D13" s="35" t="s">
        <v>136</v>
      </c>
      <c r="E13" s="39" t="s">
        <v>137</v>
      </c>
      <c r="F13" s="36">
        <v>44712</v>
      </c>
      <c r="G13" s="37" t="s">
        <v>138</v>
      </c>
      <c r="H13" s="40" t="s">
        <v>139</v>
      </c>
      <c r="I13" s="40" t="s">
        <v>140</v>
      </c>
      <c r="J13" s="41">
        <v>2087771400</v>
      </c>
      <c r="K13" s="41" t="s">
        <v>141</v>
      </c>
      <c r="L13" s="41" t="s">
        <v>142</v>
      </c>
      <c r="M13" s="41">
        <v>0</v>
      </c>
      <c r="N13" s="42">
        <v>0</v>
      </c>
      <c r="O13" s="43">
        <v>0</v>
      </c>
      <c r="P13" s="41">
        <v>2087771400</v>
      </c>
      <c r="Q13" s="43">
        <v>0</v>
      </c>
      <c r="R13" s="41">
        <v>717974400</v>
      </c>
      <c r="S13" s="30">
        <v>1344228600</v>
      </c>
      <c r="T13" s="30">
        <v>2714025600</v>
      </c>
      <c r="U13" s="30">
        <f>T13/X13</f>
        <v>85800</v>
      </c>
      <c r="V13" s="41">
        <f>T13/X13</f>
        <v>85800</v>
      </c>
      <c r="W13" s="41">
        <f>V13*AU13</f>
        <v>85800</v>
      </c>
      <c r="X13" s="41">
        <v>31632</v>
      </c>
      <c r="Y13" s="41"/>
      <c r="Z13" s="53"/>
      <c r="AA13" s="41">
        <v>15667</v>
      </c>
      <c r="AB13" s="41">
        <v>8</v>
      </c>
      <c r="AC13" s="41">
        <f t="shared" si="0"/>
        <v>686400</v>
      </c>
      <c r="AD13" s="41">
        <v>15659</v>
      </c>
      <c r="AE13" s="41">
        <f t="shared" si="1"/>
        <v>1343542200</v>
      </c>
      <c r="AF13" s="41">
        <v>24333</v>
      </c>
      <c r="AG13" s="41">
        <v>24333</v>
      </c>
      <c r="AH13" s="36">
        <v>44936</v>
      </c>
      <c r="AI13" s="36">
        <v>44986</v>
      </c>
      <c r="AJ13" s="36">
        <v>45323</v>
      </c>
      <c r="AK13" s="36">
        <v>44958</v>
      </c>
      <c r="AL13" s="36">
        <v>45000</v>
      </c>
      <c r="AM13" s="46">
        <v>45352</v>
      </c>
      <c r="AN13" s="40" t="s">
        <v>143</v>
      </c>
      <c r="AO13" s="40" t="s">
        <v>144</v>
      </c>
      <c r="AP13" s="40" t="s">
        <v>145</v>
      </c>
      <c r="AQ13" s="40" t="s">
        <v>146</v>
      </c>
      <c r="AR13" s="37">
        <v>0</v>
      </c>
      <c r="AS13" s="37">
        <v>100</v>
      </c>
      <c r="AT13" s="37" t="s">
        <v>59</v>
      </c>
      <c r="AU13" s="47">
        <v>1</v>
      </c>
      <c r="AV13" s="37" t="s">
        <v>60</v>
      </c>
      <c r="AW13" s="37">
        <v>10</v>
      </c>
      <c r="AX13" s="30">
        <v>208777140</v>
      </c>
      <c r="AY13" s="40" t="s">
        <v>61</v>
      </c>
    </row>
    <row r="14" spans="1:51" ht="76.5" customHeight="1" x14ac:dyDescent="0.25">
      <c r="A14" s="35" t="s">
        <v>147</v>
      </c>
      <c r="B14" s="36">
        <v>44677</v>
      </c>
      <c r="C14" s="37">
        <v>1416</v>
      </c>
      <c r="D14" s="35" t="s">
        <v>148</v>
      </c>
      <c r="E14" s="39" t="s">
        <v>149</v>
      </c>
      <c r="F14" s="36">
        <v>44711</v>
      </c>
      <c r="G14" s="35" t="s">
        <v>150</v>
      </c>
      <c r="H14" s="40" t="s">
        <v>53</v>
      </c>
      <c r="I14" s="40" t="s">
        <v>151</v>
      </c>
      <c r="J14" s="41">
        <v>2082265948.3499999</v>
      </c>
      <c r="K14" s="41" t="s">
        <v>152</v>
      </c>
      <c r="L14" s="41" t="s">
        <v>153</v>
      </c>
      <c r="M14" s="41">
        <v>0</v>
      </c>
      <c r="N14" s="42">
        <v>0</v>
      </c>
      <c r="O14" s="43">
        <v>0</v>
      </c>
      <c r="P14" s="41">
        <v>2082265948.3499999</v>
      </c>
      <c r="Q14" s="43">
        <v>0</v>
      </c>
      <c r="R14" s="41">
        <v>694979649</v>
      </c>
      <c r="S14" s="30">
        <v>694979649</v>
      </c>
      <c r="T14" s="30">
        <v>2082265948.3499999</v>
      </c>
      <c r="U14" s="30">
        <f>T14/X14</f>
        <v>14142.849999999999</v>
      </c>
      <c r="V14" s="41">
        <f>T14/X14</f>
        <v>14142.849999999999</v>
      </c>
      <c r="W14" s="41">
        <f>V14*AU14</f>
        <v>296999.84999999998</v>
      </c>
      <c r="X14" s="41">
        <v>147231</v>
      </c>
      <c r="Y14" s="41"/>
      <c r="Z14" s="41"/>
      <c r="AA14" s="41">
        <v>49140</v>
      </c>
      <c r="AB14" s="41">
        <v>0</v>
      </c>
      <c r="AC14" s="41">
        <f t="shared" si="0"/>
        <v>0</v>
      </c>
      <c r="AD14" s="41">
        <v>49140</v>
      </c>
      <c r="AE14" s="41">
        <f t="shared" si="1"/>
        <v>694979648.99999988</v>
      </c>
      <c r="AF14" s="41">
        <v>7011</v>
      </c>
      <c r="AG14" s="41">
        <v>7011</v>
      </c>
      <c r="AH14" s="36">
        <v>44936</v>
      </c>
      <c r="AI14" s="36">
        <v>44986</v>
      </c>
      <c r="AJ14" s="36">
        <v>45352</v>
      </c>
      <c r="AK14" s="36">
        <v>44951</v>
      </c>
      <c r="AL14" s="36">
        <v>45000</v>
      </c>
      <c r="AM14" s="46">
        <v>45383</v>
      </c>
      <c r="AN14" s="40" t="s">
        <v>154</v>
      </c>
      <c r="AO14" s="40" t="s">
        <v>155</v>
      </c>
      <c r="AP14" s="40" t="s">
        <v>156</v>
      </c>
      <c r="AQ14" s="40" t="s">
        <v>80</v>
      </c>
      <c r="AR14" s="37">
        <v>100</v>
      </c>
      <c r="AS14" s="37">
        <v>0</v>
      </c>
      <c r="AT14" s="37" t="s">
        <v>59</v>
      </c>
      <c r="AU14" s="47">
        <v>21</v>
      </c>
      <c r="AV14" s="37" t="s">
        <v>60</v>
      </c>
      <c r="AW14" s="37">
        <v>10</v>
      </c>
      <c r="AX14" s="30">
        <v>208226594.83500001</v>
      </c>
      <c r="AY14" s="40" t="s">
        <v>61</v>
      </c>
    </row>
    <row r="15" spans="1:51" ht="76.5" customHeight="1" x14ac:dyDescent="0.25">
      <c r="A15" s="35" t="s">
        <v>157</v>
      </c>
      <c r="B15" s="36">
        <v>44678</v>
      </c>
      <c r="C15" s="37">
        <v>1416</v>
      </c>
      <c r="D15" s="35" t="s">
        <v>158</v>
      </c>
      <c r="E15" s="39" t="s">
        <v>159</v>
      </c>
      <c r="F15" s="36">
        <v>44720</v>
      </c>
      <c r="G15" s="35" t="s">
        <v>160</v>
      </c>
      <c r="H15" s="40" t="s">
        <v>112</v>
      </c>
      <c r="I15" s="40" t="s">
        <v>161</v>
      </c>
      <c r="J15" s="41">
        <v>2419113638.4000001</v>
      </c>
      <c r="K15" s="41" t="s">
        <v>162</v>
      </c>
      <c r="L15" s="41" t="s">
        <v>162</v>
      </c>
      <c r="M15" s="41">
        <v>0</v>
      </c>
      <c r="N15" s="42">
        <v>0</v>
      </c>
      <c r="O15" s="43">
        <v>0</v>
      </c>
      <c r="P15" s="41">
        <v>2419113638.4000001</v>
      </c>
      <c r="Q15" s="43">
        <v>0</v>
      </c>
      <c r="R15" s="41">
        <v>1209556819.2</v>
      </c>
      <c r="S15" s="30">
        <v>1209556819.2</v>
      </c>
      <c r="T15" s="30">
        <v>2419113638.4000001</v>
      </c>
      <c r="U15" s="30">
        <f>T15/X15</f>
        <v>6006.4000000000005</v>
      </c>
      <c r="V15" s="41">
        <f>T15/X15</f>
        <v>6006.4000000000005</v>
      </c>
      <c r="W15" s="41">
        <f>V15*AU15</f>
        <v>9009.6</v>
      </c>
      <c r="X15" s="41">
        <v>402756</v>
      </c>
      <c r="Y15" s="41"/>
      <c r="Z15" s="41">
        <v>201378</v>
      </c>
      <c r="AA15" s="41"/>
      <c r="AB15" s="41">
        <v>7902</v>
      </c>
      <c r="AC15" s="41">
        <f t="shared" si="0"/>
        <v>47462572.800000004</v>
      </c>
      <c r="AD15" s="41">
        <v>193476</v>
      </c>
      <c r="AE15" s="41">
        <f t="shared" si="1"/>
        <v>1162094246.4000001</v>
      </c>
      <c r="AF15" s="41">
        <v>268504</v>
      </c>
      <c r="AG15" s="41">
        <v>268504</v>
      </c>
      <c r="AH15" s="36">
        <v>44958</v>
      </c>
      <c r="AI15" s="36">
        <v>45352</v>
      </c>
      <c r="AJ15" s="36"/>
      <c r="AK15" s="36">
        <v>44972</v>
      </c>
      <c r="AL15" s="36">
        <v>45383</v>
      </c>
      <c r="AM15" s="46"/>
      <c r="AN15" s="40" t="s">
        <v>132</v>
      </c>
      <c r="AO15" s="40" t="s">
        <v>163</v>
      </c>
      <c r="AP15" s="40" t="s">
        <v>134</v>
      </c>
      <c r="AQ15" s="40" t="s">
        <v>80</v>
      </c>
      <c r="AR15" s="37">
        <v>100</v>
      </c>
      <c r="AS15" s="37">
        <v>0</v>
      </c>
      <c r="AT15" s="37" t="s">
        <v>81</v>
      </c>
      <c r="AU15" s="47">
        <v>1.5</v>
      </c>
      <c r="AV15" s="37" t="s">
        <v>60</v>
      </c>
      <c r="AW15" s="37">
        <v>10</v>
      </c>
      <c r="AX15" s="30">
        <v>241911363.84</v>
      </c>
      <c r="AY15" s="40" t="s">
        <v>61</v>
      </c>
    </row>
    <row r="16" spans="1:51" ht="76.5" customHeight="1" x14ac:dyDescent="0.25">
      <c r="A16" s="35" t="s">
        <v>164</v>
      </c>
      <c r="B16" s="36">
        <v>44678</v>
      </c>
      <c r="C16" s="37">
        <v>1416</v>
      </c>
      <c r="D16" s="35" t="s">
        <v>165</v>
      </c>
      <c r="E16" s="39" t="s">
        <v>166</v>
      </c>
      <c r="F16" s="36">
        <v>44711</v>
      </c>
      <c r="G16" s="35" t="s">
        <v>167</v>
      </c>
      <c r="H16" s="40" t="s">
        <v>53</v>
      </c>
      <c r="I16" s="40" t="s">
        <v>168</v>
      </c>
      <c r="J16" s="41">
        <v>11608792.560000001</v>
      </c>
      <c r="K16" s="41" t="s">
        <v>169</v>
      </c>
      <c r="L16" s="41" t="s">
        <v>169</v>
      </c>
      <c r="M16" s="41">
        <v>0</v>
      </c>
      <c r="N16" s="42">
        <v>0</v>
      </c>
      <c r="O16" s="43">
        <v>0</v>
      </c>
      <c r="P16" s="41">
        <v>11608792.560000001</v>
      </c>
      <c r="Q16" s="43">
        <v>0</v>
      </c>
      <c r="R16" s="41">
        <v>5804396.2800000003</v>
      </c>
      <c r="S16" s="30">
        <v>5061973.5</v>
      </c>
      <c r="T16" s="30">
        <v>10866369.779999999</v>
      </c>
      <c r="U16" s="30">
        <f>T16/X16</f>
        <v>22497.66</v>
      </c>
      <c r="V16" s="41">
        <f>T16/X16</f>
        <v>22497.66</v>
      </c>
      <c r="W16" s="41">
        <f>V16*AU16</f>
        <v>44995.32</v>
      </c>
      <c r="X16" s="41">
        <f>258+225</f>
        <v>483</v>
      </c>
      <c r="Y16" s="41"/>
      <c r="Z16" s="41">
        <v>225</v>
      </c>
      <c r="AA16" s="41"/>
      <c r="AB16" s="41">
        <v>0</v>
      </c>
      <c r="AC16" s="41">
        <f t="shared" si="0"/>
        <v>0</v>
      </c>
      <c r="AD16" s="41">
        <v>225</v>
      </c>
      <c r="AE16" s="41">
        <f t="shared" si="1"/>
        <v>5061973.5</v>
      </c>
      <c r="AF16" s="41">
        <v>258</v>
      </c>
      <c r="AG16" s="41">
        <v>258</v>
      </c>
      <c r="AH16" s="36">
        <v>44958</v>
      </c>
      <c r="AI16" s="36">
        <v>45352</v>
      </c>
      <c r="AJ16" s="36"/>
      <c r="AK16" s="36">
        <v>44972</v>
      </c>
      <c r="AL16" s="36">
        <v>45383</v>
      </c>
      <c r="AM16" s="46"/>
      <c r="AN16" s="40" t="s">
        <v>170</v>
      </c>
      <c r="AO16" s="40" t="s">
        <v>171</v>
      </c>
      <c r="AP16" s="40" t="s">
        <v>172</v>
      </c>
      <c r="AQ16" s="40" t="s">
        <v>92</v>
      </c>
      <c r="AR16" s="37">
        <v>0</v>
      </c>
      <c r="AS16" s="37">
        <v>100</v>
      </c>
      <c r="AT16" s="37" t="s">
        <v>59</v>
      </c>
      <c r="AU16" s="47">
        <v>2</v>
      </c>
      <c r="AV16" s="37" t="s">
        <v>60</v>
      </c>
      <c r="AW16" s="37">
        <v>10</v>
      </c>
      <c r="AX16" s="30">
        <v>1160879.2560000001</v>
      </c>
      <c r="AY16" s="40" t="s">
        <v>95</v>
      </c>
    </row>
    <row r="17" spans="1:51" ht="76.5" customHeight="1" x14ac:dyDescent="0.25">
      <c r="A17" s="35" t="s">
        <v>173</v>
      </c>
      <c r="B17" s="36">
        <v>44678</v>
      </c>
      <c r="C17" s="37">
        <v>1416</v>
      </c>
      <c r="D17" s="35" t="s">
        <v>174</v>
      </c>
      <c r="E17" s="39" t="s">
        <v>175</v>
      </c>
      <c r="F17" s="36">
        <v>44711</v>
      </c>
      <c r="G17" s="35" t="s">
        <v>176</v>
      </c>
      <c r="H17" s="40" t="s">
        <v>86</v>
      </c>
      <c r="I17" s="40" t="s">
        <v>177</v>
      </c>
      <c r="J17" s="41">
        <v>200319360</v>
      </c>
      <c r="K17" s="41" t="s">
        <v>178</v>
      </c>
      <c r="L17" s="41" t="s">
        <v>179</v>
      </c>
      <c r="M17" s="41">
        <v>0</v>
      </c>
      <c r="N17" s="42">
        <v>0</v>
      </c>
      <c r="O17" s="43">
        <v>0</v>
      </c>
      <c r="P17" s="41">
        <v>200319360</v>
      </c>
      <c r="Q17" s="43">
        <v>0</v>
      </c>
      <c r="R17" s="41">
        <v>67241760</v>
      </c>
      <c r="S17" s="30">
        <v>127332720</v>
      </c>
      <c r="T17" s="30">
        <v>260410320</v>
      </c>
      <c r="U17" s="30">
        <f>T17/X17</f>
        <v>12.12</v>
      </c>
      <c r="V17" s="41">
        <f>T17/X17</f>
        <v>12.12</v>
      </c>
      <c r="W17" s="41">
        <f>V17*AU17</f>
        <v>24240</v>
      </c>
      <c r="X17" s="41">
        <v>21486000</v>
      </c>
      <c r="Y17" s="41"/>
      <c r="Z17" s="41"/>
      <c r="AA17" s="41">
        <v>10506000</v>
      </c>
      <c r="AB17" s="41">
        <v>0</v>
      </c>
      <c r="AC17" s="41">
        <f t="shared" si="0"/>
        <v>0</v>
      </c>
      <c r="AD17" s="41">
        <v>10506000</v>
      </c>
      <c r="AE17" s="41">
        <f t="shared" si="1"/>
        <v>127332719.99999999</v>
      </c>
      <c r="AF17" s="41">
        <v>8264</v>
      </c>
      <c r="AG17" s="41">
        <v>8264</v>
      </c>
      <c r="AH17" s="36">
        <v>44967</v>
      </c>
      <c r="AI17" s="36">
        <v>44986</v>
      </c>
      <c r="AJ17" s="36">
        <v>45352</v>
      </c>
      <c r="AK17" s="36">
        <v>44982</v>
      </c>
      <c r="AL17" s="36">
        <v>45000</v>
      </c>
      <c r="AM17" s="46">
        <v>45383</v>
      </c>
      <c r="AN17" s="40" t="s">
        <v>89</v>
      </c>
      <c r="AO17" s="40" t="s">
        <v>180</v>
      </c>
      <c r="AP17" s="40" t="s">
        <v>91</v>
      </c>
      <c r="AQ17" s="40" t="s">
        <v>92</v>
      </c>
      <c r="AR17" s="37">
        <v>0</v>
      </c>
      <c r="AS17" s="37">
        <v>100</v>
      </c>
      <c r="AT17" s="37" t="s">
        <v>93</v>
      </c>
      <c r="AU17" s="47">
        <v>2000</v>
      </c>
      <c r="AV17" s="37" t="s">
        <v>60</v>
      </c>
      <c r="AW17" s="37">
        <v>10</v>
      </c>
      <c r="AX17" s="30">
        <v>20031936</v>
      </c>
      <c r="AY17" s="40" t="s">
        <v>61</v>
      </c>
    </row>
    <row r="18" spans="1:51" ht="76.5" customHeight="1" x14ac:dyDescent="0.25">
      <c r="A18" s="35" t="s">
        <v>181</v>
      </c>
      <c r="B18" s="36">
        <v>44678</v>
      </c>
      <c r="C18" s="37">
        <v>1416</v>
      </c>
      <c r="D18" s="35" t="s">
        <v>182</v>
      </c>
      <c r="E18" s="39" t="s">
        <v>183</v>
      </c>
      <c r="F18" s="36">
        <v>44711</v>
      </c>
      <c r="G18" s="35" t="s">
        <v>184</v>
      </c>
      <c r="H18" s="40" t="s">
        <v>53</v>
      </c>
      <c r="I18" s="40" t="s">
        <v>185</v>
      </c>
      <c r="J18" s="41">
        <v>9624025.5999999996</v>
      </c>
      <c r="K18" s="41" t="s">
        <v>186</v>
      </c>
      <c r="L18" s="41" t="s">
        <v>186</v>
      </c>
      <c r="M18" s="41">
        <v>0</v>
      </c>
      <c r="N18" s="42">
        <v>0</v>
      </c>
      <c r="O18" s="43">
        <v>0</v>
      </c>
      <c r="P18" s="41">
        <v>9624025.5999999996</v>
      </c>
      <c r="Q18" s="43">
        <v>0</v>
      </c>
      <c r="R18" s="41">
        <v>4812012.8</v>
      </c>
      <c r="S18" s="30">
        <v>6015016</v>
      </c>
      <c r="T18" s="30">
        <v>10827028.800000001</v>
      </c>
      <c r="U18" s="30">
        <f>T18/X18</f>
        <v>8592.880000000001</v>
      </c>
      <c r="V18" s="41">
        <f>T18/X18</f>
        <v>8592.880000000001</v>
      </c>
      <c r="W18" s="41">
        <f>V18*AU18</f>
        <v>34371.520000000004</v>
      </c>
      <c r="X18" s="41">
        <f>560+700</f>
        <v>1260</v>
      </c>
      <c r="Y18" s="41"/>
      <c r="Z18" s="41">
        <f>96+604</f>
        <v>700</v>
      </c>
      <c r="AA18" s="41"/>
      <c r="AB18" s="41">
        <v>96</v>
      </c>
      <c r="AC18" s="41">
        <f t="shared" si="0"/>
        <v>824916.4800000001</v>
      </c>
      <c r="AD18" s="41">
        <v>604</v>
      </c>
      <c r="AE18" s="41">
        <f t="shared" si="1"/>
        <v>5190099.5200000005</v>
      </c>
      <c r="AF18" s="41">
        <v>280</v>
      </c>
      <c r="AG18" s="41">
        <v>280</v>
      </c>
      <c r="AH18" s="36">
        <v>44986</v>
      </c>
      <c r="AI18" s="36">
        <v>45352</v>
      </c>
      <c r="AJ18" s="36"/>
      <c r="AK18" s="36">
        <v>45000</v>
      </c>
      <c r="AL18" s="46">
        <v>45383</v>
      </c>
      <c r="AM18" s="46"/>
      <c r="AN18" s="40" t="s">
        <v>187</v>
      </c>
      <c r="AO18" s="40" t="s">
        <v>188</v>
      </c>
      <c r="AP18" s="40" t="s">
        <v>189</v>
      </c>
      <c r="AQ18" s="40" t="s">
        <v>58</v>
      </c>
      <c r="AR18" s="48">
        <v>0</v>
      </c>
      <c r="AS18" s="37">
        <v>100</v>
      </c>
      <c r="AT18" s="37" t="s">
        <v>81</v>
      </c>
      <c r="AU18" s="47">
        <v>4</v>
      </c>
      <c r="AV18" s="37" t="s">
        <v>60</v>
      </c>
      <c r="AW18" s="37">
        <v>10</v>
      </c>
      <c r="AX18" s="30">
        <v>962402.56</v>
      </c>
      <c r="AY18" s="40" t="s">
        <v>95</v>
      </c>
    </row>
    <row r="19" spans="1:51" ht="76.5" customHeight="1" x14ac:dyDescent="0.25">
      <c r="A19" s="35" t="s">
        <v>190</v>
      </c>
      <c r="B19" s="36">
        <v>44679</v>
      </c>
      <c r="C19" s="37">
        <v>1416</v>
      </c>
      <c r="D19" s="35" t="s">
        <v>191</v>
      </c>
      <c r="E19" s="39" t="s">
        <v>192</v>
      </c>
      <c r="F19" s="36">
        <v>44711</v>
      </c>
      <c r="G19" s="35" t="s">
        <v>193</v>
      </c>
      <c r="H19" s="40" t="s">
        <v>53</v>
      </c>
      <c r="I19" s="40" t="s">
        <v>194</v>
      </c>
      <c r="J19" s="41">
        <v>44846945.640000001</v>
      </c>
      <c r="K19" s="41" t="s">
        <v>195</v>
      </c>
      <c r="L19" s="41" t="s">
        <v>195</v>
      </c>
      <c r="M19" s="41">
        <v>0</v>
      </c>
      <c r="N19" s="42">
        <v>0</v>
      </c>
      <c r="O19" s="43">
        <v>0</v>
      </c>
      <c r="P19" s="41">
        <v>44846945.640000001</v>
      </c>
      <c r="Q19" s="43">
        <v>0</v>
      </c>
      <c r="R19" s="41">
        <v>22423472.82</v>
      </c>
      <c r="S19" s="30">
        <v>35788456.619999997</v>
      </c>
      <c r="T19" s="30">
        <v>58211929.439999998</v>
      </c>
      <c r="U19" s="30">
        <f>T19/X19</f>
        <v>7071.42</v>
      </c>
      <c r="V19" s="41">
        <f>T19/X19</f>
        <v>7071.42</v>
      </c>
      <c r="W19" s="41">
        <f>V19*AU19</f>
        <v>148499.82</v>
      </c>
      <c r="X19" s="41">
        <v>8232</v>
      </c>
      <c r="Y19" s="41"/>
      <c r="Z19" s="41">
        <v>5061</v>
      </c>
      <c r="AA19" s="41"/>
      <c r="AB19" s="41">
        <v>0</v>
      </c>
      <c r="AC19" s="41">
        <f t="shared" si="0"/>
        <v>0</v>
      </c>
      <c r="AD19" s="41">
        <v>5061</v>
      </c>
      <c r="AE19" s="41">
        <f t="shared" si="1"/>
        <v>35788456.619999997</v>
      </c>
      <c r="AF19" s="41">
        <v>302</v>
      </c>
      <c r="AG19" s="41">
        <v>302</v>
      </c>
      <c r="AH19" s="36">
        <v>44986</v>
      </c>
      <c r="AI19" s="36">
        <v>45352</v>
      </c>
      <c r="AJ19" s="36"/>
      <c r="AK19" s="36">
        <v>45000</v>
      </c>
      <c r="AL19" s="46">
        <v>45383</v>
      </c>
      <c r="AM19" s="46"/>
      <c r="AN19" s="40" t="s">
        <v>196</v>
      </c>
      <c r="AO19" s="40" t="s">
        <v>197</v>
      </c>
      <c r="AP19" s="40" t="s">
        <v>198</v>
      </c>
      <c r="AQ19" s="40" t="s">
        <v>80</v>
      </c>
      <c r="AR19" s="48">
        <v>100</v>
      </c>
      <c r="AS19" s="37">
        <v>0</v>
      </c>
      <c r="AT19" s="37" t="s">
        <v>59</v>
      </c>
      <c r="AU19" s="47">
        <v>21</v>
      </c>
      <c r="AV19" s="37" t="s">
        <v>60</v>
      </c>
      <c r="AW19" s="37">
        <v>10</v>
      </c>
      <c r="AX19" s="30">
        <v>4484694.5639999993</v>
      </c>
      <c r="AY19" s="40" t="s">
        <v>61</v>
      </c>
    </row>
    <row r="20" spans="1:51" ht="76.5" customHeight="1" x14ac:dyDescent="0.25">
      <c r="A20" s="35" t="s">
        <v>199</v>
      </c>
      <c r="B20" s="36">
        <v>44680</v>
      </c>
      <c r="C20" s="37">
        <v>1416</v>
      </c>
      <c r="D20" s="35" t="s">
        <v>200</v>
      </c>
      <c r="E20" s="39" t="s">
        <v>201</v>
      </c>
      <c r="F20" s="36">
        <v>44713</v>
      </c>
      <c r="G20" s="35" t="s">
        <v>202</v>
      </c>
      <c r="H20" s="40" t="s">
        <v>203</v>
      </c>
      <c r="I20" s="40" t="s">
        <v>204</v>
      </c>
      <c r="J20" s="41">
        <v>761678714.15999997</v>
      </c>
      <c r="K20" s="41" t="s">
        <v>205</v>
      </c>
      <c r="L20" s="41" t="s">
        <v>205</v>
      </c>
      <c r="M20" s="41">
        <v>0</v>
      </c>
      <c r="N20" s="42">
        <v>1.0000000706859646</v>
      </c>
      <c r="O20" s="43">
        <v>7616787.6799999475</v>
      </c>
      <c r="P20" s="41">
        <v>754061926.48000002</v>
      </c>
      <c r="Q20" s="43">
        <v>-7622050.7999999523</v>
      </c>
      <c r="R20" s="41">
        <v>377028331.68000001</v>
      </c>
      <c r="S20" s="30">
        <v>377028331.68000001</v>
      </c>
      <c r="T20" s="30">
        <v>754056663.36000001</v>
      </c>
      <c r="U20" s="30">
        <f>T20/X20</f>
        <v>4412.32</v>
      </c>
      <c r="V20" s="41">
        <f>T20/X20</f>
        <v>4412.32</v>
      </c>
      <c r="W20" s="41">
        <f>V20*AU20</f>
        <v>92658.72</v>
      </c>
      <c r="X20" s="41">
        <f>85449*2</f>
        <v>170898</v>
      </c>
      <c r="Y20" s="41"/>
      <c r="Z20" s="41">
        <v>85449</v>
      </c>
      <c r="AA20" s="41"/>
      <c r="AB20" s="41">
        <v>0</v>
      </c>
      <c r="AC20" s="41">
        <f t="shared" si="0"/>
        <v>0</v>
      </c>
      <c r="AD20" s="41">
        <v>85449</v>
      </c>
      <c r="AE20" s="41">
        <f t="shared" si="1"/>
        <v>377028331.67999995</v>
      </c>
      <c r="AF20" s="41">
        <v>8138</v>
      </c>
      <c r="AG20" s="41">
        <v>8138</v>
      </c>
      <c r="AH20" s="36">
        <v>44958</v>
      </c>
      <c r="AI20" s="36">
        <v>45352</v>
      </c>
      <c r="AJ20" s="36"/>
      <c r="AK20" s="36">
        <v>44972</v>
      </c>
      <c r="AL20" s="46">
        <v>45383</v>
      </c>
      <c r="AM20" s="46"/>
      <c r="AN20" s="40" t="s">
        <v>206</v>
      </c>
      <c r="AO20" s="40" t="s">
        <v>207</v>
      </c>
      <c r="AP20" s="40" t="s">
        <v>208</v>
      </c>
      <c r="AQ20" s="40" t="s">
        <v>80</v>
      </c>
      <c r="AR20" s="37">
        <v>100</v>
      </c>
      <c r="AS20" s="37">
        <v>0</v>
      </c>
      <c r="AT20" s="37" t="s">
        <v>59</v>
      </c>
      <c r="AU20" s="51">
        <v>21</v>
      </c>
      <c r="AV20" s="37" t="s">
        <v>60</v>
      </c>
      <c r="AW20" s="37">
        <v>10</v>
      </c>
      <c r="AX20" s="30">
        <v>76167871.415999994</v>
      </c>
      <c r="AY20" s="40" t="s">
        <v>61</v>
      </c>
    </row>
    <row r="21" spans="1:51" ht="76.5" customHeight="1" x14ac:dyDescent="0.25">
      <c r="A21" s="35" t="s">
        <v>209</v>
      </c>
      <c r="B21" s="36">
        <v>44680</v>
      </c>
      <c r="C21" s="37">
        <v>1416</v>
      </c>
      <c r="D21" s="35" t="s">
        <v>210</v>
      </c>
      <c r="E21" s="39" t="s">
        <v>211</v>
      </c>
      <c r="F21" s="36">
        <v>44712</v>
      </c>
      <c r="G21" s="35" t="s">
        <v>212</v>
      </c>
      <c r="H21" s="40" t="s">
        <v>213</v>
      </c>
      <c r="I21" s="40" t="s">
        <v>214</v>
      </c>
      <c r="J21" s="41">
        <v>61486783.68</v>
      </c>
      <c r="K21" s="41" t="s">
        <v>215</v>
      </c>
      <c r="L21" s="41" t="s">
        <v>215</v>
      </c>
      <c r="M21" s="41">
        <v>0</v>
      </c>
      <c r="N21" s="42">
        <v>2.5000000130109288</v>
      </c>
      <c r="O21" s="43">
        <v>1537169.6000000015</v>
      </c>
      <c r="P21" s="41">
        <v>59949614.079999998</v>
      </c>
      <c r="Q21" s="43">
        <v>-1537213.4399999976</v>
      </c>
      <c r="R21" s="41">
        <v>29974785.120000001</v>
      </c>
      <c r="S21" s="30">
        <v>29974785.120000001</v>
      </c>
      <c r="T21" s="30">
        <v>59949570.240000002</v>
      </c>
      <c r="U21" s="30">
        <f>T21/X21</f>
        <v>3076.23</v>
      </c>
      <c r="V21" s="41">
        <f>T21/X21</f>
        <v>3076.23</v>
      </c>
      <c r="W21" s="41">
        <f>V21*AU21</f>
        <v>64600.83</v>
      </c>
      <c r="X21" s="41">
        <v>19488</v>
      </c>
      <c r="Y21" s="41"/>
      <c r="Z21" s="41">
        <v>9744</v>
      </c>
      <c r="AA21" s="41"/>
      <c r="AB21" s="41">
        <v>0</v>
      </c>
      <c r="AC21" s="41">
        <f t="shared" si="0"/>
        <v>0</v>
      </c>
      <c r="AD21" s="41">
        <v>9744</v>
      </c>
      <c r="AE21" s="41">
        <f t="shared" si="1"/>
        <v>29974785.120000001</v>
      </c>
      <c r="AF21" s="41">
        <v>928</v>
      </c>
      <c r="AG21" s="41">
        <v>928</v>
      </c>
      <c r="AH21" s="36">
        <v>44958</v>
      </c>
      <c r="AI21" s="36">
        <v>45292</v>
      </c>
      <c r="AJ21" s="36"/>
      <c r="AK21" s="36">
        <v>44972</v>
      </c>
      <c r="AL21" s="36">
        <v>45366</v>
      </c>
      <c r="AM21" s="46"/>
      <c r="AN21" s="40" t="s">
        <v>216</v>
      </c>
      <c r="AO21" s="40" t="s">
        <v>217</v>
      </c>
      <c r="AP21" s="40" t="s">
        <v>218</v>
      </c>
      <c r="AQ21" s="40" t="s">
        <v>80</v>
      </c>
      <c r="AR21" s="37">
        <v>100</v>
      </c>
      <c r="AS21" s="37">
        <v>0</v>
      </c>
      <c r="AT21" s="37" t="s">
        <v>59</v>
      </c>
      <c r="AU21" s="51">
        <v>21</v>
      </c>
      <c r="AV21" s="37" t="s">
        <v>219</v>
      </c>
      <c r="AW21" s="37">
        <v>10</v>
      </c>
      <c r="AX21" s="30">
        <v>6148678.3679999998</v>
      </c>
      <c r="AY21" s="40" t="s">
        <v>61</v>
      </c>
    </row>
    <row r="22" spans="1:51" ht="76.5" customHeight="1" x14ac:dyDescent="0.25">
      <c r="A22" s="35" t="s">
        <v>220</v>
      </c>
      <c r="B22" s="36">
        <v>44680</v>
      </c>
      <c r="C22" s="37">
        <v>1416</v>
      </c>
      <c r="D22" s="35" t="s">
        <v>221</v>
      </c>
      <c r="E22" s="39" t="s">
        <v>222</v>
      </c>
      <c r="F22" s="36">
        <v>44714</v>
      </c>
      <c r="G22" s="35" t="s">
        <v>223</v>
      </c>
      <c r="H22" s="40" t="s">
        <v>224</v>
      </c>
      <c r="I22" s="40" t="s">
        <v>225</v>
      </c>
      <c r="J22" s="41">
        <v>3291225799.6799998</v>
      </c>
      <c r="K22" s="41" t="s">
        <v>226</v>
      </c>
      <c r="L22" s="41" t="s">
        <v>226</v>
      </c>
      <c r="M22" s="41">
        <v>0</v>
      </c>
      <c r="N22" s="42">
        <v>0.50000001706354957</v>
      </c>
      <c r="O22" s="43">
        <v>16456129.559999943</v>
      </c>
      <c r="P22" s="41">
        <v>3274769670.1199999</v>
      </c>
      <c r="Q22" s="43">
        <v>-16460962.559999943</v>
      </c>
      <c r="R22" s="41">
        <v>1637382418.5599999</v>
      </c>
      <c r="S22" s="30">
        <v>1454542881.1199999</v>
      </c>
      <c r="T22" s="41">
        <v>3091925299.6799998</v>
      </c>
      <c r="U22" s="30">
        <v>4605.6849999999995</v>
      </c>
      <c r="V22" s="41">
        <v>4333.33</v>
      </c>
      <c r="W22" s="41"/>
      <c r="X22" s="41">
        <v>671328</v>
      </c>
      <c r="Y22" s="41"/>
      <c r="Z22" s="41">
        <v>335664</v>
      </c>
      <c r="AA22" s="41"/>
      <c r="AB22" s="41">
        <v>983</v>
      </c>
      <c r="AC22" s="41">
        <f t="shared" si="0"/>
        <v>4259663.3899999997</v>
      </c>
      <c r="AD22" s="41">
        <v>334681</v>
      </c>
      <c r="AE22" s="41">
        <f t="shared" si="1"/>
        <v>1450283217.73</v>
      </c>
      <c r="AF22" s="41">
        <v>0</v>
      </c>
      <c r="AG22" s="41">
        <v>0</v>
      </c>
      <c r="AH22" s="36">
        <v>44958</v>
      </c>
      <c r="AI22" s="36">
        <v>45352</v>
      </c>
      <c r="AJ22" s="36"/>
      <c r="AK22" s="36">
        <v>44972</v>
      </c>
      <c r="AL22" s="36">
        <v>45383</v>
      </c>
      <c r="AM22" s="46"/>
      <c r="AN22" s="40" t="s">
        <v>227</v>
      </c>
      <c r="AO22" s="40" t="s">
        <v>228</v>
      </c>
      <c r="AP22" s="40" t="s">
        <v>229</v>
      </c>
      <c r="AQ22" s="40" t="s">
        <v>80</v>
      </c>
      <c r="AR22" s="37">
        <v>100</v>
      </c>
      <c r="AS22" s="37">
        <v>0</v>
      </c>
      <c r="AT22" s="37" t="s">
        <v>59</v>
      </c>
      <c r="AU22" s="51">
        <v>21</v>
      </c>
      <c r="AV22" s="37" t="s">
        <v>60</v>
      </c>
      <c r="AW22" s="37">
        <v>10</v>
      </c>
      <c r="AX22" s="30">
        <v>329122579.96799999</v>
      </c>
      <c r="AY22" s="40" t="s">
        <v>95</v>
      </c>
    </row>
    <row r="23" spans="1:51" ht="76.5" customHeight="1" x14ac:dyDescent="0.25">
      <c r="A23" s="35" t="s">
        <v>230</v>
      </c>
      <c r="B23" s="36">
        <v>44680</v>
      </c>
      <c r="C23" s="37">
        <v>1416</v>
      </c>
      <c r="D23" s="35" t="s">
        <v>231</v>
      </c>
      <c r="E23" s="39" t="s">
        <v>232</v>
      </c>
      <c r="F23" s="36">
        <v>44712</v>
      </c>
      <c r="G23" s="35" t="s">
        <v>233</v>
      </c>
      <c r="H23" s="40" t="s">
        <v>213</v>
      </c>
      <c r="I23" s="40" t="s">
        <v>234</v>
      </c>
      <c r="J23" s="41">
        <v>268892744.39999998</v>
      </c>
      <c r="K23" s="41" t="s">
        <v>235</v>
      </c>
      <c r="L23" s="41" t="s">
        <v>235</v>
      </c>
      <c r="M23" s="41">
        <v>0</v>
      </c>
      <c r="N23" s="42">
        <v>1.4999999977686147</v>
      </c>
      <c r="O23" s="43">
        <v>4033391.1599999666</v>
      </c>
      <c r="P23" s="41">
        <v>264859353.24000001</v>
      </c>
      <c r="Q23" s="43">
        <v>4033505.6999999881</v>
      </c>
      <c r="R23" s="41">
        <v>132429619.34999999</v>
      </c>
      <c r="S23" s="30">
        <v>132429619.34999999</v>
      </c>
      <c r="T23" s="30">
        <v>264859238.69999999</v>
      </c>
      <c r="U23" s="30">
        <f>T23/X23</f>
        <v>4162.49</v>
      </c>
      <c r="V23" s="41">
        <f>T23/X23</f>
        <v>4162.49</v>
      </c>
      <c r="W23" s="41">
        <f>V23*AU23</f>
        <v>87412.29</v>
      </c>
      <c r="X23" s="41">
        <v>63630</v>
      </c>
      <c r="Y23" s="41"/>
      <c r="Z23" s="41">
        <v>31815</v>
      </c>
      <c r="AA23" s="41"/>
      <c r="AB23" s="41">
        <v>0</v>
      </c>
      <c r="AC23" s="41">
        <f t="shared" si="0"/>
        <v>0</v>
      </c>
      <c r="AD23" s="41">
        <v>31815</v>
      </c>
      <c r="AE23" s="41">
        <f t="shared" si="1"/>
        <v>132429619.34999999</v>
      </c>
      <c r="AF23" s="41">
        <v>3030</v>
      </c>
      <c r="AG23" s="41">
        <v>3030</v>
      </c>
      <c r="AH23" s="36">
        <v>44958</v>
      </c>
      <c r="AI23" s="36">
        <v>45352</v>
      </c>
      <c r="AJ23" s="36"/>
      <c r="AK23" s="36">
        <v>44972</v>
      </c>
      <c r="AL23" s="36">
        <v>45383</v>
      </c>
      <c r="AM23" s="46"/>
      <c r="AN23" s="40" t="s">
        <v>216</v>
      </c>
      <c r="AO23" s="40" t="s">
        <v>236</v>
      </c>
      <c r="AP23" s="40" t="s">
        <v>218</v>
      </c>
      <c r="AQ23" s="40" t="s">
        <v>80</v>
      </c>
      <c r="AR23" s="48">
        <v>0</v>
      </c>
      <c r="AS23" s="37">
        <v>100</v>
      </c>
      <c r="AT23" s="37" t="s">
        <v>59</v>
      </c>
      <c r="AU23" s="47">
        <v>21</v>
      </c>
      <c r="AV23" s="37" t="s">
        <v>219</v>
      </c>
      <c r="AW23" s="37">
        <v>10</v>
      </c>
      <c r="AX23" s="30">
        <v>26889274.440000001</v>
      </c>
      <c r="AY23" s="40" t="s">
        <v>61</v>
      </c>
    </row>
    <row r="24" spans="1:51" ht="76.5" customHeight="1" x14ac:dyDescent="0.25">
      <c r="A24" s="35" t="s">
        <v>237</v>
      </c>
      <c r="B24" s="36">
        <v>44685</v>
      </c>
      <c r="C24" s="37">
        <v>1416</v>
      </c>
      <c r="D24" s="35" t="s">
        <v>238</v>
      </c>
      <c r="E24" s="39" t="s">
        <v>239</v>
      </c>
      <c r="F24" s="36">
        <v>44626</v>
      </c>
      <c r="G24" s="35" t="s">
        <v>240</v>
      </c>
      <c r="H24" s="40" t="s">
        <v>112</v>
      </c>
      <c r="I24" s="40" t="s">
        <v>241</v>
      </c>
      <c r="J24" s="41">
        <v>1400150205</v>
      </c>
      <c r="K24" s="41" t="s">
        <v>242</v>
      </c>
      <c r="L24" s="41" t="s">
        <v>242</v>
      </c>
      <c r="M24" s="41">
        <v>0</v>
      </c>
      <c r="N24" s="42">
        <v>99.159763341962304</v>
      </c>
      <c r="O24" s="43">
        <v>1388385629.71</v>
      </c>
      <c r="P24" s="41">
        <v>11764575.289999999</v>
      </c>
      <c r="Q24" s="43">
        <v>1394269544.25</v>
      </c>
      <c r="R24" s="41">
        <v>5880660.75</v>
      </c>
      <c r="S24" s="30">
        <v>5880660.75</v>
      </c>
      <c r="T24" s="41">
        <v>11761321.5</v>
      </c>
      <c r="U24" s="30">
        <f>T24/X24</f>
        <v>7.87</v>
      </c>
      <c r="V24" s="41">
        <f>T24/X24</f>
        <v>7.87</v>
      </c>
      <c r="W24" s="41">
        <f>V24*AU24</f>
        <v>220.36</v>
      </c>
      <c r="X24" s="41">
        <v>1494450</v>
      </c>
      <c r="Y24" s="41"/>
      <c r="Z24" s="41">
        <v>747225</v>
      </c>
      <c r="AA24" s="41"/>
      <c r="AB24" s="41">
        <v>2044</v>
      </c>
      <c r="AC24" s="41">
        <f t="shared" si="0"/>
        <v>16086.28</v>
      </c>
      <c r="AD24" s="41">
        <v>745181</v>
      </c>
      <c r="AE24" s="41">
        <f t="shared" si="1"/>
        <v>5864574.4699999997</v>
      </c>
      <c r="AF24" s="41">
        <v>53373.214285714283</v>
      </c>
      <c r="AG24" s="41">
        <v>53374</v>
      </c>
      <c r="AH24" s="36">
        <v>44986</v>
      </c>
      <c r="AI24" s="36">
        <v>45352</v>
      </c>
      <c r="AJ24" s="36"/>
      <c r="AK24" s="36">
        <v>45000</v>
      </c>
      <c r="AL24" s="36">
        <v>45383</v>
      </c>
      <c r="AM24" s="46"/>
      <c r="AN24" s="40" t="s">
        <v>243</v>
      </c>
      <c r="AO24" s="40" t="s">
        <v>244</v>
      </c>
      <c r="AP24" s="40" t="s">
        <v>245</v>
      </c>
      <c r="AQ24" s="40" t="s">
        <v>80</v>
      </c>
      <c r="AR24" s="48">
        <v>100</v>
      </c>
      <c r="AS24" s="37">
        <v>0</v>
      </c>
      <c r="AT24" s="37" t="s">
        <v>59</v>
      </c>
      <c r="AU24" s="47">
        <v>28</v>
      </c>
      <c r="AV24" s="37" t="s">
        <v>60</v>
      </c>
      <c r="AW24" s="37">
        <v>10</v>
      </c>
      <c r="AX24" s="30">
        <v>140015020.5</v>
      </c>
      <c r="AY24" s="40" t="s">
        <v>61</v>
      </c>
    </row>
    <row r="25" spans="1:51" ht="76.5" customHeight="1" x14ac:dyDescent="0.25">
      <c r="A25" s="35" t="s">
        <v>246</v>
      </c>
      <c r="B25" s="36">
        <v>44708</v>
      </c>
      <c r="C25" s="37">
        <v>1416</v>
      </c>
      <c r="D25" s="35" t="s">
        <v>247</v>
      </c>
      <c r="E25" s="39" t="s">
        <v>248</v>
      </c>
      <c r="F25" s="36">
        <v>44739</v>
      </c>
      <c r="G25" s="37" t="s">
        <v>249</v>
      </c>
      <c r="H25" s="40" t="s">
        <v>250</v>
      </c>
      <c r="I25" s="40" t="s">
        <v>251</v>
      </c>
      <c r="J25" s="41">
        <v>761721856</v>
      </c>
      <c r="K25" s="41" t="s">
        <v>252</v>
      </c>
      <c r="L25" s="41" t="s">
        <v>252</v>
      </c>
      <c r="M25" s="41">
        <v>0</v>
      </c>
      <c r="N25" s="42">
        <v>0</v>
      </c>
      <c r="O25" s="43">
        <v>0</v>
      </c>
      <c r="P25" s="41">
        <v>761721856</v>
      </c>
      <c r="Q25" s="43">
        <v>0</v>
      </c>
      <c r="R25" s="41">
        <v>380860928</v>
      </c>
      <c r="S25" s="30">
        <v>380860928</v>
      </c>
      <c r="T25" s="30">
        <v>761721856</v>
      </c>
      <c r="U25" s="30">
        <f>T25/X25</f>
        <v>258.39999999999998</v>
      </c>
      <c r="V25" s="41">
        <f>T25/X25</f>
        <v>258.39999999999998</v>
      </c>
      <c r="W25" s="41">
        <f>V25*AU25</f>
        <v>7235.1999999999989</v>
      </c>
      <c r="X25" s="41">
        <v>2947840</v>
      </c>
      <c r="Y25" s="41"/>
      <c r="Z25" s="41">
        <v>1473920</v>
      </c>
      <c r="AA25" s="41"/>
      <c r="AB25" s="41">
        <v>1820</v>
      </c>
      <c r="AC25" s="41">
        <f t="shared" si="0"/>
        <v>470287.99999999994</v>
      </c>
      <c r="AD25" s="41">
        <v>1472100</v>
      </c>
      <c r="AE25" s="41">
        <f t="shared" si="1"/>
        <v>380390639.99999994</v>
      </c>
      <c r="AF25" s="41">
        <v>105280</v>
      </c>
      <c r="AG25" s="41">
        <v>105280</v>
      </c>
      <c r="AH25" s="36">
        <v>44958</v>
      </c>
      <c r="AI25" s="36">
        <v>45323</v>
      </c>
      <c r="AJ25" s="36"/>
      <c r="AK25" s="36">
        <v>44972</v>
      </c>
      <c r="AL25" s="36">
        <v>45352</v>
      </c>
      <c r="AM25" s="46"/>
      <c r="AN25" s="40" t="s">
        <v>115</v>
      </c>
      <c r="AO25" s="40" t="s">
        <v>253</v>
      </c>
      <c r="AP25" s="40" t="s">
        <v>254</v>
      </c>
      <c r="AQ25" s="40" t="s">
        <v>80</v>
      </c>
      <c r="AR25" s="37">
        <v>100</v>
      </c>
      <c r="AS25" s="37">
        <v>0</v>
      </c>
      <c r="AT25" s="37" t="s">
        <v>81</v>
      </c>
      <c r="AU25" s="47">
        <v>28</v>
      </c>
      <c r="AV25" s="37" t="s">
        <v>60</v>
      </c>
      <c r="AW25" s="37">
        <v>10</v>
      </c>
      <c r="AX25" s="30">
        <v>76172185.599999994</v>
      </c>
      <c r="AY25" s="40" t="s">
        <v>95</v>
      </c>
    </row>
    <row r="26" spans="1:51" ht="78.75" x14ac:dyDescent="0.25">
      <c r="A26" s="35" t="s">
        <v>255</v>
      </c>
      <c r="B26" s="36">
        <v>44706</v>
      </c>
      <c r="C26" s="37">
        <v>1416</v>
      </c>
      <c r="D26" s="35" t="s">
        <v>256</v>
      </c>
      <c r="E26" s="39" t="s">
        <v>257</v>
      </c>
      <c r="F26" s="36">
        <v>44729</v>
      </c>
      <c r="G26" s="37" t="s">
        <v>258</v>
      </c>
      <c r="H26" s="40" t="s">
        <v>139</v>
      </c>
      <c r="I26" s="40" t="s">
        <v>259</v>
      </c>
      <c r="J26" s="41">
        <v>274032460.80000001</v>
      </c>
      <c r="K26" s="41" t="s">
        <v>260</v>
      </c>
      <c r="L26" s="41" t="s">
        <v>260</v>
      </c>
      <c r="M26" s="41">
        <v>0</v>
      </c>
      <c r="N26" s="42">
        <f>((J26-P26)/J26)*100</f>
        <v>0</v>
      </c>
      <c r="O26" s="43">
        <f>J26-P26</f>
        <v>0</v>
      </c>
      <c r="P26" s="30">
        <v>274032460.80000001</v>
      </c>
      <c r="Q26" s="43">
        <v>0</v>
      </c>
      <c r="R26" s="41">
        <v>137016230.40000001</v>
      </c>
      <c r="S26" s="30">
        <v>136875267.19999999</v>
      </c>
      <c r="T26" s="30">
        <v>273891497.60000002</v>
      </c>
      <c r="U26" s="30">
        <f>T26/X26</f>
        <v>2013.7600000000002</v>
      </c>
      <c r="V26" s="41">
        <f>T26/X26</f>
        <v>2013.7600000000002</v>
      </c>
      <c r="W26" s="41">
        <f>V26*AU26</f>
        <v>20137.600000000002</v>
      </c>
      <c r="X26" s="41">
        <v>136010</v>
      </c>
      <c r="Y26" s="41"/>
      <c r="Z26" s="41">
        <v>67970</v>
      </c>
      <c r="AA26" s="41"/>
      <c r="AB26" s="41">
        <v>51570</v>
      </c>
      <c r="AC26" s="41">
        <f t="shared" si="0"/>
        <v>103849603.20000002</v>
      </c>
      <c r="AD26" s="41">
        <v>16400</v>
      </c>
      <c r="AE26" s="41">
        <f t="shared" si="1"/>
        <v>33025664.000000004</v>
      </c>
      <c r="AF26" s="41">
        <f>X26/AU26</f>
        <v>13601</v>
      </c>
      <c r="AG26" s="41">
        <f>_xlfn.CEILING.MATH(AF26)</f>
        <v>13601</v>
      </c>
      <c r="AH26" s="36">
        <v>45031</v>
      </c>
      <c r="AI26" s="36">
        <v>45397</v>
      </c>
      <c r="AJ26" s="36"/>
      <c r="AK26" s="36">
        <v>45061</v>
      </c>
      <c r="AL26" s="36">
        <v>45427</v>
      </c>
      <c r="AM26" s="46"/>
      <c r="AN26" s="40" t="s">
        <v>261</v>
      </c>
      <c r="AO26" s="40" t="s">
        <v>262</v>
      </c>
      <c r="AP26" s="40" t="s">
        <v>263</v>
      </c>
      <c r="AQ26" s="40" t="s">
        <v>264</v>
      </c>
      <c r="AR26" s="48">
        <v>0</v>
      </c>
      <c r="AS26" s="37">
        <v>100</v>
      </c>
      <c r="AT26" s="37" t="s">
        <v>81</v>
      </c>
      <c r="AU26" s="47">
        <v>10</v>
      </c>
      <c r="AV26" s="37" t="s">
        <v>60</v>
      </c>
      <c r="AW26" s="37">
        <v>10</v>
      </c>
      <c r="AX26" s="30">
        <f>(J26*10)/100</f>
        <v>27403246.079999998</v>
      </c>
      <c r="AY26" s="40" t="s">
        <v>61</v>
      </c>
    </row>
    <row r="27" spans="1:51" ht="76.5" customHeight="1" x14ac:dyDescent="0.25">
      <c r="A27" s="35" t="s">
        <v>265</v>
      </c>
      <c r="B27" s="36">
        <v>44715</v>
      </c>
      <c r="C27" s="37">
        <v>1416</v>
      </c>
      <c r="D27" s="35" t="s">
        <v>266</v>
      </c>
      <c r="E27" s="39" t="s">
        <v>267</v>
      </c>
      <c r="F27" s="36">
        <v>44746</v>
      </c>
      <c r="G27" s="37" t="s">
        <v>268</v>
      </c>
      <c r="H27" s="40" t="s">
        <v>269</v>
      </c>
      <c r="I27" s="40" t="s">
        <v>270</v>
      </c>
      <c r="J27" s="41">
        <v>1240064812.8</v>
      </c>
      <c r="K27" s="41" t="s">
        <v>271</v>
      </c>
      <c r="L27" s="41" t="s">
        <v>271</v>
      </c>
      <c r="M27" s="41">
        <v>0</v>
      </c>
      <c r="N27" s="42">
        <v>0</v>
      </c>
      <c r="O27" s="43">
        <v>0</v>
      </c>
      <c r="P27" s="41">
        <v>1240064812.8</v>
      </c>
      <c r="Q27" s="43">
        <v>620032406.39999998</v>
      </c>
      <c r="R27" s="41">
        <v>620032406.39999998</v>
      </c>
      <c r="S27" s="30">
        <v>992041578</v>
      </c>
      <c r="T27" s="30">
        <v>1612073984.4000001</v>
      </c>
      <c r="U27" s="30">
        <f>T27/X27</f>
        <v>142.67000000000002</v>
      </c>
      <c r="V27" s="41">
        <f>T27/X27</f>
        <v>142.67000000000002</v>
      </c>
      <c r="W27" s="41">
        <f>V27*AU27</f>
        <v>17120.400000000001</v>
      </c>
      <c r="X27" s="41">
        <v>11299320</v>
      </c>
      <c r="Y27" s="41"/>
      <c r="Z27" s="41">
        <f>47880+6905520</f>
        <v>6953400</v>
      </c>
      <c r="AA27" s="41"/>
      <c r="AB27" s="41">
        <v>47880</v>
      </c>
      <c r="AC27" s="41">
        <f t="shared" si="0"/>
        <v>6831039.6000000006</v>
      </c>
      <c r="AD27" s="41">
        <v>6905520</v>
      </c>
      <c r="AE27" s="41">
        <f t="shared" si="1"/>
        <v>985210538.4000001</v>
      </c>
      <c r="AF27" s="41">
        <v>72432</v>
      </c>
      <c r="AG27" s="41">
        <v>72432</v>
      </c>
      <c r="AH27" s="36">
        <v>44986</v>
      </c>
      <c r="AI27" s="36">
        <v>45352</v>
      </c>
      <c r="AJ27" s="36"/>
      <c r="AK27" s="36">
        <v>45000</v>
      </c>
      <c r="AL27" s="36">
        <v>45383</v>
      </c>
      <c r="AM27" s="46"/>
      <c r="AN27" s="40" t="s">
        <v>272</v>
      </c>
      <c r="AO27" s="40" t="s">
        <v>273</v>
      </c>
      <c r="AP27" s="40" t="s">
        <v>274</v>
      </c>
      <c r="AQ27" s="40" t="s">
        <v>275</v>
      </c>
      <c r="AR27" s="48">
        <v>0</v>
      </c>
      <c r="AS27" s="37">
        <v>100</v>
      </c>
      <c r="AT27" s="37" t="s">
        <v>276</v>
      </c>
      <c r="AU27" s="47">
        <v>120</v>
      </c>
      <c r="AV27" s="37" t="s">
        <v>60</v>
      </c>
      <c r="AW27" s="37">
        <v>10</v>
      </c>
      <c r="AX27" s="30">
        <v>124006481.28</v>
      </c>
      <c r="AY27" s="40" t="s">
        <v>61</v>
      </c>
    </row>
    <row r="28" spans="1:51" ht="76.5" customHeight="1" x14ac:dyDescent="0.25">
      <c r="A28" s="35" t="s">
        <v>277</v>
      </c>
      <c r="B28" s="36">
        <v>44719</v>
      </c>
      <c r="C28" s="37">
        <v>1416</v>
      </c>
      <c r="D28" s="35" t="s">
        <v>278</v>
      </c>
      <c r="E28" s="39" t="s">
        <v>279</v>
      </c>
      <c r="F28" s="36">
        <v>44746</v>
      </c>
      <c r="G28" s="35" t="s">
        <v>280</v>
      </c>
      <c r="H28" s="40" t="s">
        <v>86</v>
      </c>
      <c r="I28" s="40" t="s">
        <v>281</v>
      </c>
      <c r="J28" s="41">
        <v>117119160</v>
      </c>
      <c r="K28" s="41" t="s">
        <v>282</v>
      </c>
      <c r="L28" s="41" t="s">
        <v>282</v>
      </c>
      <c r="M28" s="41">
        <v>0</v>
      </c>
      <c r="N28" s="42">
        <v>0</v>
      </c>
      <c r="O28" s="43">
        <v>0</v>
      </c>
      <c r="P28" s="41">
        <v>117119160</v>
      </c>
      <c r="Q28" s="43">
        <v>0</v>
      </c>
      <c r="R28" s="41">
        <v>58559580</v>
      </c>
      <c r="S28" s="30">
        <v>93665640</v>
      </c>
      <c r="T28" s="30">
        <v>152225220</v>
      </c>
      <c r="U28" s="30">
        <f>T28/X28</f>
        <v>12.37</v>
      </c>
      <c r="V28" s="41">
        <f>T28/X28</f>
        <v>12.37</v>
      </c>
      <c r="W28" s="41">
        <f>V28*AU28</f>
        <v>37110</v>
      </c>
      <c r="X28" s="41">
        <v>12306000</v>
      </c>
      <c r="Y28" s="41"/>
      <c r="Z28" s="41">
        <v>7572000</v>
      </c>
      <c r="AA28" s="41"/>
      <c r="AB28" s="41">
        <v>0</v>
      </c>
      <c r="AC28" s="41">
        <f t="shared" si="0"/>
        <v>0</v>
      </c>
      <c r="AD28" s="41">
        <v>7572000</v>
      </c>
      <c r="AE28" s="41">
        <f t="shared" si="1"/>
        <v>93665640</v>
      </c>
      <c r="AF28" s="41">
        <v>3156</v>
      </c>
      <c r="AG28" s="41">
        <v>3156</v>
      </c>
      <c r="AH28" s="36">
        <v>44986</v>
      </c>
      <c r="AI28" s="36">
        <v>45352</v>
      </c>
      <c r="AJ28" s="36"/>
      <c r="AK28" s="36">
        <v>45000</v>
      </c>
      <c r="AL28" s="36">
        <v>45383</v>
      </c>
      <c r="AM28" s="46"/>
      <c r="AN28" s="40" t="s">
        <v>89</v>
      </c>
      <c r="AO28" s="40" t="s">
        <v>283</v>
      </c>
      <c r="AP28" s="40" t="s">
        <v>91</v>
      </c>
      <c r="AQ28" s="40" t="s">
        <v>92</v>
      </c>
      <c r="AR28" s="48">
        <v>0</v>
      </c>
      <c r="AS28" s="37">
        <v>100</v>
      </c>
      <c r="AT28" s="37" t="s">
        <v>93</v>
      </c>
      <c r="AU28" s="47">
        <v>3000</v>
      </c>
      <c r="AV28" s="37" t="s">
        <v>60</v>
      </c>
      <c r="AW28" s="37">
        <v>10</v>
      </c>
      <c r="AX28" s="30">
        <v>11711916</v>
      </c>
      <c r="AY28" s="40" t="s">
        <v>61</v>
      </c>
    </row>
    <row r="29" spans="1:51" ht="86.25" customHeight="1" x14ac:dyDescent="0.25">
      <c r="A29" s="35" t="s">
        <v>284</v>
      </c>
      <c r="B29" s="36">
        <v>44719</v>
      </c>
      <c r="C29" s="37">
        <v>1416</v>
      </c>
      <c r="D29" s="35" t="s">
        <v>285</v>
      </c>
      <c r="E29" s="39" t="s">
        <v>286</v>
      </c>
      <c r="F29" s="36">
        <v>44750</v>
      </c>
      <c r="G29" s="35" t="s">
        <v>287</v>
      </c>
      <c r="H29" s="40" t="s">
        <v>86</v>
      </c>
      <c r="I29" s="40" t="s">
        <v>288</v>
      </c>
      <c r="J29" s="41">
        <v>1322673000</v>
      </c>
      <c r="K29" s="41" t="s">
        <v>289</v>
      </c>
      <c r="L29" s="41" t="s">
        <v>289</v>
      </c>
      <c r="M29" s="41">
        <v>0</v>
      </c>
      <c r="N29" s="42">
        <v>0</v>
      </c>
      <c r="O29" s="43">
        <v>0</v>
      </c>
      <c r="P29" s="41">
        <v>1322673000</v>
      </c>
      <c r="Q29" s="43">
        <v>0</v>
      </c>
      <c r="R29" s="41">
        <v>661336500</v>
      </c>
      <c r="S29" s="30">
        <v>1058027437.5</v>
      </c>
      <c r="T29" s="41">
        <v>1719363937.5</v>
      </c>
      <c r="U29" s="30">
        <f>T29/X29</f>
        <v>3698.75</v>
      </c>
      <c r="V29" s="41">
        <f>T29/X29</f>
        <v>3698.75</v>
      </c>
      <c r="W29" s="41">
        <f>V29*AU29</f>
        <v>3698.75</v>
      </c>
      <c r="X29" s="41">
        <v>464850</v>
      </c>
      <c r="Y29" s="41"/>
      <c r="Z29" s="41">
        <v>286050</v>
      </c>
      <c r="AA29" s="41"/>
      <c r="AB29" s="41">
        <v>219300</v>
      </c>
      <c r="AC29" s="41">
        <f t="shared" si="0"/>
        <v>811135875</v>
      </c>
      <c r="AD29" s="41">
        <v>66750</v>
      </c>
      <c r="AE29" s="41">
        <f t="shared" si="1"/>
        <v>246891562.5</v>
      </c>
      <c r="AF29" s="41">
        <v>357600</v>
      </c>
      <c r="AG29" s="41">
        <v>357600</v>
      </c>
      <c r="AH29" s="36">
        <v>44986</v>
      </c>
      <c r="AI29" s="36">
        <v>45352</v>
      </c>
      <c r="AJ29" s="36"/>
      <c r="AK29" s="36">
        <v>45000</v>
      </c>
      <c r="AL29" s="36">
        <v>45383</v>
      </c>
      <c r="AM29" s="46"/>
      <c r="AN29" s="40" t="s">
        <v>290</v>
      </c>
      <c r="AO29" s="40" t="s">
        <v>291</v>
      </c>
      <c r="AP29" s="40" t="s">
        <v>292</v>
      </c>
      <c r="AQ29" s="40" t="s">
        <v>293</v>
      </c>
      <c r="AR29" s="48">
        <v>0</v>
      </c>
      <c r="AS29" s="37">
        <v>100</v>
      </c>
      <c r="AT29" s="40" t="s">
        <v>294</v>
      </c>
      <c r="AU29" s="50">
        <v>1</v>
      </c>
      <c r="AV29" s="37" t="s">
        <v>60</v>
      </c>
      <c r="AW29" s="37">
        <v>10</v>
      </c>
      <c r="AX29" s="30">
        <v>132267300</v>
      </c>
      <c r="AY29" s="40" t="s">
        <v>95</v>
      </c>
    </row>
    <row r="30" spans="1:51" ht="76.5" customHeight="1" x14ac:dyDescent="0.25">
      <c r="A30" s="35" t="s">
        <v>295</v>
      </c>
      <c r="B30" s="36">
        <v>44721</v>
      </c>
      <c r="C30" s="37">
        <v>1416</v>
      </c>
      <c r="D30" s="35" t="s">
        <v>296</v>
      </c>
      <c r="E30" s="39" t="s">
        <v>297</v>
      </c>
      <c r="F30" s="36">
        <v>44746</v>
      </c>
      <c r="G30" s="37" t="s">
        <v>298</v>
      </c>
      <c r="H30" s="40" t="s">
        <v>139</v>
      </c>
      <c r="I30" s="40" t="s">
        <v>299</v>
      </c>
      <c r="J30" s="41">
        <v>132241909.8</v>
      </c>
      <c r="K30" s="41" t="s">
        <v>300</v>
      </c>
      <c r="L30" s="41" t="s">
        <v>301</v>
      </c>
      <c r="M30" s="41">
        <v>0</v>
      </c>
      <c r="N30" s="42">
        <v>0</v>
      </c>
      <c r="O30" s="43">
        <v>0</v>
      </c>
      <c r="P30" s="41">
        <v>132241909.8</v>
      </c>
      <c r="Q30" s="43">
        <v>0</v>
      </c>
      <c r="R30" s="41">
        <v>48848723</v>
      </c>
      <c r="S30" s="30">
        <v>63519448.299999997</v>
      </c>
      <c r="T30" s="30">
        <v>146912635.09999999</v>
      </c>
      <c r="U30" s="30">
        <f>T30/X30</f>
        <v>2013.55</v>
      </c>
      <c r="V30" s="41">
        <f>T30/X30</f>
        <v>2013.55</v>
      </c>
      <c r="W30" s="41">
        <f>V30*AU30</f>
        <v>8054.2</v>
      </c>
      <c r="X30" s="41">
        <v>72962</v>
      </c>
      <c r="Y30" s="41"/>
      <c r="Z30" s="41">
        <v>31546</v>
      </c>
      <c r="AA30" s="41"/>
      <c r="AB30" s="41">
        <v>26078</v>
      </c>
      <c r="AC30" s="41">
        <f t="shared" si="0"/>
        <v>52509356.899999999</v>
      </c>
      <c r="AD30" s="41">
        <v>5468</v>
      </c>
      <c r="AE30" s="41">
        <f t="shared" si="1"/>
        <v>11010091.4</v>
      </c>
      <c r="AF30" s="41">
        <v>16419</v>
      </c>
      <c r="AG30" s="41">
        <v>16419</v>
      </c>
      <c r="AH30" s="36">
        <v>44986</v>
      </c>
      <c r="AI30" s="36">
        <v>45352</v>
      </c>
      <c r="AJ30" s="36"/>
      <c r="AK30" s="36">
        <v>45000</v>
      </c>
      <c r="AL30" s="36">
        <v>45383</v>
      </c>
      <c r="AM30" s="46"/>
      <c r="AN30" s="40" t="s">
        <v>261</v>
      </c>
      <c r="AO30" s="40" t="s">
        <v>302</v>
      </c>
      <c r="AP30" s="40" t="s">
        <v>263</v>
      </c>
      <c r="AQ30" s="40" t="s">
        <v>264</v>
      </c>
      <c r="AR30" s="48">
        <v>0</v>
      </c>
      <c r="AS30" s="37">
        <v>100</v>
      </c>
      <c r="AT30" s="37" t="s">
        <v>81</v>
      </c>
      <c r="AU30" s="47">
        <v>4</v>
      </c>
      <c r="AV30" s="37" t="s">
        <v>60</v>
      </c>
      <c r="AW30" s="37">
        <v>10</v>
      </c>
      <c r="AX30" s="30">
        <v>13224190.98</v>
      </c>
      <c r="AY30" s="40" t="s">
        <v>61</v>
      </c>
    </row>
    <row r="31" spans="1:51" ht="49.5" customHeight="1" x14ac:dyDescent="0.25">
      <c r="A31" s="44" t="s">
        <v>303</v>
      </c>
      <c r="B31" s="36">
        <v>45044</v>
      </c>
      <c r="C31" s="37">
        <v>1688</v>
      </c>
      <c r="D31" s="35" t="s">
        <v>304</v>
      </c>
      <c r="E31" s="39" t="s">
        <v>305</v>
      </c>
      <c r="F31" s="36">
        <v>45072</v>
      </c>
      <c r="G31" s="37" t="s">
        <v>306</v>
      </c>
      <c r="H31" s="40" t="s">
        <v>307</v>
      </c>
      <c r="I31" s="40" t="s">
        <v>308</v>
      </c>
      <c r="J31" s="41">
        <v>6205835185.9200001</v>
      </c>
      <c r="K31" s="41" t="s">
        <v>309</v>
      </c>
      <c r="L31" s="41" t="s">
        <v>309</v>
      </c>
      <c r="M31" s="41">
        <v>0</v>
      </c>
      <c r="N31" s="42">
        <v>0</v>
      </c>
      <c r="O31" s="43">
        <v>0</v>
      </c>
      <c r="P31" s="41">
        <v>6205835185.9200001</v>
      </c>
      <c r="Q31" s="43">
        <v>3102917592.96</v>
      </c>
      <c r="R31" s="41">
        <v>3102917592.96</v>
      </c>
      <c r="S31" s="30">
        <v>3102917592.96</v>
      </c>
      <c r="T31" s="30">
        <v>6205835185.9200001</v>
      </c>
      <c r="U31" s="30">
        <f>T31/X31</f>
        <v>1137.6600000000001</v>
      </c>
      <c r="V31" s="41">
        <f>T31/X31</f>
        <v>1137.6600000000001</v>
      </c>
      <c r="W31" s="41">
        <f>V31*AU31</f>
        <v>1137.6600000000001</v>
      </c>
      <c r="X31" s="41">
        <v>5454912</v>
      </c>
      <c r="Y31" s="41"/>
      <c r="Z31" s="41"/>
      <c r="AA31" s="41">
        <v>2727456</v>
      </c>
      <c r="AB31" s="41">
        <v>0</v>
      </c>
      <c r="AC31" s="41">
        <f t="shared" si="0"/>
        <v>0</v>
      </c>
      <c r="AD31" s="41">
        <v>0</v>
      </c>
      <c r="AE31" s="41">
        <f t="shared" si="1"/>
        <v>0</v>
      </c>
      <c r="AF31" s="41">
        <v>5454912</v>
      </c>
      <c r="AG31" s="41">
        <v>5454912</v>
      </c>
      <c r="AH31" s="36">
        <v>45107</v>
      </c>
      <c r="AI31" s="36">
        <v>45214</v>
      </c>
      <c r="AJ31" s="36">
        <v>45323</v>
      </c>
      <c r="AK31" s="36">
        <v>45122</v>
      </c>
      <c r="AL31" s="36">
        <v>45229</v>
      </c>
      <c r="AM31" s="46">
        <v>45352</v>
      </c>
      <c r="AN31" s="40" t="s">
        <v>310</v>
      </c>
      <c r="AO31" s="40" t="s">
        <v>311</v>
      </c>
      <c r="AP31" s="40" t="s">
        <v>312</v>
      </c>
      <c r="AQ31" s="40" t="s">
        <v>313</v>
      </c>
      <c r="AR31" s="48">
        <v>0</v>
      </c>
      <c r="AS31" s="37">
        <v>100</v>
      </c>
      <c r="AT31" s="37" t="s">
        <v>314</v>
      </c>
      <c r="AU31" s="47">
        <v>1</v>
      </c>
      <c r="AV31" s="37" t="s">
        <v>60</v>
      </c>
      <c r="AW31" s="37">
        <v>10</v>
      </c>
      <c r="AX31" s="30">
        <v>620583518.59200001</v>
      </c>
      <c r="AY31" s="40" t="s">
        <v>61</v>
      </c>
    </row>
    <row r="32" spans="1:51" ht="53.25" customHeight="1" x14ac:dyDescent="0.25">
      <c r="A32" s="44" t="s">
        <v>315</v>
      </c>
      <c r="B32" s="46">
        <v>45167</v>
      </c>
      <c r="C32" s="40">
        <v>545</v>
      </c>
      <c r="D32" s="35" t="s">
        <v>316</v>
      </c>
      <c r="E32" s="39" t="s">
        <v>317</v>
      </c>
      <c r="F32" s="36">
        <v>45196</v>
      </c>
      <c r="G32" s="37" t="s">
        <v>318</v>
      </c>
      <c r="H32" s="40" t="s">
        <v>319</v>
      </c>
      <c r="I32" s="40" t="s">
        <v>320</v>
      </c>
      <c r="J32" s="54">
        <v>1214876062.4000001</v>
      </c>
      <c r="K32" s="54">
        <v>1214876062.4000001</v>
      </c>
      <c r="L32" s="54">
        <v>0</v>
      </c>
      <c r="M32" s="54">
        <v>0</v>
      </c>
      <c r="N32" s="42">
        <f t="shared" ref="N32:N95" si="2">((J32-P32)/J32)*100</f>
        <v>0</v>
      </c>
      <c r="O32" s="43">
        <f t="shared" ref="O32:O62" si="3">J32-P32</f>
        <v>0</v>
      </c>
      <c r="P32" s="41">
        <v>1214876062.4000001</v>
      </c>
      <c r="Q32" s="43">
        <f t="shared" ref="Q32:Q95" si="4">J32-R32</f>
        <v>0</v>
      </c>
      <c r="R32" s="41">
        <v>1214876062.4000001</v>
      </c>
      <c r="S32" s="30">
        <v>1573611177.5999999</v>
      </c>
      <c r="T32" s="30">
        <f t="shared" ref="T32:T91" si="5">S32</f>
        <v>1573611177.5999999</v>
      </c>
      <c r="U32" s="30">
        <f>T32/X32</f>
        <v>10766.359999999999</v>
      </c>
      <c r="V32" s="41">
        <f>T32/X32</f>
        <v>10766.359999999999</v>
      </c>
      <c r="W32" s="41">
        <f>V32*AU32</f>
        <v>1507290.4</v>
      </c>
      <c r="X32" s="41">
        <v>146160</v>
      </c>
      <c r="Y32" s="41">
        <v>49980</v>
      </c>
      <c r="Z32" s="41">
        <v>96180</v>
      </c>
      <c r="AA32" s="41">
        <v>0</v>
      </c>
      <c r="AB32" s="41"/>
      <c r="AC32" s="41">
        <f t="shared" si="0"/>
        <v>0</v>
      </c>
      <c r="AD32" s="41"/>
      <c r="AE32" s="41">
        <f t="shared" si="1"/>
        <v>0</v>
      </c>
      <c r="AF32" s="41">
        <f>X32/AU32</f>
        <v>1044</v>
      </c>
      <c r="AG32" s="41">
        <f t="shared" ref="AG32:AG91" si="6">_xlfn.CEILING.MATH(AF32)</f>
        <v>1044</v>
      </c>
      <c r="AH32" s="36">
        <v>45300</v>
      </c>
      <c r="AI32" s="36">
        <v>45413</v>
      </c>
      <c r="AJ32" s="36"/>
      <c r="AK32" s="36">
        <v>45315</v>
      </c>
      <c r="AL32" s="36">
        <v>45444</v>
      </c>
      <c r="AM32" s="46"/>
      <c r="AN32" s="40" t="s">
        <v>321</v>
      </c>
      <c r="AO32" s="40" t="s">
        <v>322</v>
      </c>
      <c r="AP32" s="40" t="s">
        <v>323</v>
      </c>
      <c r="AQ32" s="40" t="s">
        <v>146</v>
      </c>
      <c r="AR32" s="48">
        <v>0</v>
      </c>
      <c r="AS32" s="37">
        <v>100</v>
      </c>
      <c r="AT32" s="37" t="s">
        <v>324</v>
      </c>
      <c r="AU32" s="47">
        <v>140</v>
      </c>
      <c r="AV32" s="37" t="s">
        <v>60</v>
      </c>
      <c r="AW32" s="37">
        <v>10</v>
      </c>
      <c r="AX32" s="30">
        <v>121487606.23999999</v>
      </c>
      <c r="AY32" s="40" t="s">
        <v>325</v>
      </c>
    </row>
    <row r="33" spans="1:51" ht="53.25" customHeight="1" x14ac:dyDescent="0.25">
      <c r="A33" s="44" t="s">
        <v>326</v>
      </c>
      <c r="B33" s="46">
        <v>45160</v>
      </c>
      <c r="C33" s="40">
        <v>545</v>
      </c>
      <c r="D33" s="35" t="s">
        <v>327</v>
      </c>
      <c r="E33" s="39" t="s">
        <v>328</v>
      </c>
      <c r="F33" s="36">
        <v>45190</v>
      </c>
      <c r="G33" s="37" t="s">
        <v>329</v>
      </c>
      <c r="H33" s="40" t="s">
        <v>86</v>
      </c>
      <c r="I33" s="40" t="s">
        <v>330</v>
      </c>
      <c r="J33" s="54">
        <v>1916291597.4000001</v>
      </c>
      <c r="K33" s="54">
        <v>1916291597.4000001</v>
      </c>
      <c r="L33" s="54">
        <v>0</v>
      </c>
      <c r="M33" s="54">
        <v>0</v>
      </c>
      <c r="N33" s="42">
        <f t="shared" si="2"/>
        <v>0</v>
      </c>
      <c r="O33" s="43">
        <f t="shared" si="3"/>
        <v>0</v>
      </c>
      <c r="P33" s="41">
        <v>1916291597.4000001</v>
      </c>
      <c r="Q33" s="43">
        <f t="shared" si="4"/>
        <v>0</v>
      </c>
      <c r="R33" s="41">
        <v>1916291597.4000001</v>
      </c>
      <c r="S33" s="30">
        <v>2487576463.3499999</v>
      </c>
      <c r="T33" s="30">
        <f t="shared" si="5"/>
        <v>2487576463.3499999</v>
      </c>
      <c r="U33" s="30">
        <f>T33/X33</f>
        <v>18666.39</v>
      </c>
      <c r="V33" s="41">
        <f>T33/X33</f>
        <v>18666.39</v>
      </c>
      <c r="W33" s="41">
        <f>V33*AU33</f>
        <v>93331.95</v>
      </c>
      <c r="X33" s="41">
        <f>Y33+Z33+AA33</f>
        <v>133265</v>
      </c>
      <c r="Y33" s="41">
        <v>29000</v>
      </c>
      <c r="Z33" s="41">
        <v>48500</v>
      </c>
      <c r="AA33" s="41">
        <v>55765</v>
      </c>
      <c r="AB33" s="41"/>
      <c r="AC33" s="41">
        <f t="shared" si="0"/>
        <v>0</v>
      </c>
      <c r="AD33" s="41"/>
      <c r="AE33" s="41">
        <f t="shared" si="1"/>
        <v>0</v>
      </c>
      <c r="AF33" s="41">
        <f>X33/AU33</f>
        <v>26653</v>
      </c>
      <c r="AG33" s="41">
        <f t="shared" si="6"/>
        <v>26653</v>
      </c>
      <c r="AH33" s="36">
        <v>45300</v>
      </c>
      <c r="AI33" s="36">
        <v>45382</v>
      </c>
      <c r="AJ33" s="36">
        <v>45535</v>
      </c>
      <c r="AK33" s="36">
        <v>45331</v>
      </c>
      <c r="AL33" s="36">
        <v>45413</v>
      </c>
      <c r="AM33" s="46">
        <v>45383</v>
      </c>
      <c r="AN33" s="40" t="s">
        <v>331</v>
      </c>
      <c r="AO33" s="40" t="s">
        <v>332</v>
      </c>
      <c r="AP33" s="40" t="s">
        <v>333</v>
      </c>
      <c r="AQ33" s="40" t="s">
        <v>92</v>
      </c>
      <c r="AR33" s="48">
        <v>0</v>
      </c>
      <c r="AS33" s="37">
        <v>100</v>
      </c>
      <c r="AT33" s="37" t="s">
        <v>81</v>
      </c>
      <c r="AU33" s="47">
        <v>5</v>
      </c>
      <c r="AV33" s="37" t="s">
        <v>60</v>
      </c>
      <c r="AW33" s="37">
        <v>10</v>
      </c>
      <c r="AX33" s="30">
        <v>191629159.74000001</v>
      </c>
      <c r="AY33" s="40" t="s">
        <v>325</v>
      </c>
    </row>
    <row r="34" spans="1:51" ht="53.25" customHeight="1" x14ac:dyDescent="0.25">
      <c r="A34" s="44" t="s">
        <v>334</v>
      </c>
      <c r="B34" s="46">
        <v>45163</v>
      </c>
      <c r="C34" s="40">
        <v>545</v>
      </c>
      <c r="D34" s="35" t="s">
        <v>335</v>
      </c>
      <c r="E34" s="39" t="s">
        <v>336</v>
      </c>
      <c r="F34" s="36">
        <v>45191</v>
      </c>
      <c r="G34" s="37" t="s">
        <v>337</v>
      </c>
      <c r="H34" s="40" t="s">
        <v>86</v>
      </c>
      <c r="I34" s="40" t="s">
        <v>338</v>
      </c>
      <c r="J34" s="54">
        <v>4843869498</v>
      </c>
      <c r="K34" s="54">
        <v>4843869498</v>
      </c>
      <c r="L34" s="54">
        <v>0</v>
      </c>
      <c r="M34" s="54">
        <v>0</v>
      </c>
      <c r="N34" s="42">
        <f t="shared" si="2"/>
        <v>0</v>
      </c>
      <c r="O34" s="43">
        <f t="shared" si="3"/>
        <v>0</v>
      </c>
      <c r="P34" s="41">
        <v>4843869498</v>
      </c>
      <c r="Q34" s="43">
        <f t="shared" si="4"/>
        <v>0</v>
      </c>
      <c r="R34" s="41">
        <v>4843869498</v>
      </c>
      <c r="S34" s="30">
        <v>6296643147.6000004</v>
      </c>
      <c r="T34" s="30">
        <f t="shared" si="5"/>
        <v>6296643147.6000004</v>
      </c>
      <c r="U34" s="30">
        <f>T34/X34</f>
        <v>25813.320000000003</v>
      </c>
      <c r="V34" s="41">
        <f>T34/X34</f>
        <v>25813.320000000003</v>
      </c>
      <c r="W34" s="41">
        <f>V34*AU34</f>
        <v>774399.60000000009</v>
      </c>
      <c r="X34" s="41">
        <v>243930</v>
      </c>
      <c r="Y34" s="41">
        <v>45000</v>
      </c>
      <c r="Z34" s="41">
        <v>198930</v>
      </c>
      <c r="AA34" s="41">
        <v>0</v>
      </c>
      <c r="AB34" s="41"/>
      <c r="AC34" s="41">
        <f t="shared" si="0"/>
        <v>0</v>
      </c>
      <c r="AD34" s="41"/>
      <c r="AE34" s="41">
        <f t="shared" si="1"/>
        <v>0</v>
      </c>
      <c r="AF34" s="41">
        <f>X34/AU34</f>
        <v>8131</v>
      </c>
      <c r="AG34" s="41">
        <f t="shared" si="6"/>
        <v>8131</v>
      </c>
      <c r="AH34" s="36">
        <v>45300</v>
      </c>
      <c r="AI34" s="36">
        <v>45337</v>
      </c>
      <c r="AJ34" s="36"/>
      <c r="AK34" s="36">
        <v>45323</v>
      </c>
      <c r="AL34" s="36">
        <v>45366</v>
      </c>
      <c r="AM34" s="46"/>
      <c r="AN34" s="40" t="s">
        <v>339</v>
      </c>
      <c r="AO34" s="40" t="s">
        <v>340</v>
      </c>
      <c r="AP34" s="40" t="s">
        <v>341</v>
      </c>
      <c r="AQ34" s="40" t="s">
        <v>342</v>
      </c>
      <c r="AR34" s="48">
        <v>0</v>
      </c>
      <c r="AS34" s="37">
        <v>100</v>
      </c>
      <c r="AT34" s="37" t="s">
        <v>343</v>
      </c>
      <c r="AU34" s="47">
        <v>30</v>
      </c>
      <c r="AV34" s="37" t="s">
        <v>60</v>
      </c>
      <c r="AW34" s="37">
        <v>10</v>
      </c>
      <c r="AX34" s="30">
        <v>484386949.80000001</v>
      </c>
      <c r="AY34" s="40" t="s">
        <v>325</v>
      </c>
    </row>
    <row r="35" spans="1:51" ht="53.25" customHeight="1" x14ac:dyDescent="0.25">
      <c r="A35" s="44" t="s">
        <v>344</v>
      </c>
      <c r="B35" s="46">
        <v>45163</v>
      </c>
      <c r="C35" s="40">
        <v>545</v>
      </c>
      <c r="D35" s="35" t="s">
        <v>345</v>
      </c>
      <c r="E35" s="39" t="s">
        <v>346</v>
      </c>
      <c r="F35" s="36">
        <v>45191</v>
      </c>
      <c r="G35" s="37" t="s">
        <v>347</v>
      </c>
      <c r="H35" s="40" t="s">
        <v>139</v>
      </c>
      <c r="I35" s="40" t="s">
        <v>348</v>
      </c>
      <c r="J35" s="54">
        <v>5912667070.5</v>
      </c>
      <c r="K35" s="54">
        <v>5912667070.5</v>
      </c>
      <c r="L35" s="54">
        <v>0</v>
      </c>
      <c r="M35" s="54">
        <v>0</v>
      </c>
      <c r="N35" s="42">
        <f t="shared" si="2"/>
        <v>0</v>
      </c>
      <c r="O35" s="43">
        <f t="shared" si="3"/>
        <v>0</v>
      </c>
      <c r="P35" s="41">
        <v>5912667070.5</v>
      </c>
      <c r="Q35" s="43">
        <f t="shared" si="4"/>
        <v>0</v>
      </c>
      <c r="R35" s="41">
        <v>5912667070.5</v>
      </c>
      <c r="S35" s="30">
        <v>7232381306.5</v>
      </c>
      <c r="T35" s="30">
        <f t="shared" si="5"/>
        <v>7232381306.5</v>
      </c>
      <c r="U35" s="30">
        <f>T35/X35</f>
        <v>868233.05</v>
      </c>
      <c r="V35" s="41">
        <f>T35/X35</f>
        <v>868233.05</v>
      </c>
      <c r="W35" s="41">
        <f>V35*AU35</f>
        <v>4341165.25</v>
      </c>
      <c r="X35" s="41">
        <v>8330</v>
      </c>
      <c r="Y35" s="41">
        <v>8330</v>
      </c>
      <c r="Z35" s="41">
        <v>0</v>
      </c>
      <c r="AA35" s="41">
        <v>0</v>
      </c>
      <c r="AB35" s="41"/>
      <c r="AC35" s="41">
        <f t="shared" si="0"/>
        <v>0</v>
      </c>
      <c r="AD35" s="41"/>
      <c r="AE35" s="41">
        <f t="shared" si="1"/>
        <v>0</v>
      </c>
      <c r="AF35" s="41">
        <f>X35/AU35</f>
        <v>1666</v>
      </c>
      <c r="AG35" s="41">
        <f t="shared" si="6"/>
        <v>1666</v>
      </c>
      <c r="AH35" s="36">
        <v>45300</v>
      </c>
      <c r="AI35" s="36"/>
      <c r="AJ35" s="36"/>
      <c r="AK35" s="36">
        <v>45331</v>
      </c>
      <c r="AL35" s="36"/>
      <c r="AM35" s="46"/>
      <c r="AN35" s="40" t="s">
        <v>349</v>
      </c>
      <c r="AO35" s="40" t="s">
        <v>350</v>
      </c>
      <c r="AP35" s="40" t="s">
        <v>351</v>
      </c>
      <c r="AQ35" s="40" t="s">
        <v>146</v>
      </c>
      <c r="AR35" s="48">
        <v>0</v>
      </c>
      <c r="AS35" s="37">
        <v>100</v>
      </c>
      <c r="AT35" s="37" t="s">
        <v>81</v>
      </c>
      <c r="AU35" s="47">
        <v>5</v>
      </c>
      <c r="AV35" s="37" t="s">
        <v>60</v>
      </c>
      <c r="AW35" s="37">
        <v>10</v>
      </c>
      <c r="AX35" s="30">
        <v>591266707.04999995</v>
      </c>
      <c r="AY35" s="40" t="s">
        <v>95</v>
      </c>
    </row>
    <row r="36" spans="1:51" ht="53.25" customHeight="1" x14ac:dyDescent="0.25">
      <c r="A36" s="44" t="s">
        <v>352</v>
      </c>
      <c r="B36" s="46">
        <v>45163</v>
      </c>
      <c r="C36" s="40">
        <v>545</v>
      </c>
      <c r="D36" s="35" t="s">
        <v>353</v>
      </c>
      <c r="E36" s="39" t="s">
        <v>354</v>
      </c>
      <c r="F36" s="36">
        <v>45191</v>
      </c>
      <c r="G36" s="37" t="s">
        <v>355</v>
      </c>
      <c r="H36" s="40" t="s">
        <v>356</v>
      </c>
      <c r="I36" s="40" t="s">
        <v>357</v>
      </c>
      <c r="J36" s="54">
        <v>6140047413.5</v>
      </c>
      <c r="K36" s="54">
        <v>6140047413.5</v>
      </c>
      <c r="L36" s="54">
        <v>0</v>
      </c>
      <c r="M36" s="54">
        <v>0</v>
      </c>
      <c r="N36" s="42">
        <f t="shared" si="2"/>
        <v>0</v>
      </c>
      <c r="O36" s="43">
        <f t="shared" si="3"/>
        <v>0</v>
      </c>
      <c r="P36" s="41">
        <v>6140047413.5</v>
      </c>
      <c r="Q36" s="43">
        <f t="shared" si="4"/>
        <v>0</v>
      </c>
      <c r="R36" s="41">
        <v>6140047413.5</v>
      </c>
      <c r="S36" s="30">
        <v>7692213028.5</v>
      </c>
      <c r="T36" s="30">
        <f t="shared" si="5"/>
        <v>7692213028.5</v>
      </c>
      <c r="U36" s="30">
        <f>T36/X36</f>
        <v>333082.75</v>
      </c>
      <c r="V36" s="41">
        <f>T36/X36</f>
        <v>333082.75</v>
      </c>
      <c r="W36" s="41">
        <f>V36*AU36</f>
        <v>666165.5</v>
      </c>
      <c r="X36" s="41">
        <v>23094</v>
      </c>
      <c r="Y36" s="41">
        <v>23094</v>
      </c>
      <c r="Z36" s="41">
        <v>0</v>
      </c>
      <c r="AA36" s="41">
        <v>0</v>
      </c>
      <c r="AB36" s="41"/>
      <c r="AC36" s="41">
        <f t="shared" si="0"/>
        <v>0</v>
      </c>
      <c r="AD36" s="41"/>
      <c r="AE36" s="41">
        <f t="shared" si="1"/>
        <v>0</v>
      </c>
      <c r="AF36" s="41">
        <f>X36/AU36</f>
        <v>11547</v>
      </c>
      <c r="AG36" s="41">
        <f t="shared" si="6"/>
        <v>11547</v>
      </c>
      <c r="AH36" s="36">
        <v>45306</v>
      </c>
      <c r="AI36" s="36"/>
      <c r="AJ36" s="36"/>
      <c r="AK36" s="36">
        <v>45337</v>
      </c>
      <c r="AL36" s="36"/>
      <c r="AM36" s="46"/>
      <c r="AN36" s="40" t="s">
        <v>358</v>
      </c>
      <c r="AO36" s="40" t="s">
        <v>359</v>
      </c>
      <c r="AP36" s="40" t="s">
        <v>360</v>
      </c>
      <c r="AQ36" s="40" t="s">
        <v>293</v>
      </c>
      <c r="AR36" s="48">
        <v>0</v>
      </c>
      <c r="AS36" s="37">
        <v>100</v>
      </c>
      <c r="AT36" s="37" t="s">
        <v>343</v>
      </c>
      <c r="AU36" s="47">
        <v>2</v>
      </c>
      <c r="AV36" s="37" t="s">
        <v>60</v>
      </c>
      <c r="AW36" s="37">
        <v>10</v>
      </c>
      <c r="AX36" s="30">
        <v>614004741.35000002</v>
      </c>
      <c r="AY36" s="40" t="s">
        <v>95</v>
      </c>
    </row>
    <row r="37" spans="1:51" ht="53.25" customHeight="1" x14ac:dyDescent="0.25">
      <c r="A37" s="44" t="s">
        <v>361</v>
      </c>
      <c r="B37" s="46">
        <v>45163</v>
      </c>
      <c r="C37" s="40">
        <v>545</v>
      </c>
      <c r="D37" s="35" t="s">
        <v>362</v>
      </c>
      <c r="E37" s="39" t="s">
        <v>363</v>
      </c>
      <c r="F37" s="36">
        <v>45191</v>
      </c>
      <c r="G37" s="37" t="s">
        <v>364</v>
      </c>
      <c r="H37" s="40" t="s">
        <v>86</v>
      </c>
      <c r="I37" s="40" t="s">
        <v>365</v>
      </c>
      <c r="J37" s="54">
        <v>931850515.20000005</v>
      </c>
      <c r="K37" s="54">
        <v>931850515.20000005</v>
      </c>
      <c r="L37" s="54">
        <v>0</v>
      </c>
      <c r="M37" s="54">
        <v>0</v>
      </c>
      <c r="N37" s="42">
        <f t="shared" si="2"/>
        <v>0</v>
      </c>
      <c r="O37" s="43">
        <f t="shared" si="3"/>
        <v>0</v>
      </c>
      <c r="P37" s="41">
        <v>931850515.20000005</v>
      </c>
      <c r="Q37" s="43">
        <f t="shared" si="4"/>
        <v>0</v>
      </c>
      <c r="R37" s="41">
        <v>931850515.20000005</v>
      </c>
      <c r="S37" s="30">
        <v>1193006073.5999999</v>
      </c>
      <c r="T37" s="30">
        <f t="shared" si="5"/>
        <v>1193006073.5999999</v>
      </c>
      <c r="U37" s="30">
        <f>T37/X37</f>
        <v>618266</v>
      </c>
      <c r="V37" s="41">
        <f>T37/X37</f>
        <v>618266</v>
      </c>
      <c r="W37" s="41">
        <f>V37*AU37</f>
        <v>5935353.5999999996</v>
      </c>
      <c r="X37" s="41">
        <v>1929.6</v>
      </c>
      <c r="Y37" s="41">
        <v>1929.6</v>
      </c>
      <c r="Z37" s="41">
        <v>0</v>
      </c>
      <c r="AA37" s="41">
        <v>0</v>
      </c>
      <c r="AB37" s="41"/>
      <c r="AC37" s="41">
        <f t="shared" si="0"/>
        <v>0</v>
      </c>
      <c r="AD37" s="41"/>
      <c r="AE37" s="41">
        <f t="shared" si="1"/>
        <v>0</v>
      </c>
      <c r="AF37" s="41">
        <f>X37/AU37</f>
        <v>201</v>
      </c>
      <c r="AG37" s="41">
        <f t="shared" si="6"/>
        <v>201</v>
      </c>
      <c r="AH37" s="36">
        <v>45322</v>
      </c>
      <c r="AI37" s="36"/>
      <c r="AJ37" s="36"/>
      <c r="AK37" s="36">
        <v>45352</v>
      </c>
      <c r="AL37" s="36"/>
      <c r="AM37" s="46"/>
      <c r="AN37" s="40" t="s">
        <v>366</v>
      </c>
      <c r="AO37" s="40" t="s">
        <v>367</v>
      </c>
      <c r="AP37" s="40" t="s">
        <v>368</v>
      </c>
      <c r="AQ37" s="40" t="s">
        <v>58</v>
      </c>
      <c r="AR37" s="48">
        <v>0</v>
      </c>
      <c r="AS37" s="37">
        <v>100</v>
      </c>
      <c r="AT37" s="37" t="s">
        <v>81</v>
      </c>
      <c r="AU37" s="52">
        <v>9.6</v>
      </c>
      <c r="AV37" s="37" t="s">
        <v>60</v>
      </c>
      <c r="AW37" s="37">
        <v>10</v>
      </c>
      <c r="AX37" s="30">
        <v>93185051.519999996</v>
      </c>
      <c r="AY37" s="40" t="s">
        <v>95</v>
      </c>
    </row>
    <row r="38" spans="1:51" ht="53.25" customHeight="1" x14ac:dyDescent="0.25">
      <c r="A38" s="44" t="s">
        <v>369</v>
      </c>
      <c r="B38" s="46">
        <v>45167</v>
      </c>
      <c r="C38" s="40">
        <v>545</v>
      </c>
      <c r="D38" s="35" t="s">
        <v>370</v>
      </c>
      <c r="E38" s="39" t="s">
        <v>371</v>
      </c>
      <c r="F38" s="36">
        <v>45198</v>
      </c>
      <c r="G38" s="37" t="s">
        <v>372</v>
      </c>
      <c r="H38" s="40" t="s">
        <v>86</v>
      </c>
      <c r="I38" s="40" t="s">
        <v>373</v>
      </c>
      <c r="J38" s="54">
        <v>332379801.60000002</v>
      </c>
      <c r="K38" s="54">
        <v>332379801.60000002</v>
      </c>
      <c r="L38" s="54">
        <v>0</v>
      </c>
      <c r="M38" s="54">
        <v>0</v>
      </c>
      <c r="N38" s="42">
        <f t="shared" si="2"/>
        <v>0</v>
      </c>
      <c r="O38" s="43">
        <f t="shared" si="3"/>
        <v>0</v>
      </c>
      <c r="P38" s="41">
        <v>332379801.60000002</v>
      </c>
      <c r="Q38" s="43">
        <f t="shared" si="4"/>
        <v>0</v>
      </c>
      <c r="R38" s="41">
        <v>332379801.60000002</v>
      </c>
      <c r="S38" s="30">
        <v>430313136</v>
      </c>
      <c r="T38" s="30">
        <f t="shared" si="5"/>
        <v>430313136</v>
      </c>
      <c r="U38" s="30">
        <f>T38/X38</f>
        <v>247306.4</v>
      </c>
      <c r="V38" s="41">
        <f>T38/X38</f>
        <v>247306.4</v>
      </c>
      <c r="W38" s="41">
        <f>V38*AU38</f>
        <v>2967676.8</v>
      </c>
      <c r="X38" s="41">
        <v>1740</v>
      </c>
      <c r="Y38" s="41">
        <v>468</v>
      </c>
      <c r="Z38" s="41">
        <v>1272</v>
      </c>
      <c r="AA38" s="41">
        <v>0</v>
      </c>
      <c r="AB38" s="41"/>
      <c r="AC38" s="41">
        <f t="shared" si="0"/>
        <v>0</v>
      </c>
      <c r="AD38" s="41"/>
      <c r="AE38" s="41">
        <f t="shared" si="1"/>
        <v>0</v>
      </c>
      <c r="AF38" s="41">
        <f>X38/AU38</f>
        <v>145</v>
      </c>
      <c r="AG38" s="41">
        <f t="shared" si="6"/>
        <v>145</v>
      </c>
      <c r="AH38" s="36">
        <v>45300</v>
      </c>
      <c r="AI38" s="36">
        <v>45322</v>
      </c>
      <c r="AJ38" s="36"/>
      <c r="AK38" s="36">
        <v>45331</v>
      </c>
      <c r="AL38" s="36">
        <v>45352</v>
      </c>
      <c r="AM38" s="46"/>
      <c r="AN38" s="40" t="s">
        <v>374</v>
      </c>
      <c r="AO38" s="40" t="s">
        <v>375</v>
      </c>
      <c r="AP38" s="40" t="s">
        <v>376</v>
      </c>
      <c r="AQ38" s="40" t="s">
        <v>58</v>
      </c>
      <c r="AR38" s="48">
        <v>0</v>
      </c>
      <c r="AS38" s="37">
        <v>100</v>
      </c>
      <c r="AT38" s="37" t="s">
        <v>81</v>
      </c>
      <c r="AU38" s="47">
        <v>12</v>
      </c>
      <c r="AV38" s="37" t="s">
        <v>60</v>
      </c>
      <c r="AW38" s="37">
        <v>10</v>
      </c>
      <c r="AX38" s="30">
        <v>33237980.16</v>
      </c>
      <c r="AY38" s="40" t="s">
        <v>95</v>
      </c>
    </row>
    <row r="39" spans="1:51" ht="53.25" customHeight="1" x14ac:dyDescent="0.25">
      <c r="A39" s="44" t="s">
        <v>377</v>
      </c>
      <c r="B39" s="46">
        <v>45166</v>
      </c>
      <c r="C39" s="40">
        <v>545</v>
      </c>
      <c r="D39" s="35" t="s">
        <v>378</v>
      </c>
      <c r="E39" s="39" t="s">
        <v>379</v>
      </c>
      <c r="F39" s="36">
        <v>45201</v>
      </c>
      <c r="G39" s="37" t="s">
        <v>380</v>
      </c>
      <c r="H39" s="40" t="s">
        <v>86</v>
      </c>
      <c r="I39" s="40" t="s">
        <v>381</v>
      </c>
      <c r="J39" s="54">
        <v>689040000</v>
      </c>
      <c r="K39" s="54">
        <v>689040000</v>
      </c>
      <c r="L39" s="54">
        <v>0</v>
      </c>
      <c r="M39" s="54">
        <v>0</v>
      </c>
      <c r="N39" s="42">
        <f t="shared" si="2"/>
        <v>0</v>
      </c>
      <c r="O39" s="43">
        <f t="shared" si="3"/>
        <v>0</v>
      </c>
      <c r="P39" s="41">
        <v>689040000</v>
      </c>
      <c r="Q39" s="43">
        <f t="shared" si="4"/>
        <v>0</v>
      </c>
      <c r="R39" s="41">
        <v>689040000</v>
      </c>
      <c r="S39" s="30">
        <v>895752000</v>
      </c>
      <c r="T39" s="30">
        <f t="shared" si="5"/>
        <v>895752000</v>
      </c>
      <c r="U39" s="30">
        <f>T39/X39</f>
        <v>15950</v>
      </c>
      <c r="V39" s="41">
        <f>T39/X39</f>
        <v>15950</v>
      </c>
      <c r="W39" s="41">
        <f>V39*AU39</f>
        <v>957000</v>
      </c>
      <c r="X39" s="41">
        <v>56160</v>
      </c>
      <c r="Y39" s="41">
        <v>56160</v>
      </c>
      <c r="Z39" s="41">
        <v>0</v>
      </c>
      <c r="AA39" s="41">
        <v>0</v>
      </c>
      <c r="AB39" s="41"/>
      <c r="AC39" s="41">
        <f t="shared" si="0"/>
        <v>0</v>
      </c>
      <c r="AD39" s="41"/>
      <c r="AE39" s="41">
        <f t="shared" si="1"/>
        <v>0</v>
      </c>
      <c r="AF39" s="41">
        <f>X39/AU39</f>
        <v>936</v>
      </c>
      <c r="AG39" s="41">
        <f t="shared" si="6"/>
        <v>936</v>
      </c>
      <c r="AH39" s="36">
        <v>45322</v>
      </c>
      <c r="AI39" s="36"/>
      <c r="AJ39" s="36"/>
      <c r="AK39" s="36">
        <v>45352</v>
      </c>
      <c r="AL39" s="36"/>
      <c r="AM39" s="46"/>
      <c r="AN39" s="40" t="s">
        <v>382</v>
      </c>
      <c r="AO39" s="40" t="s">
        <v>383</v>
      </c>
      <c r="AP39" s="40" t="s">
        <v>384</v>
      </c>
      <c r="AQ39" s="40" t="s">
        <v>385</v>
      </c>
      <c r="AR39" s="48">
        <v>0</v>
      </c>
      <c r="AS39" s="37">
        <v>100</v>
      </c>
      <c r="AT39" s="37" t="s">
        <v>386</v>
      </c>
      <c r="AU39" s="47">
        <v>60</v>
      </c>
      <c r="AV39" s="37" t="s">
        <v>60</v>
      </c>
      <c r="AW39" s="37">
        <v>10</v>
      </c>
      <c r="AX39" s="30">
        <v>68904000</v>
      </c>
      <c r="AY39" s="40" t="s">
        <v>95</v>
      </c>
    </row>
    <row r="40" spans="1:51" ht="43.5" customHeight="1" x14ac:dyDescent="0.25">
      <c r="A40" s="44" t="s">
        <v>387</v>
      </c>
      <c r="B40" s="46">
        <v>45167</v>
      </c>
      <c r="C40" s="40">
        <v>545</v>
      </c>
      <c r="D40" s="35" t="s">
        <v>388</v>
      </c>
      <c r="E40" s="39" t="s">
        <v>389</v>
      </c>
      <c r="F40" s="36">
        <v>45198</v>
      </c>
      <c r="G40" s="37" t="s">
        <v>390</v>
      </c>
      <c r="H40" s="40" t="s">
        <v>86</v>
      </c>
      <c r="I40" s="40" t="s">
        <v>391</v>
      </c>
      <c r="J40" s="54">
        <v>323280775.83999997</v>
      </c>
      <c r="K40" s="54">
        <v>323280775.83999997</v>
      </c>
      <c r="L40" s="54">
        <v>0</v>
      </c>
      <c r="M40" s="54">
        <v>0</v>
      </c>
      <c r="N40" s="42">
        <f t="shared" si="2"/>
        <v>0</v>
      </c>
      <c r="O40" s="43">
        <f t="shared" si="3"/>
        <v>0</v>
      </c>
      <c r="P40" s="41">
        <v>323280775.83999997</v>
      </c>
      <c r="Q40" s="43">
        <f t="shared" si="4"/>
        <v>0</v>
      </c>
      <c r="R40" s="41">
        <v>323280775.83999997</v>
      </c>
      <c r="S40" s="30">
        <v>419765947.36000001</v>
      </c>
      <c r="T40" s="30">
        <f t="shared" si="5"/>
        <v>419765947.36000001</v>
      </c>
      <c r="U40" s="30">
        <f>T40/X40</f>
        <v>554512.48</v>
      </c>
      <c r="V40" s="41">
        <f>T40/X40</f>
        <v>554512.48</v>
      </c>
      <c r="W40" s="41">
        <f>V40*AU40</f>
        <v>554512.48</v>
      </c>
      <c r="X40" s="41">
        <v>757</v>
      </c>
      <c r="Y40" s="41">
        <v>757</v>
      </c>
      <c r="Z40" s="41">
        <v>0</v>
      </c>
      <c r="AA40" s="41">
        <v>0</v>
      </c>
      <c r="AB40" s="41"/>
      <c r="AC40" s="41">
        <f t="shared" si="0"/>
        <v>0</v>
      </c>
      <c r="AD40" s="41"/>
      <c r="AE40" s="41">
        <f t="shared" si="1"/>
        <v>0</v>
      </c>
      <c r="AF40" s="41">
        <f>X40/AU40</f>
        <v>757</v>
      </c>
      <c r="AG40" s="41">
        <f t="shared" si="6"/>
        <v>757</v>
      </c>
      <c r="AH40" s="36">
        <v>45300</v>
      </c>
      <c r="AI40" s="36"/>
      <c r="AJ40" s="36"/>
      <c r="AK40" s="36">
        <v>45331</v>
      </c>
      <c r="AL40" s="36"/>
      <c r="AM40" s="46"/>
      <c r="AN40" s="40" t="s">
        <v>290</v>
      </c>
      <c r="AO40" s="40" t="s">
        <v>392</v>
      </c>
      <c r="AP40" s="40" t="s">
        <v>292</v>
      </c>
      <c r="AQ40" s="40" t="s">
        <v>293</v>
      </c>
      <c r="AR40" s="48">
        <v>0</v>
      </c>
      <c r="AS40" s="37">
        <v>100</v>
      </c>
      <c r="AT40" s="37" t="s">
        <v>81</v>
      </c>
      <c r="AU40" s="47">
        <v>1</v>
      </c>
      <c r="AV40" s="37" t="s">
        <v>60</v>
      </c>
      <c r="AW40" s="37">
        <v>10</v>
      </c>
      <c r="AX40" s="30">
        <v>32328077.583999995</v>
      </c>
      <c r="AY40" s="40" t="s">
        <v>95</v>
      </c>
    </row>
    <row r="41" spans="1:51" ht="43.5" customHeight="1" x14ac:dyDescent="0.25">
      <c r="A41" s="44" t="s">
        <v>393</v>
      </c>
      <c r="B41" s="46">
        <v>45167</v>
      </c>
      <c r="C41" s="40">
        <v>545</v>
      </c>
      <c r="D41" s="35" t="s">
        <v>394</v>
      </c>
      <c r="E41" s="39" t="s">
        <v>395</v>
      </c>
      <c r="F41" s="36">
        <v>45198</v>
      </c>
      <c r="G41" s="37" t="s">
        <v>396</v>
      </c>
      <c r="H41" s="40" t="s">
        <v>86</v>
      </c>
      <c r="I41" s="40" t="s">
        <v>397</v>
      </c>
      <c r="J41" s="54">
        <v>1035540624</v>
      </c>
      <c r="K41" s="54">
        <v>1035540624</v>
      </c>
      <c r="L41" s="54">
        <v>0</v>
      </c>
      <c r="M41" s="54">
        <v>0</v>
      </c>
      <c r="N41" s="42">
        <f t="shared" si="2"/>
        <v>0</v>
      </c>
      <c r="O41" s="43">
        <f t="shared" si="3"/>
        <v>0</v>
      </c>
      <c r="P41" s="41">
        <v>1035540624</v>
      </c>
      <c r="Q41" s="43">
        <f t="shared" si="4"/>
        <v>0</v>
      </c>
      <c r="R41" s="41">
        <v>1035540624</v>
      </c>
      <c r="S41" s="30">
        <v>1231300358.4000001</v>
      </c>
      <c r="T41" s="30">
        <f t="shared" si="5"/>
        <v>1231300358.4000001</v>
      </c>
      <c r="U41" s="30">
        <f>T41/X41</f>
        <v>47284.960000000006</v>
      </c>
      <c r="V41" s="41">
        <f>T41/X41</f>
        <v>47284.960000000006</v>
      </c>
      <c r="W41" s="41">
        <f>V41*AU41</f>
        <v>472849.60000000009</v>
      </c>
      <c r="X41" s="41">
        <v>26040</v>
      </c>
      <c r="Y41" s="41">
        <v>26040</v>
      </c>
      <c r="Z41" s="41">
        <v>0</v>
      </c>
      <c r="AA41" s="41">
        <v>0</v>
      </c>
      <c r="AB41" s="41"/>
      <c r="AC41" s="41">
        <f t="shared" si="0"/>
        <v>0</v>
      </c>
      <c r="AD41" s="41"/>
      <c r="AE41" s="41">
        <f t="shared" si="1"/>
        <v>0</v>
      </c>
      <c r="AF41" s="41">
        <f>X41/AU41</f>
        <v>2604</v>
      </c>
      <c r="AG41" s="41">
        <f t="shared" si="6"/>
        <v>2604</v>
      </c>
      <c r="AH41" s="36">
        <v>45322</v>
      </c>
      <c r="AI41" s="36"/>
      <c r="AJ41" s="36"/>
      <c r="AK41" s="36">
        <v>45352</v>
      </c>
      <c r="AL41" s="36"/>
      <c r="AM41" s="46"/>
      <c r="AN41" s="40" t="s">
        <v>398</v>
      </c>
      <c r="AO41" s="40" t="s">
        <v>399</v>
      </c>
      <c r="AP41" s="40" t="s">
        <v>400</v>
      </c>
      <c r="AQ41" s="40" t="s">
        <v>401</v>
      </c>
      <c r="AR41" s="48">
        <v>0</v>
      </c>
      <c r="AS41" s="37">
        <v>100</v>
      </c>
      <c r="AT41" s="37" t="s">
        <v>81</v>
      </c>
      <c r="AU41" s="47">
        <v>10</v>
      </c>
      <c r="AV41" s="37" t="s">
        <v>60</v>
      </c>
      <c r="AW41" s="37">
        <v>10</v>
      </c>
      <c r="AX41" s="30">
        <v>103554062.40000001</v>
      </c>
      <c r="AY41" s="40" t="s">
        <v>402</v>
      </c>
    </row>
    <row r="42" spans="1:51" ht="50.25" customHeight="1" x14ac:dyDescent="0.25">
      <c r="A42" s="44" t="s">
        <v>403</v>
      </c>
      <c r="B42" s="36">
        <v>45170</v>
      </c>
      <c r="C42" s="40">
        <v>545</v>
      </c>
      <c r="D42" s="35" t="s">
        <v>404</v>
      </c>
      <c r="E42" s="39" t="s">
        <v>405</v>
      </c>
      <c r="F42" s="36">
        <v>45203</v>
      </c>
      <c r="G42" s="37" t="s">
        <v>406</v>
      </c>
      <c r="H42" s="40" t="s">
        <v>86</v>
      </c>
      <c r="I42" s="40" t="s">
        <v>407</v>
      </c>
      <c r="J42" s="41">
        <v>1882610400</v>
      </c>
      <c r="K42" s="41">
        <v>1882610400</v>
      </c>
      <c r="L42" s="54">
        <v>0</v>
      </c>
      <c r="M42" s="54">
        <v>0</v>
      </c>
      <c r="N42" s="42">
        <f t="shared" si="2"/>
        <v>0</v>
      </c>
      <c r="O42" s="43">
        <f t="shared" si="3"/>
        <v>0</v>
      </c>
      <c r="P42" s="41">
        <v>1882610400</v>
      </c>
      <c r="Q42" s="43">
        <f t="shared" si="4"/>
        <v>0</v>
      </c>
      <c r="R42" s="41">
        <v>1882610400</v>
      </c>
      <c r="S42" s="30">
        <v>2447240400</v>
      </c>
      <c r="T42" s="30">
        <f t="shared" si="5"/>
        <v>2447240400</v>
      </c>
      <c r="U42" s="30">
        <f>T42/X42</f>
        <v>6380</v>
      </c>
      <c r="V42" s="41">
        <f>T42/X42</f>
        <v>6380</v>
      </c>
      <c r="W42" s="41">
        <f>V42*AU42</f>
        <v>382800</v>
      </c>
      <c r="X42" s="41">
        <v>383580</v>
      </c>
      <c r="Y42" s="41">
        <v>383580</v>
      </c>
      <c r="Z42" s="41">
        <v>0</v>
      </c>
      <c r="AA42" s="41">
        <v>0</v>
      </c>
      <c r="AB42" s="41"/>
      <c r="AC42" s="41">
        <f t="shared" si="0"/>
        <v>0</v>
      </c>
      <c r="AD42" s="41"/>
      <c r="AE42" s="41">
        <f t="shared" si="1"/>
        <v>0</v>
      </c>
      <c r="AF42" s="41">
        <f>X42/AU42</f>
        <v>6393</v>
      </c>
      <c r="AG42" s="41">
        <f t="shared" si="6"/>
        <v>6393</v>
      </c>
      <c r="AH42" s="36">
        <v>45322</v>
      </c>
      <c r="AI42" s="36"/>
      <c r="AJ42" s="36"/>
      <c r="AK42" s="36">
        <v>45352</v>
      </c>
      <c r="AL42" s="36"/>
      <c r="AM42" s="46"/>
      <c r="AN42" s="40" t="s">
        <v>382</v>
      </c>
      <c r="AO42" s="40" t="s">
        <v>408</v>
      </c>
      <c r="AP42" s="40" t="s">
        <v>384</v>
      </c>
      <c r="AQ42" s="40" t="s">
        <v>385</v>
      </c>
      <c r="AR42" s="48">
        <v>0</v>
      </c>
      <c r="AS42" s="37">
        <v>100</v>
      </c>
      <c r="AT42" s="37" t="s">
        <v>386</v>
      </c>
      <c r="AU42" s="47">
        <v>60</v>
      </c>
      <c r="AV42" s="37" t="s">
        <v>60</v>
      </c>
      <c r="AW42" s="37">
        <v>10</v>
      </c>
      <c r="AX42" s="30">
        <v>188261040</v>
      </c>
      <c r="AY42" s="40" t="s">
        <v>95</v>
      </c>
    </row>
    <row r="43" spans="1:51" ht="50.25" customHeight="1" x14ac:dyDescent="0.25">
      <c r="A43" s="44" t="s">
        <v>409</v>
      </c>
      <c r="B43" s="36">
        <v>45170</v>
      </c>
      <c r="C43" s="40">
        <v>545</v>
      </c>
      <c r="D43" s="35" t="s">
        <v>410</v>
      </c>
      <c r="E43" s="39" t="s">
        <v>411</v>
      </c>
      <c r="F43" s="36">
        <v>45202</v>
      </c>
      <c r="G43" s="37" t="s">
        <v>412</v>
      </c>
      <c r="H43" s="40" t="s">
        <v>86</v>
      </c>
      <c r="I43" s="40" t="s">
        <v>413</v>
      </c>
      <c r="J43" s="41">
        <v>789501921.45000005</v>
      </c>
      <c r="K43" s="41">
        <v>789501921.45000005</v>
      </c>
      <c r="L43" s="54">
        <v>0</v>
      </c>
      <c r="M43" s="54">
        <v>0</v>
      </c>
      <c r="N43" s="42">
        <f t="shared" si="2"/>
        <v>0</v>
      </c>
      <c r="O43" s="43">
        <f t="shared" si="3"/>
        <v>0</v>
      </c>
      <c r="P43" s="41">
        <v>789501921.45000005</v>
      </c>
      <c r="Q43" s="43">
        <f t="shared" si="4"/>
        <v>0</v>
      </c>
      <c r="R43" s="41">
        <v>789501921.45000005</v>
      </c>
      <c r="S43" s="30">
        <v>1023758254.2</v>
      </c>
      <c r="T43" s="30">
        <f t="shared" si="5"/>
        <v>1023758254.2</v>
      </c>
      <c r="U43" s="30">
        <f>T43/X43</f>
        <v>25813.370000000003</v>
      </c>
      <c r="V43" s="41">
        <f>T43/X43</f>
        <v>25813.370000000003</v>
      </c>
      <c r="W43" s="41">
        <f>V43*AU43</f>
        <v>387200.55000000005</v>
      </c>
      <c r="X43" s="41">
        <v>39660</v>
      </c>
      <c r="Y43" s="41">
        <v>25005</v>
      </c>
      <c r="Z43" s="41">
        <v>14655</v>
      </c>
      <c r="AA43" s="41">
        <v>0</v>
      </c>
      <c r="AB43" s="41"/>
      <c r="AC43" s="41">
        <f t="shared" si="0"/>
        <v>0</v>
      </c>
      <c r="AD43" s="41"/>
      <c r="AE43" s="41">
        <f t="shared" si="1"/>
        <v>0</v>
      </c>
      <c r="AF43" s="41">
        <f>X43/AU43</f>
        <v>2644</v>
      </c>
      <c r="AG43" s="41">
        <f t="shared" si="6"/>
        <v>2644</v>
      </c>
      <c r="AH43" s="36">
        <v>45300</v>
      </c>
      <c r="AI43" s="36">
        <v>45337</v>
      </c>
      <c r="AJ43" s="36"/>
      <c r="AK43" s="36">
        <v>45331</v>
      </c>
      <c r="AL43" s="36">
        <v>45366</v>
      </c>
      <c r="AM43" s="46"/>
      <c r="AN43" s="40" t="s">
        <v>339</v>
      </c>
      <c r="AO43" s="40" t="s">
        <v>414</v>
      </c>
      <c r="AP43" s="40" t="s">
        <v>415</v>
      </c>
      <c r="AQ43" s="40" t="s">
        <v>342</v>
      </c>
      <c r="AR43" s="48">
        <v>0</v>
      </c>
      <c r="AS43" s="37">
        <v>100</v>
      </c>
      <c r="AT43" s="37" t="s">
        <v>343</v>
      </c>
      <c r="AU43" s="47">
        <v>15</v>
      </c>
      <c r="AV43" s="37" t="s">
        <v>60</v>
      </c>
      <c r="AW43" s="37">
        <v>10</v>
      </c>
      <c r="AX43" s="30">
        <v>78950192.144999996</v>
      </c>
      <c r="AY43" s="40" t="s">
        <v>325</v>
      </c>
    </row>
    <row r="44" spans="1:51" ht="50.25" customHeight="1" x14ac:dyDescent="0.25">
      <c r="A44" s="44" t="s">
        <v>416</v>
      </c>
      <c r="B44" s="36">
        <v>45170</v>
      </c>
      <c r="C44" s="40">
        <v>545</v>
      </c>
      <c r="D44" s="35" t="s">
        <v>417</v>
      </c>
      <c r="E44" s="39" t="s">
        <v>418</v>
      </c>
      <c r="F44" s="36">
        <v>45201</v>
      </c>
      <c r="G44" s="37" t="s">
        <v>419</v>
      </c>
      <c r="H44" s="40" t="s">
        <v>86</v>
      </c>
      <c r="I44" s="40" t="s">
        <v>420</v>
      </c>
      <c r="J44" s="41">
        <v>653594528.39999998</v>
      </c>
      <c r="K44" s="41">
        <v>653594528.39999998</v>
      </c>
      <c r="L44" s="54">
        <v>0</v>
      </c>
      <c r="M44" s="54">
        <v>0</v>
      </c>
      <c r="N44" s="42">
        <f t="shared" si="2"/>
        <v>0</v>
      </c>
      <c r="O44" s="43">
        <f t="shared" si="3"/>
        <v>0</v>
      </c>
      <c r="P44" s="41">
        <v>653594528.39999998</v>
      </c>
      <c r="Q44" s="43">
        <f t="shared" si="4"/>
        <v>0</v>
      </c>
      <c r="R44" s="41">
        <v>653594528.39999998</v>
      </c>
      <c r="S44" s="30">
        <v>848743605.60000002</v>
      </c>
      <c r="T44" s="30">
        <f t="shared" si="5"/>
        <v>848743605.60000002</v>
      </c>
      <c r="U44" s="30">
        <f>T44/X44</f>
        <v>25813.37</v>
      </c>
      <c r="V44" s="41">
        <f>T44/X44</f>
        <v>25813.37</v>
      </c>
      <c r="W44" s="41">
        <f>V44*AU44</f>
        <v>3097604.4</v>
      </c>
      <c r="X44" s="41">
        <v>32880</v>
      </c>
      <c r="Y44" s="41">
        <v>12960</v>
      </c>
      <c r="Z44" s="41">
        <v>19920</v>
      </c>
      <c r="AA44" s="41">
        <v>0</v>
      </c>
      <c r="AB44" s="41"/>
      <c r="AC44" s="41">
        <f t="shared" si="0"/>
        <v>0</v>
      </c>
      <c r="AD44" s="41"/>
      <c r="AE44" s="41">
        <f t="shared" si="1"/>
        <v>0</v>
      </c>
      <c r="AF44" s="41">
        <f>X44/AU44</f>
        <v>274</v>
      </c>
      <c r="AG44" s="41">
        <f t="shared" si="6"/>
        <v>274</v>
      </c>
      <c r="AH44" s="36">
        <v>45300</v>
      </c>
      <c r="AI44" s="36">
        <v>45382</v>
      </c>
      <c r="AJ44" s="36"/>
      <c r="AK44" s="36">
        <v>45331</v>
      </c>
      <c r="AL44" s="36">
        <v>45413</v>
      </c>
      <c r="AM44" s="46"/>
      <c r="AN44" s="40" t="s">
        <v>339</v>
      </c>
      <c r="AO44" s="40" t="s">
        <v>421</v>
      </c>
      <c r="AP44" s="40" t="s">
        <v>341</v>
      </c>
      <c r="AQ44" s="40" t="s">
        <v>342</v>
      </c>
      <c r="AR44" s="48">
        <v>0</v>
      </c>
      <c r="AS44" s="37">
        <v>100</v>
      </c>
      <c r="AT44" s="37" t="s">
        <v>343</v>
      </c>
      <c r="AU44" s="47">
        <v>120</v>
      </c>
      <c r="AV44" s="37" t="s">
        <v>60</v>
      </c>
      <c r="AW44" s="37">
        <v>10</v>
      </c>
      <c r="AX44" s="30">
        <v>65359452.840000004</v>
      </c>
      <c r="AY44" s="40" t="s">
        <v>325</v>
      </c>
    </row>
    <row r="45" spans="1:51" ht="50.25" customHeight="1" x14ac:dyDescent="0.25">
      <c r="A45" s="44" t="s">
        <v>422</v>
      </c>
      <c r="B45" s="36">
        <v>45173</v>
      </c>
      <c r="C45" s="40">
        <v>545</v>
      </c>
      <c r="D45" s="35" t="s">
        <v>423</v>
      </c>
      <c r="E45" s="39" t="s">
        <v>424</v>
      </c>
      <c r="F45" s="36">
        <v>45194</v>
      </c>
      <c r="G45" s="37" t="s">
        <v>425</v>
      </c>
      <c r="H45" s="40" t="s">
        <v>269</v>
      </c>
      <c r="I45" s="40" t="s">
        <v>426</v>
      </c>
      <c r="J45" s="41">
        <v>21558787.800000001</v>
      </c>
      <c r="K45" s="41">
        <v>21558787.800000001</v>
      </c>
      <c r="L45" s="54">
        <v>0</v>
      </c>
      <c r="M45" s="54">
        <v>0</v>
      </c>
      <c r="N45" s="42">
        <f t="shared" si="2"/>
        <v>0</v>
      </c>
      <c r="O45" s="43">
        <f t="shared" si="3"/>
        <v>0</v>
      </c>
      <c r="P45" s="41">
        <v>21558787.800000001</v>
      </c>
      <c r="Q45" s="43">
        <f t="shared" si="4"/>
        <v>0</v>
      </c>
      <c r="R45" s="41">
        <v>21558787.800000001</v>
      </c>
      <c r="S45" s="30">
        <v>27616629</v>
      </c>
      <c r="T45" s="30">
        <f t="shared" si="5"/>
        <v>27616629</v>
      </c>
      <c r="U45" s="30">
        <f>T45/X45</f>
        <v>2969.53</v>
      </c>
      <c r="V45" s="41">
        <f>T45/X45</f>
        <v>2969.53</v>
      </c>
      <c r="W45" s="41">
        <f>V45*AU45</f>
        <v>178171.80000000002</v>
      </c>
      <c r="X45" s="41">
        <v>9300</v>
      </c>
      <c r="Y45" s="41">
        <v>9300</v>
      </c>
      <c r="Z45" s="41">
        <v>0</v>
      </c>
      <c r="AA45" s="41">
        <v>0</v>
      </c>
      <c r="AB45" s="41"/>
      <c r="AC45" s="41">
        <f t="shared" si="0"/>
        <v>0</v>
      </c>
      <c r="AD45" s="41"/>
      <c r="AE45" s="41">
        <f t="shared" si="1"/>
        <v>0</v>
      </c>
      <c r="AF45" s="41">
        <f>X45/AU45</f>
        <v>155</v>
      </c>
      <c r="AG45" s="41">
        <f t="shared" si="6"/>
        <v>155</v>
      </c>
      <c r="AH45" s="36">
        <v>45300</v>
      </c>
      <c r="AI45" s="36"/>
      <c r="AJ45" s="36"/>
      <c r="AK45" s="36">
        <v>45331</v>
      </c>
      <c r="AL45" s="36"/>
      <c r="AM45" s="46"/>
      <c r="AN45" s="40" t="s">
        <v>427</v>
      </c>
      <c r="AO45" s="40" t="s">
        <v>428</v>
      </c>
      <c r="AP45" s="40" t="s">
        <v>429</v>
      </c>
      <c r="AQ45" s="40" t="s">
        <v>92</v>
      </c>
      <c r="AR45" s="48">
        <v>0</v>
      </c>
      <c r="AS45" s="37">
        <v>100</v>
      </c>
      <c r="AT45" s="37" t="s">
        <v>386</v>
      </c>
      <c r="AU45" s="47">
        <v>60</v>
      </c>
      <c r="AV45" s="37" t="s">
        <v>60</v>
      </c>
      <c r="AW45" s="37">
        <v>10</v>
      </c>
      <c r="AX45" s="30">
        <v>2155878.7799999998</v>
      </c>
      <c r="AY45" s="40" t="s">
        <v>95</v>
      </c>
    </row>
    <row r="46" spans="1:51" ht="50.25" customHeight="1" x14ac:dyDescent="0.25">
      <c r="A46" s="44" t="s">
        <v>430</v>
      </c>
      <c r="B46" s="36">
        <v>45174</v>
      </c>
      <c r="C46" s="40" t="s">
        <v>432</v>
      </c>
      <c r="D46" s="35" t="s">
        <v>431</v>
      </c>
      <c r="E46" s="39" t="s">
        <v>433</v>
      </c>
      <c r="F46" s="36" t="s">
        <v>431</v>
      </c>
      <c r="G46" s="37" t="s">
        <v>431</v>
      </c>
      <c r="H46" s="40"/>
      <c r="I46" s="40" t="s">
        <v>434</v>
      </c>
      <c r="J46" s="41">
        <v>161212603.05000001</v>
      </c>
      <c r="K46" s="41">
        <v>161212603.05000001</v>
      </c>
      <c r="L46" s="41"/>
      <c r="M46" s="41"/>
      <c r="N46" s="42">
        <f t="shared" si="2"/>
        <v>100</v>
      </c>
      <c r="O46" s="43">
        <f t="shared" si="3"/>
        <v>161212603.05000001</v>
      </c>
      <c r="P46" s="41"/>
      <c r="Q46" s="43">
        <f t="shared" si="4"/>
        <v>161212603.05000001</v>
      </c>
      <c r="R46" s="41">
        <v>0</v>
      </c>
      <c r="S46" s="30">
        <f>R46</f>
        <v>0</v>
      </c>
      <c r="T46" s="30">
        <f t="shared" si="5"/>
        <v>0</v>
      </c>
      <c r="U46" s="30" t="e">
        <f>T46/X46</f>
        <v>#DIV/0!</v>
      </c>
      <c r="V46" s="41" t="e">
        <f>T46/X46</f>
        <v>#DIV/0!</v>
      </c>
      <c r="W46" s="41" t="e">
        <f>V46*AU46</f>
        <v>#DIV/0!</v>
      </c>
      <c r="X46" s="41">
        <v>0</v>
      </c>
      <c r="Y46" s="41">
        <v>0</v>
      </c>
      <c r="Z46" s="41">
        <v>0</v>
      </c>
      <c r="AA46" s="41">
        <v>0</v>
      </c>
      <c r="AB46" s="41"/>
      <c r="AC46" s="41" t="e">
        <f t="shared" si="0"/>
        <v>#DIV/0!</v>
      </c>
      <c r="AD46" s="41"/>
      <c r="AE46" s="41" t="e">
        <f t="shared" si="1"/>
        <v>#DIV/0!</v>
      </c>
      <c r="AF46" s="41" t="e">
        <f>X46/AU46</f>
        <v>#DIV/0!</v>
      </c>
      <c r="AG46" s="41" t="e">
        <f t="shared" si="6"/>
        <v>#DIV/0!</v>
      </c>
      <c r="AH46" s="36">
        <v>45301</v>
      </c>
      <c r="AI46" s="36"/>
      <c r="AJ46" s="36"/>
      <c r="AK46" s="36"/>
      <c r="AL46" s="36"/>
      <c r="AM46" s="46"/>
      <c r="AN46" s="40"/>
      <c r="AO46" s="40"/>
      <c r="AP46" s="40"/>
      <c r="AQ46" s="40"/>
      <c r="AR46" s="48"/>
      <c r="AS46" s="37"/>
      <c r="AT46" s="37"/>
      <c r="AU46" s="47"/>
      <c r="AV46" s="37"/>
      <c r="AW46" s="37">
        <v>10</v>
      </c>
      <c r="AX46" s="30">
        <v>16121260.305</v>
      </c>
      <c r="AY46" s="35" t="s">
        <v>431</v>
      </c>
    </row>
    <row r="47" spans="1:51" ht="50.25" customHeight="1" x14ac:dyDescent="0.25">
      <c r="A47" s="44" t="s">
        <v>435</v>
      </c>
      <c r="B47" s="36">
        <v>45175</v>
      </c>
      <c r="C47" s="40">
        <v>545</v>
      </c>
      <c r="D47" s="35" t="s">
        <v>436</v>
      </c>
      <c r="E47" s="39" t="s">
        <v>437</v>
      </c>
      <c r="F47" s="36">
        <v>45198</v>
      </c>
      <c r="G47" s="37" t="s">
        <v>438</v>
      </c>
      <c r="H47" s="40" t="s">
        <v>269</v>
      </c>
      <c r="I47" s="40" t="s">
        <v>439</v>
      </c>
      <c r="J47" s="41">
        <v>42364594.799999997</v>
      </c>
      <c r="K47" s="41">
        <v>42364594.799999997</v>
      </c>
      <c r="L47" s="41">
        <v>0</v>
      </c>
      <c r="M47" s="41">
        <v>0</v>
      </c>
      <c r="N47" s="42">
        <f t="shared" si="2"/>
        <v>0</v>
      </c>
      <c r="O47" s="43">
        <f t="shared" si="3"/>
        <v>0</v>
      </c>
      <c r="P47" s="41">
        <v>42364594.799999997</v>
      </c>
      <c r="Q47" s="43">
        <f t="shared" si="4"/>
        <v>0</v>
      </c>
      <c r="R47" s="41">
        <v>42364594.799999997</v>
      </c>
      <c r="S47" s="30">
        <v>46004164.799999997</v>
      </c>
      <c r="T47" s="30">
        <f t="shared" si="5"/>
        <v>46004164.799999997</v>
      </c>
      <c r="U47" s="30">
        <f>T47/X47</f>
        <v>2426.3799999999997</v>
      </c>
      <c r="V47" s="41">
        <f>T47/X47</f>
        <v>2426.3799999999997</v>
      </c>
      <c r="W47" s="41">
        <f>V47*AU47</f>
        <v>72791.399999999994</v>
      </c>
      <c r="X47" s="41">
        <v>18960</v>
      </c>
      <c r="Y47" s="41">
        <v>18960</v>
      </c>
      <c r="Z47" s="41">
        <v>0</v>
      </c>
      <c r="AA47" s="41">
        <v>0</v>
      </c>
      <c r="AB47" s="41"/>
      <c r="AC47" s="41">
        <f t="shared" si="0"/>
        <v>0</v>
      </c>
      <c r="AD47" s="41"/>
      <c r="AE47" s="41">
        <f t="shared" si="1"/>
        <v>0</v>
      </c>
      <c r="AF47" s="41">
        <f>X47/AU47</f>
        <v>632</v>
      </c>
      <c r="AG47" s="41">
        <f t="shared" si="6"/>
        <v>632</v>
      </c>
      <c r="AH47" s="36">
        <v>45300</v>
      </c>
      <c r="AI47" s="36"/>
      <c r="AJ47" s="36"/>
      <c r="AK47" s="36">
        <v>45331</v>
      </c>
      <c r="AL47" s="36"/>
      <c r="AM47" s="46"/>
      <c r="AN47" s="40" t="s">
        <v>440</v>
      </c>
      <c r="AO47" s="40" t="s">
        <v>441</v>
      </c>
      <c r="AP47" s="40" t="s">
        <v>442</v>
      </c>
      <c r="AQ47" s="40" t="s">
        <v>293</v>
      </c>
      <c r="AR47" s="48">
        <v>0</v>
      </c>
      <c r="AS47" s="37">
        <v>100</v>
      </c>
      <c r="AT47" s="37" t="s">
        <v>386</v>
      </c>
      <c r="AU47" s="47">
        <v>30</v>
      </c>
      <c r="AV47" s="37" t="s">
        <v>60</v>
      </c>
      <c r="AW47" s="37">
        <v>10</v>
      </c>
      <c r="AX47" s="30">
        <v>4236459.4800000004</v>
      </c>
      <c r="AY47" s="40" t="s">
        <v>95</v>
      </c>
    </row>
    <row r="48" spans="1:51" ht="57" customHeight="1" x14ac:dyDescent="0.25">
      <c r="A48" s="44" t="s">
        <v>443</v>
      </c>
      <c r="B48" s="36">
        <v>45175</v>
      </c>
      <c r="C48" s="40">
        <v>545</v>
      </c>
      <c r="D48" s="35" t="s">
        <v>444</v>
      </c>
      <c r="E48" s="39" t="s">
        <v>445</v>
      </c>
      <c r="F48" s="36">
        <v>45198</v>
      </c>
      <c r="G48" s="37" t="s">
        <v>446</v>
      </c>
      <c r="H48" s="40" t="s">
        <v>269</v>
      </c>
      <c r="I48" s="40" t="s">
        <v>447</v>
      </c>
      <c r="J48" s="41">
        <v>11592979.199999999</v>
      </c>
      <c r="K48" s="41">
        <v>11592979.199999999</v>
      </c>
      <c r="L48" s="41">
        <v>0</v>
      </c>
      <c r="M48" s="41">
        <v>0</v>
      </c>
      <c r="N48" s="42">
        <f t="shared" si="2"/>
        <v>0</v>
      </c>
      <c r="O48" s="43">
        <f t="shared" si="3"/>
        <v>0</v>
      </c>
      <c r="P48" s="41">
        <v>11592979.199999999</v>
      </c>
      <c r="Q48" s="43">
        <f t="shared" si="4"/>
        <v>0</v>
      </c>
      <c r="R48" s="41">
        <v>11592979.199999999</v>
      </c>
      <c r="S48" s="30">
        <v>14491224</v>
      </c>
      <c r="T48" s="30">
        <f t="shared" si="5"/>
        <v>14491224</v>
      </c>
      <c r="U48" s="30">
        <f>T48/X48</f>
        <v>2683.56</v>
      </c>
      <c r="V48" s="41">
        <f>T48/X48</f>
        <v>2683.56</v>
      </c>
      <c r="W48" s="41">
        <f>V48*AU48</f>
        <v>161013.6</v>
      </c>
      <c r="X48" s="41">
        <v>5400</v>
      </c>
      <c r="Y48" s="41">
        <v>5400</v>
      </c>
      <c r="Z48" s="41">
        <v>0</v>
      </c>
      <c r="AA48" s="41">
        <v>0</v>
      </c>
      <c r="AB48" s="41"/>
      <c r="AC48" s="41">
        <f t="shared" si="0"/>
        <v>0</v>
      </c>
      <c r="AD48" s="41"/>
      <c r="AE48" s="41">
        <f t="shared" si="1"/>
        <v>0</v>
      </c>
      <c r="AF48" s="41">
        <f>X48/AU48</f>
        <v>90</v>
      </c>
      <c r="AG48" s="41">
        <f t="shared" si="6"/>
        <v>90</v>
      </c>
      <c r="AH48" s="36">
        <v>45300</v>
      </c>
      <c r="AI48" s="36"/>
      <c r="AJ48" s="36"/>
      <c r="AK48" s="36">
        <v>45331</v>
      </c>
      <c r="AL48" s="36"/>
      <c r="AM48" s="46"/>
      <c r="AN48" s="40" t="s">
        <v>427</v>
      </c>
      <c r="AO48" s="40" t="s">
        <v>448</v>
      </c>
      <c r="AP48" s="40" t="s">
        <v>429</v>
      </c>
      <c r="AQ48" s="40" t="s">
        <v>92</v>
      </c>
      <c r="AR48" s="48">
        <v>0</v>
      </c>
      <c r="AS48" s="37">
        <v>100</v>
      </c>
      <c r="AT48" s="37" t="s">
        <v>386</v>
      </c>
      <c r="AU48" s="47">
        <v>60</v>
      </c>
      <c r="AV48" s="37" t="s">
        <v>60</v>
      </c>
      <c r="AW48" s="37">
        <v>10</v>
      </c>
      <c r="AX48" s="30">
        <v>1159297.92</v>
      </c>
      <c r="AY48" s="40" t="s">
        <v>95</v>
      </c>
    </row>
    <row r="49" spans="1:51" ht="57" customHeight="1" x14ac:dyDescent="0.25">
      <c r="A49" s="44" t="s">
        <v>449</v>
      </c>
      <c r="B49" s="36">
        <v>45175</v>
      </c>
      <c r="C49" s="40" t="s">
        <v>432</v>
      </c>
      <c r="D49" s="35" t="s">
        <v>450</v>
      </c>
      <c r="E49" s="39" t="s">
        <v>451</v>
      </c>
      <c r="F49" s="36">
        <v>45202</v>
      </c>
      <c r="G49" s="37" t="s">
        <v>452</v>
      </c>
      <c r="H49" s="40" t="s">
        <v>453</v>
      </c>
      <c r="I49" s="40" t="s">
        <v>454</v>
      </c>
      <c r="J49" s="41">
        <v>32334852.550000001</v>
      </c>
      <c r="K49" s="41">
        <v>32334852.550000001</v>
      </c>
      <c r="L49" s="41">
        <v>0</v>
      </c>
      <c r="M49" s="41">
        <v>0</v>
      </c>
      <c r="N49" s="42">
        <f t="shared" si="2"/>
        <v>51.772188489537427</v>
      </c>
      <c r="O49" s="43">
        <f t="shared" si="3"/>
        <v>16740460.810000001</v>
      </c>
      <c r="P49" s="41">
        <v>15594391.74</v>
      </c>
      <c r="Q49" s="43">
        <f t="shared" si="4"/>
        <v>16747922.100000001</v>
      </c>
      <c r="R49" s="41">
        <v>15586930.449999999</v>
      </c>
      <c r="S49" s="30">
        <f>R49</f>
        <v>15586930.449999999</v>
      </c>
      <c r="T49" s="30">
        <f t="shared" si="5"/>
        <v>15586930.449999999</v>
      </c>
      <c r="U49" s="30">
        <f>T49/X49</f>
        <v>44.169999999999995</v>
      </c>
      <c r="V49" s="41">
        <f>T49/X49</f>
        <v>44.169999999999995</v>
      </c>
      <c r="W49" s="41">
        <f>V49*AU49</f>
        <v>2650.2</v>
      </c>
      <c r="X49" s="41">
        <v>352885</v>
      </c>
      <c r="Y49" s="41">
        <v>352885</v>
      </c>
      <c r="Z49" s="41">
        <v>0</v>
      </c>
      <c r="AA49" s="41">
        <v>0</v>
      </c>
      <c r="AB49" s="41"/>
      <c r="AC49" s="41">
        <f t="shared" si="0"/>
        <v>0</v>
      </c>
      <c r="AD49" s="41"/>
      <c r="AE49" s="41">
        <f t="shared" si="1"/>
        <v>0</v>
      </c>
      <c r="AF49" s="41">
        <f>X49/AU49</f>
        <v>5881.416666666667</v>
      </c>
      <c r="AG49" s="41">
        <f t="shared" si="6"/>
        <v>5882</v>
      </c>
      <c r="AH49" s="36">
        <v>45301</v>
      </c>
      <c r="AI49" s="36"/>
      <c r="AJ49" s="36"/>
      <c r="AK49" s="36">
        <v>45332</v>
      </c>
      <c r="AL49" s="36"/>
      <c r="AM49" s="46"/>
      <c r="AN49" s="40" t="s">
        <v>455</v>
      </c>
      <c r="AO49" s="40" t="s">
        <v>456</v>
      </c>
      <c r="AP49" s="40" t="s">
        <v>457</v>
      </c>
      <c r="AQ49" s="40" t="s">
        <v>80</v>
      </c>
      <c r="AR49" s="48">
        <v>100</v>
      </c>
      <c r="AS49" s="37">
        <v>0</v>
      </c>
      <c r="AT49" s="37" t="s">
        <v>386</v>
      </c>
      <c r="AU49" s="47">
        <v>60</v>
      </c>
      <c r="AV49" s="37" t="s">
        <v>60</v>
      </c>
      <c r="AW49" s="37">
        <v>10</v>
      </c>
      <c r="AX49" s="30">
        <v>3233485.2549999999</v>
      </c>
      <c r="AY49" s="40" t="s">
        <v>402</v>
      </c>
    </row>
    <row r="50" spans="1:51" ht="57" customHeight="1" x14ac:dyDescent="0.25">
      <c r="A50" s="44" t="s">
        <v>458</v>
      </c>
      <c r="B50" s="46">
        <v>45176</v>
      </c>
      <c r="C50" s="40">
        <v>545</v>
      </c>
      <c r="D50" s="35" t="s">
        <v>459</v>
      </c>
      <c r="E50" s="39" t="s">
        <v>460</v>
      </c>
      <c r="F50" s="36">
        <v>45201</v>
      </c>
      <c r="G50" s="37" t="s">
        <v>461</v>
      </c>
      <c r="H50" s="40" t="s">
        <v>269</v>
      </c>
      <c r="I50" s="40" t="s">
        <v>462</v>
      </c>
      <c r="J50" s="54">
        <v>33848512.5</v>
      </c>
      <c r="K50" s="54">
        <v>33848512.5</v>
      </c>
      <c r="L50" s="41">
        <v>0</v>
      </c>
      <c r="M50" s="41">
        <v>0</v>
      </c>
      <c r="N50" s="42">
        <f t="shared" si="2"/>
        <v>0</v>
      </c>
      <c r="O50" s="43">
        <f t="shared" si="3"/>
        <v>0</v>
      </c>
      <c r="P50" s="41">
        <v>33848512.5</v>
      </c>
      <c r="Q50" s="43">
        <f t="shared" si="4"/>
        <v>0</v>
      </c>
      <c r="R50" s="41">
        <v>33848512.5</v>
      </c>
      <c r="S50" s="30">
        <v>43937553</v>
      </c>
      <c r="T50" s="30">
        <f t="shared" si="5"/>
        <v>43937553</v>
      </c>
      <c r="U50" s="30">
        <f>T50/X50</f>
        <v>1455.85</v>
      </c>
      <c r="V50" s="41">
        <f>T50/X50</f>
        <v>1455.85</v>
      </c>
      <c r="W50" s="41">
        <f>V50*AU50</f>
        <v>43675.5</v>
      </c>
      <c r="X50" s="41">
        <f>Y50+Z50</f>
        <v>30180</v>
      </c>
      <c r="Y50" s="41">
        <v>17730</v>
      </c>
      <c r="Z50" s="41">
        <v>12450</v>
      </c>
      <c r="AA50" s="41">
        <v>0</v>
      </c>
      <c r="AB50" s="41"/>
      <c r="AC50" s="41">
        <f t="shared" si="0"/>
        <v>0</v>
      </c>
      <c r="AD50" s="41"/>
      <c r="AE50" s="41">
        <f t="shared" si="1"/>
        <v>0</v>
      </c>
      <c r="AF50" s="41">
        <f>X50/AU50</f>
        <v>1006</v>
      </c>
      <c r="AG50" s="41">
        <f t="shared" si="6"/>
        <v>1006</v>
      </c>
      <c r="AH50" s="36">
        <v>45300</v>
      </c>
      <c r="AI50" s="36">
        <v>45443</v>
      </c>
      <c r="AJ50" s="36"/>
      <c r="AK50" s="36">
        <v>45331</v>
      </c>
      <c r="AL50" s="36">
        <v>45474</v>
      </c>
      <c r="AM50" s="46"/>
      <c r="AN50" s="40" t="s">
        <v>440</v>
      </c>
      <c r="AO50" s="40" t="s">
        <v>463</v>
      </c>
      <c r="AP50" s="40" t="s">
        <v>442</v>
      </c>
      <c r="AQ50" s="40" t="s">
        <v>293</v>
      </c>
      <c r="AR50" s="48">
        <v>0</v>
      </c>
      <c r="AS50" s="37">
        <v>100</v>
      </c>
      <c r="AT50" s="37" t="s">
        <v>386</v>
      </c>
      <c r="AU50" s="47">
        <v>30</v>
      </c>
      <c r="AV50" s="37" t="s">
        <v>60</v>
      </c>
      <c r="AW50" s="37">
        <v>10</v>
      </c>
      <c r="AX50" s="30">
        <v>3384851.25</v>
      </c>
      <c r="AY50" s="40" t="s">
        <v>325</v>
      </c>
    </row>
    <row r="51" spans="1:51" ht="57" customHeight="1" x14ac:dyDescent="0.25">
      <c r="A51" s="44" t="s">
        <v>464</v>
      </c>
      <c r="B51" s="46">
        <v>45176</v>
      </c>
      <c r="C51" s="40">
        <v>545</v>
      </c>
      <c r="D51" s="35" t="s">
        <v>465</v>
      </c>
      <c r="E51" s="39" t="s">
        <v>466</v>
      </c>
      <c r="F51" s="36">
        <v>45201</v>
      </c>
      <c r="G51" s="37" t="s">
        <v>467</v>
      </c>
      <c r="H51" s="40" t="s">
        <v>319</v>
      </c>
      <c r="I51" s="40" t="s">
        <v>468</v>
      </c>
      <c r="J51" s="54">
        <v>259547640</v>
      </c>
      <c r="K51" s="54">
        <v>259547640</v>
      </c>
      <c r="L51" s="41">
        <v>0</v>
      </c>
      <c r="M51" s="41">
        <v>0</v>
      </c>
      <c r="N51" s="42">
        <f t="shared" si="2"/>
        <v>0</v>
      </c>
      <c r="O51" s="43">
        <f t="shared" si="3"/>
        <v>0</v>
      </c>
      <c r="P51" s="41">
        <v>259547640</v>
      </c>
      <c r="Q51" s="43">
        <f t="shared" si="4"/>
        <v>0</v>
      </c>
      <c r="R51" s="41">
        <v>259547640</v>
      </c>
      <c r="S51" s="30">
        <v>336682280</v>
      </c>
      <c r="T51" s="30">
        <f t="shared" si="5"/>
        <v>336682280</v>
      </c>
      <c r="U51" s="30">
        <f>T51/X51</f>
        <v>521180</v>
      </c>
      <c r="V51" s="41">
        <f>T51/X51</f>
        <v>521180</v>
      </c>
      <c r="W51" s="41">
        <f>V51*AU51</f>
        <v>1042360</v>
      </c>
      <c r="X51" s="41">
        <v>646</v>
      </c>
      <c r="Y51" s="41">
        <v>646</v>
      </c>
      <c r="Z51" s="41">
        <v>0</v>
      </c>
      <c r="AA51" s="41">
        <v>0</v>
      </c>
      <c r="AB51" s="41"/>
      <c r="AC51" s="41">
        <f t="shared" si="0"/>
        <v>0</v>
      </c>
      <c r="AD51" s="41"/>
      <c r="AE51" s="41">
        <f t="shared" si="1"/>
        <v>0</v>
      </c>
      <c r="AF51" s="41">
        <f>X51/AU51</f>
        <v>323</v>
      </c>
      <c r="AG51" s="41">
        <f t="shared" si="6"/>
        <v>323</v>
      </c>
      <c r="AH51" s="36">
        <v>45300</v>
      </c>
      <c r="AI51" s="36"/>
      <c r="AJ51" s="36"/>
      <c r="AK51" s="36">
        <v>45331</v>
      </c>
      <c r="AL51" s="36"/>
      <c r="AM51" s="46"/>
      <c r="AN51" s="40" t="s">
        <v>469</v>
      </c>
      <c r="AO51" s="40" t="s">
        <v>470</v>
      </c>
      <c r="AP51" s="40" t="s">
        <v>471</v>
      </c>
      <c r="AQ51" s="40" t="s">
        <v>92</v>
      </c>
      <c r="AR51" s="48">
        <v>0</v>
      </c>
      <c r="AS51" s="37">
        <v>100</v>
      </c>
      <c r="AT51" s="37" t="s">
        <v>81</v>
      </c>
      <c r="AU51" s="47">
        <v>2</v>
      </c>
      <c r="AV51" s="37" t="s">
        <v>60</v>
      </c>
      <c r="AW51" s="37">
        <v>10</v>
      </c>
      <c r="AX51" s="30">
        <v>25954764</v>
      </c>
      <c r="AY51" s="40" t="s">
        <v>95</v>
      </c>
    </row>
    <row r="52" spans="1:51" ht="57" customHeight="1" x14ac:dyDescent="0.25">
      <c r="A52" s="44" t="s">
        <v>472</v>
      </c>
      <c r="B52" s="46">
        <v>45176</v>
      </c>
      <c r="C52" s="40">
        <v>545</v>
      </c>
      <c r="D52" s="35" t="s">
        <v>473</v>
      </c>
      <c r="E52" s="39" t="s">
        <v>474</v>
      </c>
      <c r="F52" s="36">
        <v>45201</v>
      </c>
      <c r="G52" s="37" t="s">
        <v>475</v>
      </c>
      <c r="H52" s="40" t="s">
        <v>269</v>
      </c>
      <c r="I52" s="40" t="s">
        <v>476</v>
      </c>
      <c r="J52" s="54">
        <v>294623792.10000002</v>
      </c>
      <c r="K52" s="54">
        <v>294623792.10000002</v>
      </c>
      <c r="L52" s="41">
        <v>0</v>
      </c>
      <c r="M52" s="41">
        <v>0</v>
      </c>
      <c r="N52" s="42">
        <f t="shared" si="2"/>
        <v>0</v>
      </c>
      <c r="O52" s="43">
        <f t="shared" si="3"/>
        <v>0</v>
      </c>
      <c r="P52" s="41">
        <v>294623792.10000002</v>
      </c>
      <c r="Q52" s="43">
        <f t="shared" si="4"/>
        <v>0</v>
      </c>
      <c r="R52" s="41">
        <v>294623792.10000002</v>
      </c>
      <c r="S52" s="30">
        <v>344382865.19999999</v>
      </c>
      <c r="T52" s="30">
        <f t="shared" si="5"/>
        <v>344382865.19999999</v>
      </c>
      <c r="U52" s="30">
        <f>T52/X52</f>
        <v>970.53</v>
      </c>
      <c r="V52" s="41">
        <f>T52/X52</f>
        <v>970.53</v>
      </c>
      <c r="W52" s="41">
        <f>V52*AU52</f>
        <v>29115.899999999998</v>
      </c>
      <c r="X52" s="41">
        <v>354840</v>
      </c>
      <c r="Y52" s="41">
        <v>254520</v>
      </c>
      <c r="Z52" s="41">
        <v>100320</v>
      </c>
      <c r="AA52" s="41">
        <v>0</v>
      </c>
      <c r="AB52" s="41"/>
      <c r="AC52" s="41">
        <f t="shared" si="0"/>
        <v>0</v>
      </c>
      <c r="AD52" s="41"/>
      <c r="AE52" s="41">
        <f t="shared" si="1"/>
        <v>0</v>
      </c>
      <c r="AF52" s="41">
        <f>X52/AU52</f>
        <v>11828</v>
      </c>
      <c r="AG52" s="41">
        <f t="shared" si="6"/>
        <v>11828</v>
      </c>
      <c r="AH52" s="36">
        <v>45300</v>
      </c>
      <c r="AI52" s="36">
        <v>45443</v>
      </c>
      <c r="AJ52" s="36"/>
      <c r="AK52" s="36">
        <v>45331</v>
      </c>
      <c r="AL52" s="36">
        <v>45474</v>
      </c>
      <c r="AM52" s="46"/>
      <c r="AN52" s="40" t="s">
        <v>440</v>
      </c>
      <c r="AO52" s="40" t="s">
        <v>477</v>
      </c>
      <c r="AP52" s="40" t="s">
        <v>442</v>
      </c>
      <c r="AQ52" s="40" t="s">
        <v>293</v>
      </c>
      <c r="AR52" s="48">
        <v>0</v>
      </c>
      <c r="AS52" s="37">
        <v>100</v>
      </c>
      <c r="AT52" s="37" t="s">
        <v>386</v>
      </c>
      <c r="AU52" s="47">
        <v>30</v>
      </c>
      <c r="AV52" s="37" t="s">
        <v>60</v>
      </c>
      <c r="AW52" s="37">
        <v>10</v>
      </c>
      <c r="AX52" s="30">
        <v>29462379.210000001</v>
      </c>
      <c r="AY52" s="40" t="s">
        <v>325</v>
      </c>
    </row>
    <row r="53" spans="1:51" ht="57" customHeight="1" x14ac:dyDescent="0.25">
      <c r="A53" s="44" t="s">
        <v>478</v>
      </c>
      <c r="B53" s="46">
        <v>45177</v>
      </c>
      <c r="C53" s="40">
        <v>545</v>
      </c>
      <c r="D53" s="35" t="s">
        <v>479</v>
      </c>
      <c r="E53" s="39" t="s">
        <v>480</v>
      </c>
      <c r="F53" s="36">
        <v>45201</v>
      </c>
      <c r="G53" s="37" t="s">
        <v>481</v>
      </c>
      <c r="H53" s="40" t="s">
        <v>482</v>
      </c>
      <c r="I53" s="40" t="s">
        <v>483</v>
      </c>
      <c r="J53" s="54">
        <v>215384400</v>
      </c>
      <c r="K53" s="54">
        <v>215384400</v>
      </c>
      <c r="L53" s="41">
        <v>0</v>
      </c>
      <c r="M53" s="41">
        <v>0</v>
      </c>
      <c r="N53" s="42">
        <f t="shared" si="2"/>
        <v>0</v>
      </c>
      <c r="O53" s="43">
        <f t="shared" si="3"/>
        <v>0</v>
      </c>
      <c r="P53" s="41">
        <v>215384400</v>
      </c>
      <c r="Q53" s="43">
        <f t="shared" si="4"/>
        <v>0</v>
      </c>
      <c r="R53" s="41">
        <v>215384400</v>
      </c>
      <c r="S53" s="30">
        <v>279833400</v>
      </c>
      <c r="T53" s="30">
        <f t="shared" si="5"/>
        <v>279833400</v>
      </c>
      <c r="U53" s="30">
        <f>T53/X53</f>
        <v>6930</v>
      </c>
      <c r="V53" s="41">
        <f>T53/X53</f>
        <v>6930</v>
      </c>
      <c r="W53" s="41">
        <f>V53*AU53</f>
        <v>415800</v>
      </c>
      <c r="X53" s="41">
        <v>40380</v>
      </c>
      <c r="Y53" s="41">
        <v>40380</v>
      </c>
      <c r="Z53" s="41">
        <v>0</v>
      </c>
      <c r="AA53" s="41">
        <v>0</v>
      </c>
      <c r="AB53" s="41"/>
      <c r="AC53" s="41">
        <f t="shared" si="0"/>
        <v>0</v>
      </c>
      <c r="AD53" s="41"/>
      <c r="AE53" s="41">
        <f t="shared" si="1"/>
        <v>0</v>
      </c>
      <c r="AF53" s="41">
        <f>X53/AU53</f>
        <v>673</v>
      </c>
      <c r="AG53" s="41">
        <f t="shared" si="6"/>
        <v>673</v>
      </c>
      <c r="AH53" s="36">
        <v>45322</v>
      </c>
      <c r="AI53" s="36"/>
      <c r="AJ53" s="36"/>
      <c r="AK53" s="36">
        <v>45352</v>
      </c>
      <c r="AL53" s="36"/>
      <c r="AM53" s="46"/>
      <c r="AN53" s="40" t="s">
        <v>484</v>
      </c>
      <c r="AO53" s="40" t="s">
        <v>485</v>
      </c>
      <c r="AP53" s="40" t="s">
        <v>486</v>
      </c>
      <c r="AQ53" s="40" t="s">
        <v>487</v>
      </c>
      <c r="AR53" s="48">
        <v>0</v>
      </c>
      <c r="AS53" s="37">
        <v>100</v>
      </c>
      <c r="AT53" s="37" t="s">
        <v>386</v>
      </c>
      <c r="AU53" s="47">
        <v>60</v>
      </c>
      <c r="AV53" s="37" t="s">
        <v>60</v>
      </c>
      <c r="AW53" s="37">
        <v>10</v>
      </c>
      <c r="AX53" s="30">
        <v>21538440</v>
      </c>
      <c r="AY53" s="40" t="s">
        <v>95</v>
      </c>
    </row>
    <row r="54" spans="1:51" ht="57" customHeight="1" x14ac:dyDescent="0.25">
      <c r="A54" s="44" t="s">
        <v>488</v>
      </c>
      <c r="B54" s="46">
        <v>45181</v>
      </c>
      <c r="C54" s="40" t="s">
        <v>432</v>
      </c>
      <c r="D54" s="35" t="s">
        <v>489</v>
      </c>
      <c r="E54" s="39" t="s">
        <v>490</v>
      </c>
      <c r="F54" s="36" t="s">
        <v>489</v>
      </c>
      <c r="G54" s="37" t="s">
        <v>489</v>
      </c>
      <c r="H54" s="40" t="s">
        <v>489</v>
      </c>
      <c r="I54" s="40" t="s">
        <v>491</v>
      </c>
      <c r="J54" s="54">
        <v>3271104.3</v>
      </c>
      <c r="K54" s="54">
        <v>3271104.3</v>
      </c>
      <c r="L54" s="54"/>
      <c r="M54" s="54"/>
      <c r="N54" s="42">
        <f t="shared" si="2"/>
        <v>100</v>
      </c>
      <c r="O54" s="43">
        <f t="shared" si="3"/>
        <v>3271104.3</v>
      </c>
      <c r="P54" s="41"/>
      <c r="Q54" s="43">
        <f t="shared" si="4"/>
        <v>3271104.3</v>
      </c>
      <c r="R54" s="41">
        <v>0</v>
      </c>
      <c r="S54" s="30">
        <f>R54</f>
        <v>0</v>
      </c>
      <c r="T54" s="30">
        <f t="shared" si="5"/>
        <v>0</v>
      </c>
      <c r="U54" s="30" t="e">
        <f>T54/X54</f>
        <v>#DIV/0!</v>
      </c>
      <c r="V54" s="41" t="e">
        <f>T54/X54</f>
        <v>#DIV/0!</v>
      </c>
      <c r="W54" s="41" t="e">
        <f>V54*AU54</f>
        <v>#DIV/0!</v>
      </c>
      <c r="X54" s="41">
        <v>0</v>
      </c>
      <c r="Y54" s="41">
        <v>0</v>
      </c>
      <c r="Z54" s="41">
        <v>0</v>
      </c>
      <c r="AA54" s="41">
        <v>0</v>
      </c>
      <c r="AB54" s="41"/>
      <c r="AC54" s="41" t="e">
        <f t="shared" si="0"/>
        <v>#DIV/0!</v>
      </c>
      <c r="AD54" s="41"/>
      <c r="AE54" s="41" t="e">
        <f t="shared" si="1"/>
        <v>#DIV/0!</v>
      </c>
      <c r="AF54" s="41" t="e">
        <f>X54/AU54</f>
        <v>#DIV/0!</v>
      </c>
      <c r="AG54" s="41" t="e">
        <f t="shared" si="6"/>
        <v>#DIV/0!</v>
      </c>
      <c r="AH54" s="36">
        <v>45301</v>
      </c>
      <c r="AI54" s="36"/>
      <c r="AJ54" s="36"/>
      <c r="AK54" s="36">
        <v>45332</v>
      </c>
      <c r="AL54" s="36"/>
      <c r="AM54" s="46"/>
      <c r="AN54" s="40"/>
      <c r="AO54" s="40"/>
      <c r="AP54" s="40"/>
      <c r="AQ54" s="40"/>
      <c r="AR54" s="48"/>
      <c r="AS54" s="37"/>
      <c r="AT54" s="37"/>
      <c r="AU54" s="47"/>
      <c r="AV54" s="37"/>
      <c r="AW54" s="37">
        <v>10</v>
      </c>
      <c r="AX54" s="30">
        <v>327110.43</v>
      </c>
      <c r="AY54" s="40" t="s">
        <v>489</v>
      </c>
    </row>
    <row r="55" spans="1:51" ht="57" customHeight="1" x14ac:dyDescent="0.25">
      <c r="A55" s="44" t="s">
        <v>492</v>
      </c>
      <c r="B55" s="46">
        <v>45181</v>
      </c>
      <c r="C55" s="40" t="s">
        <v>494</v>
      </c>
      <c r="D55" s="37" t="s">
        <v>493</v>
      </c>
      <c r="E55" s="39" t="s">
        <v>495</v>
      </c>
      <c r="F55" s="37" t="s">
        <v>493</v>
      </c>
      <c r="G55" s="37" t="s">
        <v>496</v>
      </c>
      <c r="H55" s="40" t="s">
        <v>431</v>
      </c>
      <c r="I55" s="40" t="s">
        <v>497</v>
      </c>
      <c r="J55" s="54">
        <v>445239478.80000001</v>
      </c>
      <c r="K55" s="54">
        <v>445239478.80000001</v>
      </c>
      <c r="L55" s="54"/>
      <c r="M55" s="54"/>
      <c r="N55" s="42">
        <f t="shared" si="2"/>
        <v>100</v>
      </c>
      <c r="O55" s="43">
        <f t="shared" si="3"/>
        <v>445239478.80000001</v>
      </c>
      <c r="P55" s="41"/>
      <c r="Q55" s="43">
        <f t="shared" si="4"/>
        <v>445239478.80000001</v>
      </c>
      <c r="R55" s="41">
        <v>0</v>
      </c>
      <c r="S55" s="30">
        <f>R55</f>
        <v>0</v>
      </c>
      <c r="T55" s="30">
        <f t="shared" si="5"/>
        <v>0</v>
      </c>
      <c r="U55" s="30" t="e">
        <f>T55/X55</f>
        <v>#DIV/0!</v>
      </c>
      <c r="V55" s="41" t="e">
        <f>T55/X55</f>
        <v>#DIV/0!</v>
      </c>
      <c r="W55" s="41" t="e">
        <f>V55*AU55</f>
        <v>#DIV/0!</v>
      </c>
      <c r="X55" s="41">
        <v>0</v>
      </c>
      <c r="Y55" s="41">
        <v>0</v>
      </c>
      <c r="Z55" s="41">
        <v>0</v>
      </c>
      <c r="AA55" s="41">
        <v>0</v>
      </c>
      <c r="AB55" s="41"/>
      <c r="AC55" s="41" t="e">
        <f t="shared" si="0"/>
        <v>#DIV/0!</v>
      </c>
      <c r="AD55" s="41"/>
      <c r="AE55" s="41" t="e">
        <f t="shared" si="1"/>
        <v>#DIV/0!</v>
      </c>
      <c r="AF55" s="41" t="e">
        <f>X55/AU55</f>
        <v>#DIV/0!</v>
      </c>
      <c r="AG55" s="41" t="e">
        <f t="shared" si="6"/>
        <v>#DIV/0!</v>
      </c>
      <c r="AH55" s="36">
        <v>45301</v>
      </c>
      <c r="AI55" s="36"/>
      <c r="AJ55" s="36"/>
      <c r="AK55" s="36">
        <v>45332</v>
      </c>
      <c r="AL55" s="36"/>
      <c r="AM55" s="46"/>
      <c r="AN55" s="40"/>
      <c r="AO55" s="40"/>
      <c r="AP55" s="40"/>
      <c r="AQ55" s="40"/>
      <c r="AR55" s="48"/>
      <c r="AS55" s="37"/>
      <c r="AT55" s="37"/>
      <c r="AU55" s="47"/>
      <c r="AV55" s="37"/>
      <c r="AW55" s="37">
        <v>10</v>
      </c>
      <c r="AX55" s="30">
        <v>44523947.880000003</v>
      </c>
      <c r="AY55" s="40" t="s">
        <v>431</v>
      </c>
    </row>
    <row r="56" spans="1:51" ht="57" customHeight="1" x14ac:dyDescent="0.25">
      <c r="A56" s="44" t="s">
        <v>498</v>
      </c>
      <c r="B56" s="46">
        <v>45182</v>
      </c>
      <c r="C56" s="40">
        <v>545</v>
      </c>
      <c r="D56" s="35" t="s">
        <v>499</v>
      </c>
      <c r="E56" s="39" t="s">
        <v>500</v>
      </c>
      <c r="F56" s="36">
        <v>45202</v>
      </c>
      <c r="G56" s="37" t="s">
        <v>501</v>
      </c>
      <c r="H56" s="40" t="s">
        <v>502</v>
      </c>
      <c r="I56" s="40" t="s">
        <v>503</v>
      </c>
      <c r="J56" s="54">
        <v>242453837.5</v>
      </c>
      <c r="K56" s="54">
        <v>242453837.5</v>
      </c>
      <c r="L56" s="54">
        <v>0</v>
      </c>
      <c r="M56" s="54">
        <v>0</v>
      </c>
      <c r="N56" s="42">
        <f t="shared" si="2"/>
        <v>0</v>
      </c>
      <c r="O56" s="43">
        <f t="shared" si="3"/>
        <v>0</v>
      </c>
      <c r="P56" s="41">
        <v>242453837.5</v>
      </c>
      <c r="Q56" s="43">
        <f t="shared" si="4"/>
        <v>0</v>
      </c>
      <c r="R56" s="41">
        <v>242453837.5</v>
      </c>
      <c r="S56" s="30">
        <v>315114614.5</v>
      </c>
      <c r="T56" s="30">
        <f t="shared" si="5"/>
        <v>315114614.5</v>
      </c>
      <c r="U56" s="30">
        <f>T56/X56</f>
        <v>1004.99</v>
      </c>
      <c r="V56" s="41">
        <f>T56/X56</f>
        <v>1004.99</v>
      </c>
      <c r="W56" s="41">
        <f>V56*AU56</f>
        <v>50249.5</v>
      </c>
      <c r="X56" s="41">
        <f>Y56+Z56</f>
        <v>313550</v>
      </c>
      <c r="Y56" s="41">
        <v>255600</v>
      </c>
      <c r="Z56" s="41">
        <f>47950+10000</f>
        <v>57950</v>
      </c>
      <c r="AA56" s="41">
        <v>0</v>
      </c>
      <c r="AB56" s="41"/>
      <c r="AC56" s="41">
        <f t="shared" si="0"/>
        <v>0</v>
      </c>
      <c r="AD56" s="41"/>
      <c r="AE56" s="41">
        <f t="shared" si="1"/>
        <v>0</v>
      </c>
      <c r="AF56" s="41">
        <f>X56/AU56</f>
        <v>6271</v>
      </c>
      <c r="AG56" s="41">
        <f t="shared" si="6"/>
        <v>6271</v>
      </c>
      <c r="AH56" s="36">
        <v>45322</v>
      </c>
      <c r="AI56" s="36">
        <v>45412</v>
      </c>
      <c r="AJ56" s="36"/>
      <c r="AK56" s="36">
        <v>45352</v>
      </c>
      <c r="AL56" s="36">
        <v>45442</v>
      </c>
      <c r="AM56" s="46"/>
      <c r="AN56" s="40" t="s">
        <v>504</v>
      </c>
      <c r="AO56" s="40" t="s">
        <v>505</v>
      </c>
      <c r="AP56" s="40" t="s">
        <v>506</v>
      </c>
      <c r="AQ56" s="40" t="s">
        <v>58</v>
      </c>
      <c r="AR56" s="48">
        <v>0</v>
      </c>
      <c r="AS56" s="37">
        <v>100</v>
      </c>
      <c r="AT56" s="37" t="s">
        <v>324</v>
      </c>
      <c r="AU56" s="47">
        <v>50</v>
      </c>
      <c r="AV56" s="37" t="s">
        <v>60</v>
      </c>
      <c r="AW56" s="37">
        <v>10</v>
      </c>
      <c r="AX56" s="30">
        <v>24245383.75</v>
      </c>
      <c r="AY56" s="40" t="s">
        <v>402</v>
      </c>
    </row>
    <row r="57" spans="1:51" ht="63" customHeight="1" x14ac:dyDescent="0.25">
      <c r="A57" s="44" t="s">
        <v>507</v>
      </c>
      <c r="B57" s="36">
        <v>45196</v>
      </c>
      <c r="C57" s="37" t="s">
        <v>432</v>
      </c>
      <c r="D57" s="35" t="s">
        <v>508</v>
      </c>
      <c r="E57" s="39" t="s">
        <v>509</v>
      </c>
      <c r="F57" s="36">
        <v>45216</v>
      </c>
      <c r="G57" s="37" t="s">
        <v>510</v>
      </c>
      <c r="H57" s="40" t="s">
        <v>53</v>
      </c>
      <c r="I57" s="40" t="s">
        <v>511</v>
      </c>
      <c r="J57" s="41">
        <v>161212603.05000001</v>
      </c>
      <c r="K57" s="41">
        <v>161212603.05000001</v>
      </c>
      <c r="L57" s="54">
        <v>0</v>
      </c>
      <c r="M57" s="54">
        <v>0</v>
      </c>
      <c r="N57" s="42">
        <f t="shared" si="2"/>
        <v>0</v>
      </c>
      <c r="O57" s="43">
        <f t="shared" si="3"/>
        <v>0</v>
      </c>
      <c r="P57" s="41">
        <v>161212603.05000001</v>
      </c>
      <c r="Q57" s="43">
        <f t="shared" si="4"/>
        <v>0</v>
      </c>
      <c r="R57" s="41">
        <v>161212603.05000001</v>
      </c>
      <c r="S57" s="30">
        <f t="shared" ref="S57:S66" si="7">R57</f>
        <v>161212603.05000001</v>
      </c>
      <c r="T57" s="30">
        <f t="shared" si="5"/>
        <v>161212603.05000001</v>
      </c>
      <c r="U57" s="30">
        <f>T57/X57</f>
        <v>414.21000000000004</v>
      </c>
      <c r="V57" s="41">
        <f>T57/X57</f>
        <v>414.21000000000004</v>
      </c>
      <c r="W57" s="41">
        <f>V57*AU57</f>
        <v>12426.300000000001</v>
      </c>
      <c r="X57" s="41">
        <v>389205</v>
      </c>
      <c r="Y57" s="41">
        <v>389205</v>
      </c>
      <c r="Z57" s="41">
        <v>0</v>
      </c>
      <c r="AA57" s="41">
        <v>0</v>
      </c>
      <c r="AB57" s="41"/>
      <c r="AC57" s="41">
        <f t="shared" si="0"/>
        <v>0</v>
      </c>
      <c r="AD57" s="41"/>
      <c r="AE57" s="41">
        <f t="shared" si="1"/>
        <v>0</v>
      </c>
      <c r="AF57" s="41">
        <f>X57/AU57</f>
        <v>12973.5</v>
      </c>
      <c r="AG57" s="41">
        <f t="shared" si="6"/>
        <v>12974</v>
      </c>
      <c r="AH57" s="36">
        <v>45366</v>
      </c>
      <c r="AI57" s="36"/>
      <c r="AJ57" s="36"/>
      <c r="AK57" s="36">
        <v>45397</v>
      </c>
      <c r="AL57" s="36"/>
      <c r="AM57" s="46"/>
      <c r="AN57" s="40" t="s">
        <v>512</v>
      </c>
      <c r="AO57" s="40" t="s">
        <v>513</v>
      </c>
      <c r="AP57" s="40" t="s">
        <v>514</v>
      </c>
      <c r="AQ57" s="40" t="s">
        <v>58</v>
      </c>
      <c r="AR57" s="48">
        <v>0</v>
      </c>
      <c r="AS57" s="37">
        <v>100</v>
      </c>
      <c r="AT57" s="37" t="s">
        <v>386</v>
      </c>
      <c r="AU57" s="47">
        <v>30</v>
      </c>
      <c r="AV57" s="37" t="s">
        <v>60</v>
      </c>
      <c r="AW57" s="37">
        <v>10</v>
      </c>
      <c r="AX57" s="30">
        <f>(J57*10)/100</f>
        <v>16121260.305</v>
      </c>
      <c r="AY57" s="40" t="s">
        <v>402</v>
      </c>
    </row>
    <row r="58" spans="1:51" ht="44.25" customHeight="1" x14ac:dyDescent="0.25">
      <c r="A58" s="44" t="s">
        <v>515</v>
      </c>
      <c r="B58" s="46">
        <v>45211</v>
      </c>
      <c r="C58" s="40">
        <v>545</v>
      </c>
      <c r="D58" s="35" t="s">
        <v>516</v>
      </c>
      <c r="E58" s="39" t="s">
        <v>517</v>
      </c>
      <c r="F58" s="36">
        <v>45230</v>
      </c>
      <c r="G58" s="37" t="s">
        <v>518</v>
      </c>
      <c r="H58" s="40" t="s">
        <v>502</v>
      </c>
      <c r="I58" s="40" t="s">
        <v>519</v>
      </c>
      <c r="J58" s="54">
        <v>7108442.8799999999</v>
      </c>
      <c r="K58" s="54">
        <v>7108442.8799999999</v>
      </c>
      <c r="L58" s="54">
        <v>0</v>
      </c>
      <c r="M58" s="54">
        <v>0</v>
      </c>
      <c r="N58" s="42">
        <f t="shared" si="2"/>
        <v>0</v>
      </c>
      <c r="O58" s="43">
        <f t="shared" si="3"/>
        <v>0</v>
      </c>
      <c r="P58" s="41">
        <v>7108442.8799999999</v>
      </c>
      <c r="Q58" s="43">
        <f t="shared" si="4"/>
        <v>0</v>
      </c>
      <c r="R58" s="41">
        <v>7108442.8799999999</v>
      </c>
      <c r="S58" s="30">
        <f t="shared" si="7"/>
        <v>7108442.8799999999</v>
      </c>
      <c r="T58" s="30">
        <f t="shared" si="5"/>
        <v>7108442.8799999999</v>
      </c>
      <c r="U58" s="30">
        <f>T58/X58</f>
        <v>31.9</v>
      </c>
      <c r="V58" s="41">
        <f>T58/X58</f>
        <v>31.9</v>
      </c>
      <c r="W58" s="41">
        <f>V58*AU58</f>
        <v>888555.36</v>
      </c>
      <c r="X58" s="41">
        <v>222835.20000000001</v>
      </c>
      <c r="Y58" s="41">
        <v>222835.20000000001</v>
      </c>
      <c r="Z58" s="41">
        <v>0</v>
      </c>
      <c r="AA58" s="41">
        <v>0</v>
      </c>
      <c r="AB58" s="41"/>
      <c r="AC58" s="41">
        <f t="shared" si="0"/>
        <v>0</v>
      </c>
      <c r="AD58" s="41"/>
      <c r="AE58" s="41">
        <f t="shared" si="1"/>
        <v>0</v>
      </c>
      <c r="AF58" s="41">
        <f>X58/AU58</f>
        <v>8</v>
      </c>
      <c r="AG58" s="41">
        <f t="shared" si="6"/>
        <v>8</v>
      </c>
      <c r="AH58" s="36">
        <v>45300</v>
      </c>
      <c r="AI58" s="36"/>
      <c r="AJ58" s="36"/>
      <c r="AK58" s="36">
        <v>45332</v>
      </c>
      <c r="AL58" s="36"/>
      <c r="AM58" s="46"/>
      <c r="AN58" s="40" t="s">
        <v>520</v>
      </c>
      <c r="AO58" s="40" t="s">
        <v>521</v>
      </c>
      <c r="AP58" s="40" t="s">
        <v>522</v>
      </c>
      <c r="AQ58" s="40" t="s">
        <v>523</v>
      </c>
      <c r="AR58" s="48">
        <v>0</v>
      </c>
      <c r="AS58" s="37">
        <v>100</v>
      </c>
      <c r="AT58" s="37" t="s">
        <v>324</v>
      </c>
      <c r="AU58" s="52">
        <v>27854.400000000001</v>
      </c>
      <c r="AV58" s="37" t="s">
        <v>219</v>
      </c>
      <c r="AW58" s="37">
        <v>10</v>
      </c>
      <c r="AX58" s="30">
        <f>(J58*10)/100</f>
        <v>710844.28799999994</v>
      </c>
      <c r="AY58" s="40" t="s">
        <v>95</v>
      </c>
    </row>
    <row r="59" spans="1:51" ht="44.25" customHeight="1" x14ac:dyDescent="0.25">
      <c r="A59" s="44" t="s">
        <v>524</v>
      </c>
      <c r="B59" s="46">
        <v>45211</v>
      </c>
      <c r="C59" s="40">
        <v>545</v>
      </c>
      <c r="D59" s="35" t="s">
        <v>525</v>
      </c>
      <c r="E59" s="39" t="s">
        <v>526</v>
      </c>
      <c r="F59" s="36">
        <v>45230</v>
      </c>
      <c r="G59" s="37" t="s">
        <v>527</v>
      </c>
      <c r="H59" s="40" t="s">
        <v>86</v>
      </c>
      <c r="I59" s="40" t="s">
        <v>528</v>
      </c>
      <c r="J59" s="54">
        <v>17806060.800000001</v>
      </c>
      <c r="K59" s="54">
        <v>17806060.800000001</v>
      </c>
      <c r="L59" s="54">
        <v>0</v>
      </c>
      <c r="M59" s="54">
        <v>0</v>
      </c>
      <c r="N59" s="42">
        <f t="shared" si="2"/>
        <v>0</v>
      </c>
      <c r="O59" s="43">
        <f t="shared" si="3"/>
        <v>0</v>
      </c>
      <c r="P59" s="41">
        <v>17806060.800000001</v>
      </c>
      <c r="Q59" s="43">
        <f t="shared" si="4"/>
        <v>0</v>
      </c>
      <c r="R59" s="41">
        <v>17806060.800000001</v>
      </c>
      <c r="S59" s="30">
        <f t="shared" si="7"/>
        <v>17806060.800000001</v>
      </c>
      <c r="T59" s="30">
        <f t="shared" si="5"/>
        <v>17806060.800000001</v>
      </c>
      <c r="U59" s="30">
        <f>T59/X59</f>
        <v>247306.40000000002</v>
      </c>
      <c r="V59" s="41">
        <f>T59/X59</f>
        <v>247306.40000000002</v>
      </c>
      <c r="W59" s="41">
        <f>V59*AU59</f>
        <v>2967676.8000000003</v>
      </c>
      <c r="X59" s="41">
        <v>72</v>
      </c>
      <c r="Y59" s="41">
        <v>72</v>
      </c>
      <c r="Z59" s="41">
        <v>0</v>
      </c>
      <c r="AA59" s="41">
        <v>0</v>
      </c>
      <c r="AB59" s="41"/>
      <c r="AC59" s="41">
        <f t="shared" si="0"/>
        <v>0</v>
      </c>
      <c r="AD59" s="41"/>
      <c r="AE59" s="41">
        <f t="shared" si="1"/>
        <v>0</v>
      </c>
      <c r="AF59" s="41">
        <f>X59/AU59</f>
        <v>6</v>
      </c>
      <c r="AG59" s="41">
        <f t="shared" si="6"/>
        <v>6</v>
      </c>
      <c r="AH59" s="36">
        <v>45300</v>
      </c>
      <c r="AI59" s="36"/>
      <c r="AJ59" s="36"/>
      <c r="AK59" s="36">
        <v>45331</v>
      </c>
      <c r="AL59" s="36"/>
      <c r="AM59" s="46"/>
      <c r="AN59" s="40" t="s">
        <v>374</v>
      </c>
      <c r="AO59" s="40" t="s">
        <v>375</v>
      </c>
      <c r="AP59" s="40" t="s">
        <v>529</v>
      </c>
      <c r="AQ59" s="40" t="s">
        <v>58</v>
      </c>
      <c r="AR59" s="48">
        <v>0</v>
      </c>
      <c r="AS59" s="37">
        <v>100</v>
      </c>
      <c r="AT59" s="37" t="s">
        <v>81</v>
      </c>
      <c r="AU59" s="47">
        <v>12</v>
      </c>
      <c r="AV59" s="37" t="s">
        <v>60</v>
      </c>
      <c r="AW59" s="37">
        <v>10</v>
      </c>
      <c r="AX59" s="30">
        <f>(J59*10)/100</f>
        <v>1780606.08</v>
      </c>
      <c r="AY59" s="40" t="s">
        <v>95</v>
      </c>
    </row>
    <row r="60" spans="1:51" ht="44.25" customHeight="1" x14ac:dyDescent="0.25">
      <c r="A60" s="44" t="s">
        <v>530</v>
      </c>
      <c r="B60" s="46">
        <v>45211</v>
      </c>
      <c r="C60" s="40" t="s">
        <v>494</v>
      </c>
      <c r="D60" s="35" t="s">
        <v>531</v>
      </c>
      <c r="E60" s="39" t="s">
        <v>532</v>
      </c>
      <c r="F60" s="36">
        <v>45230</v>
      </c>
      <c r="G60" s="37" t="s">
        <v>533</v>
      </c>
      <c r="H60" s="40" t="s">
        <v>139</v>
      </c>
      <c r="I60" s="40" t="s">
        <v>497</v>
      </c>
      <c r="J60" s="54">
        <v>288944067.75</v>
      </c>
      <c r="K60" s="54">
        <v>288944067.75</v>
      </c>
      <c r="L60" s="54">
        <v>0</v>
      </c>
      <c r="M60" s="54">
        <v>0</v>
      </c>
      <c r="N60" s="42">
        <f t="shared" si="2"/>
        <v>0</v>
      </c>
      <c r="O60" s="43">
        <f t="shared" si="3"/>
        <v>0</v>
      </c>
      <c r="P60" s="41">
        <v>288944067.75</v>
      </c>
      <c r="Q60" s="43">
        <f t="shared" si="4"/>
        <v>0</v>
      </c>
      <c r="R60" s="41">
        <v>288944067.75</v>
      </c>
      <c r="S60" s="30">
        <f t="shared" si="7"/>
        <v>288944067.75</v>
      </c>
      <c r="T60" s="30">
        <f t="shared" si="5"/>
        <v>288944067.75</v>
      </c>
      <c r="U60" s="30">
        <f>T60/X60</f>
        <v>574.54999999999995</v>
      </c>
      <c r="V60" s="41">
        <f>T60/X60</f>
        <v>574.54999999999995</v>
      </c>
      <c r="W60" s="41">
        <f>V60*AU60</f>
        <v>108015.4</v>
      </c>
      <c r="X60" s="41">
        <v>502905</v>
      </c>
      <c r="Y60" s="41">
        <v>502905</v>
      </c>
      <c r="Z60" s="41">
        <v>0</v>
      </c>
      <c r="AA60" s="41">
        <v>0</v>
      </c>
      <c r="AB60" s="41"/>
      <c r="AC60" s="41">
        <f t="shared" si="0"/>
        <v>0</v>
      </c>
      <c r="AD60" s="41"/>
      <c r="AE60" s="41">
        <f t="shared" si="1"/>
        <v>0</v>
      </c>
      <c r="AF60" s="41">
        <f>X60/AU60</f>
        <v>2675.0265957446809</v>
      </c>
      <c r="AG60" s="41">
        <f t="shared" si="6"/>
        <v>2676</v>
      </c>
      <c r="AH60" s="36">
        <v>45301</v>
      </c>
      <c r="AI60" s="36"/>
      <c r="AJ60" s="36"/>
      <c r="AK60" s="36">
        <v>45332</v>
      </c>
      <c r="AL60" s="36"/>
      <c r="AM60" s="46"/>
      <c r="AN60" s="40" t="s">
        <v>534</v>
      </c>
      <c r="AO60" s="40" t="s">
        <v>535</v>
      </c>
      <c r="AP60" s="40" t="s">
        <v>536</v>
      </c>
      <c r="AQ60" s="40" t="s">
        <v>80</v>
      </c>
      <c r="AR60" s="48">
        <v>100</v>
      </c>
      <c r="AS60" s="37">
        <v>0</v>
      </c>
      <c r="AT60" s="37" t="s">
        <v>386</v>
      </c>
      <c r="AU60" s="47">
        <v>188</v>
      </c>
      <c r="AV60" s="37" t="s">
        <v>60</v>
      </c>
      <c r="AW60" s="37">
        <v>10</v>
      </c>
      <c r="AX60" s="30">
        <f>(J60*10)/100</f>
        <v>28894406.774999999</v>
      </c>
      <c r="AY60" s="40" t="s">
        <v>95</v>
      </c>
    </row>
    <row r="61" spans="1:51" ht="44.25" customHeight="1" x14ac:dyDescent="0.25">
      <c r="A61" s="44" t="s">
        <v>537</v>
      </c>
      <c r="B61" s="46">
        <v>45211</v>
      </c>
      <c r="C61" s="40">
        <v>545</v>
      </c>
      <c r="D61" s="35" t="s">
        <v>538</v>
      </c>
      <c r="E61" s="39" t="s">
        <v>539</v>
      </c>
      <c r="F61" s="36">
        <v>45230</v>
      </c>
      <c r="G61" s="37" t="s">
        <v>540</v>
      </c>
      <c r="H61" s="40" t="s">
        <v>86</v>
      </c>
      <c r="I61" s="40" t="s">
        <v>338</v>
      </c>
      <c r="J61" s="54">
        <v>24780777.600000001</v>
      </c>
      <c r="K61" s="54">
        <v>24780777.600000001</v>
      </c>
      <c r="L61" s="54">
        <v>0</v>
      </c>
      <c r="M61" s="54">
        <v>0</v>
      </c>
      <c r="N61" s="42">
        <f t="shared" si="2"/>
        <v>0</v>
      </c>
      <c r="O61" s="43">
        <f t="shared" si="3"/>
        <v>0</v>
      </c>
      <c r="P61" s="54">
        <v>24780777.600000001</v>
      </c>
      <c r="Q61" s="43">
        <f t="shared" si="4"/>
        <v>0</v>
      </c>
      <c r="R61" s="41">
        <v>24780777.600000001</v>
      </c>
      <c r="S61" s="30">
        <f t="shared" si="7"/>
        <v>24780777.600000001</v>
      </c>
      <c r="T61" s="30">
        <f t="shared" si="5"/>
        <v>24780777.600000001</v>
      </c>
      <c r="U61" s="30">
        <f>T61/X61</f>
        <v>25813.31</v>
      </c>
      <c r="V61" s="41">
        <f>T61/X61</f>
        <v>25813.31</v>
      </c>
      <c r="W61" s="41">
        <f>V61*AU61</f>
        <v>774399.3</v>
      </c>
      <c r="X61" s="41">
        <v>960</v>
      </c>
      <c r="Y61" s="41">
        <v>960</v>
      </c>
      <c r="Z61" s="41">
        <v>0</v>
      </c>
      <c r="AA61" s="41">
        <v>0</v>
      </c>
      <c r="AB61" s="41"/>
      <c r="AC61" s="41">
        <f t="shared" si="0"/>
        <v>0</v>
      </c>
      <c r="AD61" s="41"/>
      <c r="AE61" s="41">
        <f t="shared" si="1"/>
        <v>0</v>
      </c>
      <c r="AF61" s="41">
        <f>X61/AU61</f>
        <v>32</v>
      </c>
      <c r="AG61" s="41">
        <f t="shared" si="6"/>
        <v>32</v>
      </c>
      <c r="AH61" s="36">
        <v>45300</v>
      </c>
      <c r="AI61" s="36"/>
      <c r="AJ61" s="36"/>
      <c r="AK61" s="36">
        <v>45332</v>
      </c>
      <c r="AL61" s="36"/>
      <c r="AM61" s="46"/>
      <c r="AN61" s="40" t="s">
        <v>339</v>
      </c>
      <c r="AO61" s="40" t="s">
        <v>340</v>
      </c>
      <c r="AP61" s="40" t="s">
        <v>341</v>
      </c>
      <c r="AQ61" s="40" t="s">
        <v>342</v>
      </c>
      <c r="AR61" s="48">
        <v>0</v>
      </c>
      <c r="AS61" s="37">
        <v>100</v>
      </c>
      <c r="AT61" s="37" t="s">
        <v>343</v>
      </c>
      <c r="AU61" s="47">
        <v>30</v>
      </c>
      <c r="AV61" s="37" t="s">
        <v>60</v>
      </c>
      <c r="AW61" s="37">
        <v>10</v>
      </c>
      <c r="AX61" s="30">
        <f>(J61*10)/100</f>
        <v>2478077.7599999998</v>
      </c>
      <c r="AY61" s="40" t="s">
        <v>95</v>
      </c>
    </row>
    <row r="62" spans="1:51" ht="44.25" customHeight="1" x14ac:dyDescent="0.25">
      <c r="A62" s="44" t="s">
        <v>541</v>
      </c>
      <c r="B62" s="46">
        <v>45215</v>
      </c>
      <c r="C62" s="40">
        <v>545</v>
      </c>
      <c r="D62" s="35" t="s">
        <v>542</v>
      </c>
      <c r="E62" s="39" t="s">
        <v>543</v>
      </c>
      <c r="F62" s="36">
        <v>45237</v>
      </c>
      <c r="G62" s="37" t="s">
        <v>544</v>
      </c>
      <c r="H62" s="40" t="s">
        <v>86</v>
      </c>
      <c r="I62" s="40" t="s">
        <v>413</v>
      </c>
      <c r="J62" s="54">
        <v>5420807.7000000002</v>
      </c>
      <c r="K62" s="54">
        <v>5420807.7000000002</v>
      </c>
      <c r="L62" s="54">
        <v>0</v>
      </c>
      <c r="M62" s="54">
        <v>0</v>
      </c>
      <c r="N62" s="42">
        <f t="shared" si="2"/>
        <v>0</v>
      </c>
      <c r="O62" s="43">
        <f t="shared" si="3"/>
        <v>0</v>
      </c>
      <c r="P62" s="41">
        <v>5420807.7000000002</v>
      </c>
      <c r="Q62" s="43">
        <f t="shared" si="4"/>
        <v>0</v>
      </c>
      <c r="R62" s="41">
        <v>5420807.7000000002</v>
      </c>
      <c r="S62" s="30">
        <f t="shared" si="7"/>
        <v>5420807.7000000002</v>
      </c>
      <c r="T62" s="30">
        <f t="shared" si="5"/>
        <v>5420807.7000000002</v>
      </c>
      <c r="U62" s="30">
        <f>T62/X62</f>
        <v>25813.370000000003</v>
      </c>
      <c r="V62" s="41">
        <f>T62/X62</f>
        <v>25813.370000000003</v>
      </c>
      <c r="W62" s="41">
        <f>V62*AU62</f>
        <v>387200.55000000005</v>
      </c>
      <c r="X62" s="41">
        <v>210</v>
      </c>
      <c r="Y62" s="41">
        <v>210</v>
      </c>
      <c r="Z62" s="41">
        <v>0</v>
      </c>
      <c r="AA62" s="41">
        <v>0</v>
      </c>
      <c r="AB62" s="41"/>
      <c r="AC62" s="41">
        <f t="shared" si="0"/>
        <v>0</v>
      </c>
      <c r="AD62" s="41"/>
      <c r="AE62" s="41">
        <f t="shared" si="1"/>
        <v>0</v>
      </c>
      <c r="AF62" s="41">
        <f>X62/AU62</f>
        <v>14</v>
      </c>
      <c r="AG62" s="41">
        <f t="shared" si="6"/>
        <v>14</v>
      </c>
      <c r="AH62" s="36">
        <v>45300</v>
      </c>
      <c r="AI62" s="36"/>
      <c r="AJ62" s="36"/>
      <c r="AK62" s="36">
        <v>45332</v>
      </c>
      <c r="AL62" s="36"/>
      <c r="AM62" s="46"/>
      <c r="AN62" s="40" t="s">
        <v>339</v>
      </c>
      <c r="AO62" s="40" t="s">
        <v>545</v>
      </c>
      <c r="AP62" s="40" t="s">
        <v>546</v>
      </c>
      <c r="AQ62" s="40" t="s">
        <v>342</v>
      </c>
      <c r="AR62" s="48">
        <v>0</v>
      </c>
      <c r="AS62" s="37">
        <v>100</v>
      </c>
      <c r="AT62" s="37" t="s">
        <v>343</v>
      </c>
      <c r="AU62" s="47">
        <v>15</v>
      </c>
      <c r="AV62" s="37" t="s">
        <v>60</v>
      </c>
      <c r="AW62" s="37">
        <v>10</v>
      </c>
      <c r="AX62" s="30">
        <f>(J62*10)/100</f>
        <v>542080.77</v>
      </c>
      <c r="AY62" s="40" t="s">
        <v>95</v>
      </c>
    </row>
    <row r="63" spans="1:51" ht="126" x14ac:dyDescent="0.25">
      <c r="A63" s="44" t="s">
        <v>547</v>
      </c>
      <c r="B63" s="36">
        <v>45215</v>
      </c>
      <c r="C63" s="37">
        <v>545</v>
      </c>
      <c r="D63" s="35" t="s">
        <v>548</v>
      </c>
      <c r="E63" s="39" t="s">
        <v>549</v>
      </c>
      <c r="F63" s="36">
        <v>45237</v>
      </c>
      <c r="G63" s="37" t="s">
        <v>550</v>
      </c>
      <c r="H63" s="40" t="s">
        <v>86</v>
      </c>
      <c r="I63" s="40" t="s">
        <v>365</v>
      </c>
      <c r="J63" s="41">
        <v>17806060.800000001</v>
      </c>
      <c r="K63" s="41">
        <v>17806060.800000001</v>
      </c>
      <c r="L63" s="54">
        <v>0</v>
      </c>
      <c r="M63" s="54">
        <v>0</v>
      </c>
      <c r="N63" s="42">
        <f t="shared" si="2"/>
        <v>0</v>
      </c>
      <c r="O63" s="43">
        <v>17806060.800000001</v>
      </c>
      <c r="P63" s="41">
        <v>17806060.800000001</v>
      </c>
      <c r="Q63" s="43">
        <f t="shared" si="4"/>
        <v>0</v>
      </c>
      <c r="R63" s="41">
        <v>17806060.800000001</v>
      </c>
      <c r="S63" s="30">
        <f t="shared" si="7"/>
        <v>17806060.800000001</v>
      </c>
      <c r="T63" s="30">
        <f t="shared" si="5"/>
        <v>17806060.800000001</v>
      </c>
      <c r="U63" s="30">
        <f>T63/X63</f>
        <v>618266</v>
      </c>
      <c r="V63" s="41">
        <f>T63/X63</f>
        <v>618266</v>
      </c>
      <c r="W63" s="41">
        <f>V63*AU63</f>
        <v>5935353.5999999996</v>
      </c>
      <c r="X63" s="41">
        <v>28.8</v>
      </c>
      <c r="Y63" s="41">
        <v>28.8</v>
      </c>
      <c r="Z63" s="41">
        <v>0</v>
      </c>
      <c r="AA63" s="41">
        <v>0</v>
      </c>
      <c r="AB63" s="41"/>
      <c r="AC63" s="41">
        <f t="shared" si="0"/>
        <v>0</v>
      </c>
      <c r="AD63" s="41"/>
      <c r="AE63" s="41">
        <f t="shared" si="1"/>
        <v>0</v>
      </c>
      <c r="AF63" s="41">
        <f>X63/AU63</f>
        <v>3</v>
      </c>
      <c r="AG63" s="41">
        <f t="shared" si="6"/>
        <v>3</v>
      </c>
      <c r="AH63" s="36">
        <v>45300</v>
      </c>
      <c r="AI63" s="36"/>
      <c r="AJ63" s="36"/>
      <c r="AK63" s="36">
        <v>45332</v>
      </c>
      <c r="AL63" s="36"/>
      <c r="AM63" s="46"/>
      <c r="AN63" s="40" t="s">
        <v>366</v>
      </c>
      <c r="AO63" s="40" t="s">
        <v>551</v>
      </c>
      <c r="AP63" s="40" t="s">
        <v>368</v>
      </c>
      <c r="AQ63" s="40" t="s">
        <v>58</v>
      </c>
      <c r="AR63" s="48">
        <v>0</v>
      </c>
      <c r="AS63" s="37">
        <v>100</v>
      </c>
      <c r="AT63" s="37" t="s">
        <v>81</v>
      </c>
      <c r="AU63" s="52">
        <v>9.6</v>
      </c>
      <c r="AV63" s="37" t="s">
        <v>60</v>
      </c>
      <c r="AW63" s="37">
        <v>10</v>
      </c>
      <c r="AX63" s="30">
        <f>(J63*10)/100</f>
        <v>1780606.08</v>
      </c>
      <c r="AY63" s="40" t="s">
        <v>95</v>
      </c>
    </row>
    <row r="64" spans="1:51" ht="85.5" customHeight="1" x14ac:dyDescent="0.25">
      <c r="A64" s="44" t="s">
        <v>552</v>
      </c>
      <c r="B64" s="36">
        <v>45217</v>
      </c>
      <c r="C64" s="37">
        <v>545</v>
      </c>
      <c r="D64" s="35" t="s">
        <v>553</v>
      </c>
      <c r="E64" s="39" t="s">
        <v>554</v>
      </c>
      <c r="F64" s="36">
        <v>45237</v>
      </c>
      <c r="G64" s="37" t="s">
        <v>555</v>
      </c>
      <c r="H64" s="40" t="s">
        <v>502</v>
      </c>
      <c r="I64" s="40" t="s">
        <v>503</v>
      </c>
      <c r="J64" s="41">
        <v>2210956</v>
      </c>
      <c r="K64" s="41">
        <v>2210956</v>
      </c>
      <c r="L64" s="54">
        <v>0</v>
      </c>
      <c r="M64" s="54">
        <v>0</v>
      </c>
      <c r="N64" s="42">
        <f t="shared" si="2"/>
        <v>0</v>
      </c>
      <c r="O64" s="43">
        <v>2210956</v>
      </c>
      <c r="P64" s="41">
        <v>2210956</v>
      </c>
      <c r="Q64" s="43">
        <f t="shared" si="4"/>
        <v>0</v>
      </c>
      <c r="R64" s="41">
        <v>2210956</v>
      </c>
      <c r="S64" s="30">
        <f t="shared" si="7"/>
        <v>2210956</v>
      </c>
      <c r="T64" s="30">
        <f t="shared" si="5"/>
        <v>2210956</v>
      </c>
      <c r="U64" s="30">
        <f>T64/X64</f>
        <v>1004.98</v>
      </c>
      <c r="V64" s="41">
        <f>T64/X64</f>
        <v>1004.98</v>
      </c>
      <c r="W64" s="41">
        <f>V64*AU64</f>
        <v>50249</v>
      </c>
      <c r="X64" s="41">
        <v>2200</v>
      </c>
      <c r="Y64" s="41">
        <v>2200</v>
      </c>
      <c r="Z64" s="41">
        <v>0</v>
      </c>
      <c r="AA64" s="41">
        <v>0</v>
      </c>
      <c r="AB64" s="41"/>
      <c r="AC64" s="41">
        <f t="shared" si="0"/>
        <v>0</v>
      </c>
      <c r="AD64" s="41"/>
      <c r="AE64" s="41">
        <f t="shared" si="1"/>
        <v>0</v>
      </c>
      <c r="AF64" s="41">
        <f>X64/AU64</f>
        <v>44</v>
      </c>
      <c r="AG64" s="41">
        <f t="shared" si="6"/>
        <v>44</v>
      </c>
      <c r="AH64" s="36">
        <v>45300</v>
      </c>
      <c r="AI64" s="36"/>
      <c r="AJ64" s="36"/>
      <c r="AK64" s="36">
        <v>45332</v>
      </c>
      <c r="AL64" s="36"/>
      <c r="AM64" s="46"/>
      <c r="AN64" s="40" t="s">
        <v>556</v>
      </c>
      <c r="AO64" s="40" t="s">
        <v>557</v>
      </c>
      <c r="AP64" s="40" t="s">
        <v>558</v>
      </c>
      <c r="AQ64" s="40" t="s">
        <v>58</v>
      </c>
      <c r="AR64" s="48">
        <v>0</v>
      </c>
      <c r="AS64" s="37">
        <v>100</v>
      </c>
      <c r="AT64" s="37" t="s">
        <v>324</v>
      </c>
      <c r="AU64" s="47">
        <v>50</v>
      </c>
      <c r="AV64" s="37" t="s">
        <v>219</v>
      </c>
      <c r="AW64" s="37">
        <v>10</v>
      </c>
      <c r="AX64" s="30">
        <f>(J64*10)/100</f>
        <v>221095.6</v>
      </c>
      <c r="AY64" s="40" t="s">
        <v>95</v>
      </c>
    </row>
    <row r="65" spans="1:51" ht="75" x14ac:dyDescent="0.25">
      <c r="A65" s="44" t="s">
        <v>559</v>
      </c>
      <c r="B65" s="36">
        <v>45217</v>
      </c>
      <c r="C65" s="37">
        <v>545</v>
      </c>
      <c r="D65" s="35" t="s">
        <v>560</v>
      </c>
      <c r="E65" s="39" t="s">
        <v>561</v>
      </c>
      <c r="F65" s="36">
        <v>45237</v>
      </c>
      <c r="G65" s="37" t="s">
        <v>562</v>
      </c>
      <c r="H65" s="40" t="s">
        <v>563</v>
      </c>
      <c r="I65" s="40" t="s">
        <v>564</v>
      </c>
      <c r="J65" s="41">
        <v>3519984.6</v>
      </c>
      <c r="K65" s="41">
        <v>3519984.6</v>
      </c>
      <c r="L65" s="54">
        <v>0</v>
      </c>
      <c r="M65" s="54">
        <v>0</v>
      </c>
      <c r="N65" s="42">
        <f t="shared" si="2"/>
        <v>0</v>
      </c>
      <c r="O65" s="43">
        <v>3519984.6</v>
      </c>
      <c r="P65" s="41">
        <v>3519984.6</v>
      </c>
      <c r="Q65" s="43">
        <f t="shared" si="4"/>
        <v>0</v>
      </c>
      <c r="R65" s="41">
        <v>3519984.6</v>
      </c>
      <c r="S65" s="30">
        <f t="shared" si="7"/>
        <v>3519984.6</v>
      </c>
      <c r="T65" s="30">
        <f t="shared" si="5"/>
        <v>3519984.6</v>
      </c>
      <c r="U65" s="30">
        <f>T65/X65</f>
        <v>5333.31</v>
      </c>
      <c r="V65" s="41">
        <f>T65/X65</f>
        <v>5333.31</v>
      </c>
      <c r="W65" s="41">
        <f>V65*AU65</f>
        <v>319998.60000000003</v>
      </c>
      <c r="X65" s="41">
        <v>660</v>
      </c>
      <c r="Y65" s="41">
        <v>660</v>
      </c>
      <c r="Z65" s="41">
        <v>0</v>
      </c>
      <c r="AA65" s="41">
        <v>0</v>
      </c>
      <c r="AB65" s="41"/>
      <c r="AC65" s="41">
        <f t="shared" si="0"/>
        <v>0</v>
      </c>
      <c r="AD65" s="41"/>
      <c r="AE65" s="41">
        <f t="shared" si="1"/>
        <v>0</v>
      </c>
      <c r="AF65" s="41">
        <f>X65/AU65</f>
        <v>11</v>
      </c>
      <c r="AG65" s="41">
        <f t="shared" si="6"/>
        <v>11</v>
      </c>
      <c r="AH65" s="36">
        <v>45300</v>
      </c>
      <c r="AI65" s="36"/>
      <c r="AJ65" s="36"/>
      <c r="AK65" s="36">
        <v>45332</v>
      </c>
      <c r="AL65" s="36"/>
      <c r="AM65" s="46"/>
      <c r="AN65" s="40" t="s">
        <v>565</v>
      </c>
      <c r="AO65" s="40" t="s">
        <v>566</v>
      </c>
      <c r="AP65" s="40" t="s">
        <v>567</v>
      </c>
      <c r="AQ65" s="40" t="s">
        <v>80</v>
      </c>
      <c r="AR65" s="48">
        <v>100</v>
      </c>
      <c r="AS65" s="37">
        <v>0</v>
      </c>
      <c r="AT65" s="37" t="s">
        <v>386</v>
      </c>
      <c r="AU65" s="47">
        <v>60</v>
      </c>
      <c r="AV65" s="37" t="s">
        <v>60</v>
      </c>
      <c r="AW65" s="37">
        <v>10</v>
      </c>
      <c r="AX65" s="30">
        <f>(J65*10)/100</f>
        <v>351998.46</v>
      </c>
      <c r="AY65" s="40" t="s">
        <v>95</v>
      </c>
    </row>
    <row r="66" spans="1:51" ht="94.5" x14ac:dyDescent="0.25">
      <c r="A66" s="44" t="s">
        <v>568</v>
      </c>
      <c r="B66" s="36">
        <v>45219</v>
      </c>
      <c r="C66" s="37">
        <v>545</v>
      </c>
      <c r="D66" s="35" t="s">
        <v>569</v>
      </c>
      <c r="E66" s="39" t="s">
        <v>570</v>
      </c>
      <c r="F66" s="36">
        <v>45240</v>
      </c>
      <c r="G66" s="37" t="s">
        <v>571</v>
      </c>
      <c r="H66" s="40" t="s">
        <v>319</v>
      </c>
      <c r="I66" s="40" t="s">
        <v>320</v>
      </c>
      <c r="J66" s="41">
        <v>18087484.800000001</v>
      </c>
      <c r="K66" s="41">
        <v>18087484.800000001</v>
      </c>
      <c r="L66" s="54">
        <v>0</v>
      </c>
      <c r="M66" s="54">
        <v>0</v>
      </c>
      <c r="N66" s="42">
        <f t="shared" si="2"/>
        <v>0</v>
      </c>
      <c r="O66" s="43">
        <v>18087484.800000001</v>
      </c>
      <c r="P66" s="41">
        <v>18087484.800000001</v>
      </c>
      <c r="Q66" s="43">
        <f t="shared" si="4"/>
        <v>0</v>
      </c>
      <c r="R66" s="41">
        <v>18087484.800000001</v>
      </c>
      <c r="S66" s="30">
        <f t="shared" si="7"/>
        <v>18087484.800000001</v>
      </c>
      <c r="T66" s="30">
        <f t="shared" si="5"/>
        <v>18087484.800000001</v>
      </c>
      <c r="U66" s="30">
        <f>T66/X66</f>
        <v>10766.36</v>
      </c>
      <c r="V66" s="41">
        <f>T66/X66</f>
        <v>10766.36</v>
      </c>
      <c r="W66" s="41">
        <f>V66*AU66</f>
        <v>1507290.4000000001</v>
      </c>
      <c r="X66" s="41">
        <v>1680</v>
      </c>
      <c r="Y66" s="41">
        <v>1680</v>
      </c>
      <c r="Z66" s="41">
        <v>0</v>
      </c>
      <c r="AA66" s="41">
        <v>0</v>
      </c>
      <c r="AB66" s="41"/>
      <c r="AC66" s="41">
        <f t="shared" si="0"/>
        <v>0</v>
      </c>
      <c r="AD66" s="41"/>
      <c r="AE66" s="41">
        <f t="shared" si="1"/>
        <v>0</v>
      </c>
      <c r="AF66" s="41">
        <f>X66/AU66</f>
        <v>12</v>
      </c>
      <c r="AG66" s="41">
        <f t="shared" si="6"/>
        <v>12</v>
      </c>
      <c r="AH66" s="36">
        <v>45300</v>
      </c>
      <c r="AI66" s="36"/>
      <c r="AJ66" s="36"/>
      <c r="AK66" s="36">
        <v>45332</v>
      </c>
      <c r="AL66" s="36"/>
      <c r="AM66" s="46"/>
      <c r="AN66" s="40" t="s">
        <v>321</v>
      </c>
      <c r="AO66" s="40" t="s">
        <v>322</v>
      </c>
      <c r="AP66" s="40" t="s">
        <v>323</v>
      </c>
      <c r="AQ66" s="40" t="s">
        <v>146</v>
      </c>
      <c r="AR66" s="48">
        <v>0</v>
      </c>
      <c r="AS66" s="37">
        <v>100</v>
      </c>
      <c r="AT66" s="37" t="s">
        <v>324</v>
      </c>
      <c r="AU66" s="47">
        <v>140</v>
      </c>
      <c r="AV66" s="37" t="s">
        <v>60</v>
      </c>
      <c r="AW66" s="37">
        <v>10</v>
      </c>
      <c r="AX66" s="30">
        <f>(J66*10)/100</f>
        <v>1808748.48</v>
      </c>
      <c r="AY66" s="40" t="s">
        <v>95</v>
      </c>
    </row>
    <row r="67" spans="1:51" ht="75" x14ac:dyDescent="0.25">
      <c r="A67" s="44" t="s">
        <v>572</v>
      </c>
      <c r="B67" s="36">
        <v>45219</v>
      </c>
      <c r="C67" s="37">
        <v>545</v>
      </c>
      <c r="D67" s="35" t="s">
        <v>573</v>
      </c>
      <c r="E67" s="39" t="s">
        <v>574</v>
      </c>
      <c r="F67" s="36">
        <v>45240</v>
      </c>
      <c r="G67" s="37" t="s">
        <v>575</v>
      </c>
      <c r="H67" s="40" t="s">
        <v>53</v>
      </c>
      <c r="I67" s="40" t="s">
        <v>576</v>
      </c>
      <c r="J67" s="41">
        <v>96768822.079999998</v>
      </c>
      <c r="K67" s="41">
        <v>96768822.079999998</v>
      </c>
      <c r="L67" s="54">
        <v>0</v>
      </c>
      <c r="M67" s="54">
        <v>0</v>
      </c>
      <c r="N67" s="42">
        <f t="shared" si="2"/>
        <v>0</v>
      </c>
      <c r="O67" s="43">
        <v>96768822.079999998</v>
      </c>
      <c r="P67" s="41">
        <v>96768822.079999998</v>
      </c>
      <c r="Q67" s="43">
        <f t="shared" si="4"/>
        <v>0</v>
      </c>
      <c r="R67" s="41">
        <v>96768822.079999998</v>
      </c>
      <c r="S67" s="30">
        <v>125663073.48</v>
      </c>
      <c r="T67" s="30">
        <f t="shared" si="5"/>
        <v>125663073.48</v>
      </c>
      <c r="U67" s="30">
        <f>T67/X67</f>
        <v>1281.9100000000001</v>
      </c>
      <c r="V67" s="41">
        <f>T67/X67</f>
        <v>1281.9100000000001</v>
      </c>
      <c r="W67" s="41">
        <f>V67*AU67</f>
        <v>35893.480000000003</v>
      </c>
      <c r="X67" s="41">
        <f>Y67</f>
        <v>98028</v>
      </c>
      <c r="Y67" s="41">
        <v>98028</v>
      </c>
      <c r="Z67" s="41">
        <v>0</v>
      </c>
      <c r="AA67" s="41">
        <v>0</v>
      </c>
      <c r="AB67" s="41"/>
      <c r="AC67" s="41">
        <f t="shared" si="0"/>
        <v>0</v>
      </c>
      <c r="AD67" s="41"/>
      <c r="AE67" s="41">
        <f t="shared" si="1"/>
        <v>0</v>
      </c>
      <c r="AF67" s="41">
        <f>X67/AU67</f>
        <v>3501</v>
      </c>
      <c r="AG67" s="41">
        <f t="shared" si="6"/>
        <v>3501</v>
      </c>
      <c r="AH67" s="36">
        <v>45352</v>
      </c>
      <c r="AI67" s="36"/>
      <c r="AJ67" s="36"/>
      <c r="AK67" s="36">
        <v>45383</v>
      </c>
      <c r="AL67" s="36"/>
      <c r="AM67" s="46"/>
      <c r="AN67" s="40" t="s">
        <v>577</v>
      </c>
      <c r="AO67" s="40" t="s">
        <v>578</v>
      </c>
      <c r="AP67" s="40" t="s">
        <v>579</v>
      </c>
      <c r="AQ67" s="40" t="s">
        <v>385</v>
      </c>
      <c r="AR67" s="48">
        <v>0</v>
      </c>
      <c r="AS67" s="37">
        <v>100</v>
      </c>
      <c r="AT67" s="37" t="s">
        <v>386</v>
      </c>
      <c r="AU67" s="47">
        <v>28</v>
      </c>
      <c r="AV67" s="37" t="s">
        <v>60</v>
      </c>
      <c r="AW67" s="37">
        <v>10</v>
      </c>
      <c r="AX67" s="30">
        <f>(J67*10)/100</f>
        <v>9676882.2079999987</v>
      </c>
      <c r="AY67" s="40" t="s">
        <v>402</v>
      </c>
    </row>
    <row r="68" spans="1:51" ht="75" x14ac:dyDescent="0.25">
      <c r="A68" s="44" t="s">
        <v>580</v>
      </c>
      <c r="B68" s="36">
        <v>45222</v>
      </c>
      <c r="C68" s="37">
        <v>545</v>
      </c>
      <c r="D68" s="35" t="s">
        <v>581</v>
      </c>
      <c r="E68" s="39" t="s">
        <v>582</v>
      </c>
      <c r="F68" s="36">
        <v>45243</v>
      </c>
      <c r="G68" s="37" t="s">
        <v>583</v>
      </c>
      <c r="H68" s="40" t="s">
        <v>269</v>
      </c>
      <c r="I68" s="40" t="s">
        <v>584</v>
      </c>
      <c r="J68" s="41">
        <v>21516462</v>
      </c>
      <c r="K68" s="41">
        <v>21516462</v>
      </c>
      <c r="L68" s="54">
        <v>0</v>
      </c>
      <c r="M68" s="54">
        <v>0</v>
      </c>
      <c r="N68" s="42">
        <f t="shared" si="2"/>
        <v>0</v>
      </c>
      <c r="O68" s="43">
        <v>21516462</v>
      </c>
      <c r="P68" s="41">
        <v>21516462</v>
      </c>
      <c r="Q68" s="43">
        <f t="shared" si="4"/>
        <v>0</v>
      </c>
      <c r="R68" s="41">
        <v>21516462</v>
      </c>
      <c r="S68" s="30">
        <v>27076896</v>
      </c>
      <c r="T68" s="30">
        <f t="shared" si="5"/>
        <v>27076896</v>
      </c>
      <c r="U68" s="30">
        <f>T68/X68</f>
        <v>4029.3</v>
      </c>
      <c r="V68" s="41">
        <f>T68/X68</f>
        <v>4029.3</v>
      </c>
      <c r="W68" s="41">
        <f>V68*AU68</f>
        <v>241758</v>
      </c>
      <c r="X68" s="41">
        <v>6720</v>
      </c>
      <c r="Y68" s="41">
        <v>6720</v>
      </c>
      <c r="Z68" s="41">
        <v>0</v>
      </c>
      <c r="AA68" s="41">
        <v>0</v>
      </c>
      <c r="AB68" s="41"/>
      <c r="AC68" s="41">
        <f t="shared" ref="AC68:AC131" si="8">AB68*V68</f>
        <v>0</v>
      </c>
      <c r="AD68" s="41"/>
      <c r="AE68" s="41">
        <f t="shared" ref="AE68:AE131" si="9">AD68*V68</f>
        <v>0</v>
      </c>
      <c r="AF68" s="41">
        <f>X68/AU68</f>
        <v>112</v>
      </c>
      <c r="AG68" s="41">
        <f t="shared" si="6"/>
        <v>112</v>
      </c>
      <c r="AH68" s="36">
        <v>45306</v>
      </c>
      <c r="AI68" s="36"/>
      <c r="AJ68" s="36"/>
      <c r="AK68" s="36">
        <v>45337</v>
      </c>
      <c r="AL68" s="36"/>
      <c r="AM68" s="46"/>
      <c r="AN68" s="40" t="s">
        <v>585</v>
      </c>
      <c r="AO68" s="40" t="s">
        <v>586</v>
      </c>
      <c r="AP68" s="40" t="s">
        <v>587</v>
      </c>
      <c r="AQ68" s="40" t="s">
        <v>92</v>
      </c>
      <c r="AR68" s="48">
        <v>0</v>
      </c>
      <c r="AS68" s="37">
        <v>100</v>
      </c>
      <c r="AT68" s="37" t="s">
        <v>386</v>
      </c>
      <c r="AU68" s="47">
        <v>60</v>
      </c>
      <c r="AV68" s="37" t="s">
        <v>60</v>
      </c>
      <c r="AW68" s="37">
        <v>10</v>
      </c>
      <c r="AX68" s="30">
        <f>(J68*10)/100</f>
        <v>2151646.2000000002</v>
      </c>
      <c r="AY68" s="40" t="s">
        <v>95</v>
      </c>
    </row>
    <row r="69" spans="1:51" ht="75" x14ac:dyDescent="0.25">
      <c r="A69" s="44" t="s">
        <v>588</v>
      </c>
      <c r="B69" s="36">
        <v>45222</v>
      </c>
      <c r="C69" s="37">
        <v>545</v>
      </c>
      <c r="D69" s="35" t="s">
        <v>431</v>
      </c>
      <c r="E69" s="39" t="s">
        <v>589</v>
      </c>
      <c r="F69" s="36" t="s">
        <v>431</v>
      </c>
      <c r="G69" s="37" t="s">
        <v>431</v>
      </c>
      <c r="H69" s="40" t="s">
        <v>431</v>
      </c>
      <c r="I69" s="40" t="s">
        <v>590</v>
      </c>
      <c r="J69" s="41">
        <v>11962491.300000001</v>
      </c>
      <c r="K69" s="41">
        <v>11962491.300000001</v>
      </c>
      <c r="L69" s="41"/>
      <c r="M69" s="41"/>
      <c r="N69" s="42">
        <f t="shared" si="2"/>
        <v>100</v>
      </c>
      <c r="O69" s="43">
        <v>11962491.300000001</v>
      </c>
      <c r="P69" s="41"/>
      <c r="Q69" s="43">
        <f t="shared" si="4"/>
        <v>11962491.300000001</v>
      </c>
      <c r="R69" s="41">
        <v>0</v>
      </c>
      <c r="S69" s="30">
        <f t="shared" ref="S69:S80" si="10">R69</f>
        <v>0</v>
      </c>
      <c r="T69" s="30">
        <f t="shared" si="5"/>
        <v>0</v>
      </c>
      <c r="U69" s="30" t="e">
        <f>T69/X69</f>
        <v>#DIV/0!</v>
      </c>
      <c r="V69" s="41" t="e">
        <f>T69/X69</f>
        <v>#DIV/0!</v>
      </c>
      <c r="W69" s="41" t="e">
        <f>V69*AU69</f>
        <v>#DIV/0!</v>
      </c>
      <c r="X69" s="41">
        <v>0</v>
      </c>
      <c r="Y69" s="41">
        <v>0</v>
      </c>
      <c r="Z69" s="41">
        <v>0</v>
      </c>
      <c r="AA69" s="41">
        <v>0</v>
      </c>
      <c r="AB69" s="41"/>
      <c r="AC69" s="41" t="e">
        <f t="shared" si="8"/>
        <v>#DIV/0!</v>
      </c>
      <c r="AD69" s="41"/>
      <c r="AE69" s="41" t="e">
        <f t="shared" si="9"/>
        <v>#DIV/0!</v>
      </c>
      <c r="AF69" s="41" t="e">
        <f>X69/AU69</f>
        <v>#DIV/0!</v>
      </c>
      <c r="AG69" s="41" t="e">
        <f t="shared" si="6"/>
        <v>#DIV/0!</v>
      </c>
      <c r="AH69" s="36"/>
      <c r="AI69" s="36"/>
      <c r="AJ69" s="36"/>
      <c r="AK69" s="36"/>
      <c r="AL69" s="36"/>
      <c r="AM69" s="46"/>
      <c r="AN69" s="40"/>
      <c r="AO69" s="40"/>
      <c r="AP69" s="40"/>
      <c r="AQ69" s="40"/>
      <c r="AR69" s="48"/>
      <c r="AS69" s="37"/>
      <c r="AT69" s="37"/>
      <c r="AU69" s="47"/>
      <c r="AV69" s="37"/>
      <c r="AW69" s="37">
        <v>10</v>
      </c>
      <c r="AX69" s="30">
        <f>(J69*10)/100</f>
        <v>1196249.1299999999</v>
      </c>
      <c r="AY69" s="40" t="s">
        <v>431</v>
      </c>
    </row>
    <row r="70" spans="1:51" ht="75" x14ac:dyDescent="0.25">
      <c r="A70" s="44" t="s">
        <v>591</v>
      </c>
      <c r="B70" s="36">
        <v>45223</v>
      </c>
      <c r="C70" s="37">
        <v>545</v>
      </c>
      <c r="D70" s="35" t="s">
        <v>431</v>
      </c>
      <c r="E70" s="39" t="s">
        <v>592</v>
      </c>
      <c r="F70" s="36" t="s">
        <v>431</v>
      </c>
      <c r="G70" s="37" t="s">
        <v>431</v>
      </c>
      <c r="H70" s="40" t="s">
        <v>431</v>
      </c>
      <c r="I70" s="40" t="s">
        <v>593</v>
      </c>
      <c r="J70" s="41">
        <v>11225026.560000001</v>
      </c>
      <c r="K70" s="41">
        <v>11225026.560000001</v>
      </c>
      <c r="L70" s="41"/>
      <c r="M70" s="41"/>
      <c r="N70" s="42">
        <f t="shared" si="2"/>
        <v>100</v>
      </c>
      <c r="O70" s="43">
        <v>11225026.560000001</v>
      </c>
      <c r="P70" s="41"/>
      <c r="Q70" s="43">
        <f t="shared" si="4"/>
        <v>11225026.560000001</v>
      </c>
      <c r="R70" s="41">
        <v>0</v>
      </c>
      <c r="S70" s="30">
        <f t="shared" si="10"/>
        <v>0</v>
      </c>
      <c r="T70" s="30">
        <f t="shared" si="5"/>
        <v>0</v>
      </c>
      <c r="U70" s="30" t="e">
        <f>T70/X70</f>
        <v>#DIV/0!</v>
      </c>
      <c r="V70" s="41" t="e">
        <f>T70/X70</f>
        <v>#DIV/0!</v>
      </c>
      <c r="W70" s="41" t="e">
        <f>V70*AU70</f>
        <v>#DIV/0!</v>
      </c>
      <c r="X70" s="41">
        <v>0</v>
      </c>
      <c r="Y70" s="41">
        <v>0</v>
      </c>
      <c r="Z70" s="41">
        <v>0</v>
      </c>
      <c r="AA70" s="41">
        <v>0</v>
      </c>
      <c r="AB70" s="41"/>
      <c r="AC70" s="41" t="e">
        <f t="shared" si="8"/>
        <v>#DIV/0!</v>
      </c>
      <c r="AD70" s="41"/>
      <c r="AE70" s="41" t="e">
        <f t="shared" si="9"/>
        <v>#DIV/0!</v>
      </c>
      <c r="AF70" s="41" t="e">
        <f>X70/AU70</f>
        <v>#DIV/0!</v>
      </c>
      <c r="AG70" s="41" t="e">
        <f t="shared" si="6"/>
        <v>#DIV/0!</v>
      </c>
      <c r="AH70" s="36"/>
      <c r="AI70" s="36"/>
      <c r="AJ70" s="36"/>
      <c r="AK70" s="36"/>
      <c r="AL70" s="36"/>
      <c r="AM70" s="46"/>
      <c r="AN70" s="40"/>
      <c r="AO70" s="40"/>
      <c r="AP70" s="40"/>
      <c r="AQ70" s="40"/>
      <c r="AR70" s="48"/>
      <c r="AS70" s="37"/>
      <c r="AT70" s="37"/>
      <c r="AU70" s="47"/>
      <c r="AV70" s="37"/>
      <c r="AW70" s="37">
        <v>10</v>
      </c>
      <c r="AX70" s="30">
        <f>(J70*10)/100</f>
        <v>1122502.6560000002</v>
      </c>
      <c r="AY70" s="40" t="s">
        <v>431</v>
      </c>
    </row>
    <row r="71" spans="1:51" ht="75" x14ac:dyDescent="0.25">
      <c r="A71" s="44" t="s">
        <v>594</v>
      </c>
      <c r="B71" s="36">
        <v>45225</v>
      </c>
      <c r="C71" s="37">
        <v>545</v>
      </c>
      <c r="D71" s="35" t="s">
        <v>595</v>
      </c>
      <c r="E71" s="39" t="s">
        <v>596</v>
      </c>
      <c r="F71" s="36">
        <v>45254</v>
      </c>
      <c r="G71" s="37" t="s">
        <v>597</v>
      </c>
      <c r="H71" s="40" t="s">
        <v>86</v>
      </c>
      <c r="I71" s="40" t="s">
        <v>598</v>
      </c>
      <c r="J71" s="41">
        <v>12464242.560000001</v>
      </c>
      <c r="K71" s="41">
        <v>12464242.560000001</v>
      </c>
      <c r="L71" s="41">
        <v>0</v>
      </c>
      <c r="M71" s="41">
        <v>0</v>
      </c>
      <c r="N71" s="42">
        <f t="shared" si="2"/>
        <v>0</v>
      </c>
      <c r="O71" s="43">
        <v>12464242.560000001</v>
      </c>
      <c r="P71" s="41">
        <v>12464242.560000001</v>
      </c>
      <c r="Q71" s="43">
        <f t="shared" si="4"/>
        <v>0</v>
      </c>
      <c r="R71" s="41">
        <v>12464242.560000001</v>
      </c>
      <c r="S71" s="30">
        <f t="shared" si="10"/>
        <v>12464242.560000001</v>
      </c>
      <c r="T71" s="30">
        <f t="shared" si="5"/>
        <v>12464242.560000001</v>
      </c>
      <c r="U71" s="30">
        <f>T71/X71</f>
        <v>247306.40000000002</v>
      </c>
      <c r="V71" s="41">
        <f>T71/X71</f>
        <v>247306.40000000002</v>
      </c>
      <c r="W71" s="41">
        <f>V71*AU71</f>
        <v>2077373.7600000002</v>
      </c>
      <c r="X71" s="41">
        <v>50.4</v>
      </c>
      <c r="Y71" s="41">
        <v>50.4</v>
      </c>
      <c r="Z71" s="41">
        <v>0</v>
      </c>
      <c r="AA71" s="41">
        <v>0</v>
      </c>
      <c r="AB71" s="41"/>
      <c r="AC71" s="41">
        <f t="shared" si="8"/>
        <v>0</v>
      </c>
      <c r="AD71" s="41"/>
      <c r="AE71" s="41">
        <f t="shared" si="9"/>
        <v>0</v>
      </c>
      <c r="AF71" s="41">
        <f>X71/AU71</f>
        <v>6</v>
      </c>
      <c r="AG71" s="41">
        <f t="shared" si="6"/>
        <v>6</v>
      </c>
      <c r="AH71" s="36">
        <v>45306</v>
      </c>
      <c r="AI71" s="36">
        <v>45536</v>
      </c>
      <c r="AJ71" s="36"/>
      <c r="AK71" s="36">
        <v>45337</v>
      </c>
      <c r="AL71" s="36">
        <v>45200</v>
      </c>
      <c r="AM71" s="46"/>
      <c r="AN71" s="40" t="s">
        <v>599</v>
      </c>
      <c r="AO71" s="40" t="s">
        <v>600</v>
      </c>
      <c r="AP71" s="40" t="s">
        <v>601</v>
      </c>
      <c r="AQ71" s="40" t="s">
        <v>58</v>
      </c>
      <c r="AR71" s="48">
        <v>0</v>
      </c>
      <c r="AS71" s="37">
        <v>100</v>
      </c>
      <c r="AT71" s="37" t="s">
        <v>81</v>
      </c>
      <c r="AU71" s="47">
        <v>8.4</v>
      </c>
      <c r="AV71" s="37" t="s">
        <v>60</v>
      </c>
      <c r="AW71" s="37">
        <v>10</v>
      </c>
      <c r="AX71" s="30">
        <f>(J71*10)/100</f>
        <v>1246424.2560000001</v>
      </c>
      <c r="AY71" s="40" t="s">
        <v>95</v>
      </c>
    </row>
    <row r="72" spans="1:51" ht="78.75" x14ac:dyDescent="0.25">
      <c r="A72" s="44" t="s">
        <v>602</v>
      </c>
      <c r="B72" s="36">
        <v>45230</v>
      </c>
      <c r="C72" s="37">
        <v>1416</v>
      </c>
      <c r="D72" s="35" t="s">
        <v>603</v>
      </c>
      <c r="E72" s="39" t="s">
        <v>604</v>
      </c>
      <c r="F72" s="36">
        <v>45250</v>
      </c>
      <c r="G72" s="37" t="s">
        <v>605</v>
      </c>
      <c r="H72" s="40" t="s">
        <v>53</v>
      </c>
      <c r="I72" s="40" t="s">
        <v>606</v>
      </c>
      <c r="J72" s="41">
        <v>265649669</v>
      </c>
      <c r="K72" s="41">
        <v>265649669</v>
      </c>
      <c r="L72" s="41">
        <v>0</v>
      </c>
      <c r="M72" s="41">
        <v>0</v>
      </c>
      <c r="N72" s="42">
        <f t="shared" si="2"/>
        <v>0</v>
      </c>
      <c r="O72" s="43">
        <f t="shared" ref="O72:O135" si="11">J72-P72</f>
        <v>0</v>
      </c>
      <c r="P72" s="41">
        <v>265649669</v>
      </c>
      <c r="Q72" s="43">
        <f t="shared" si="4"/>
        <v>0</v>
      </c>
      <c r="R72" s="41">
        <v>265649669</v>
      </c>
      <c r="S72" s="30">
        <f t="shared" si="10"/>
        <v>265649669</v>
      </c>
      <c r="T72" s="30">
        <f t="shared" si="5"/>
        <v>265649669</v>
      </c>
      <c r="U72" s="30">
        <f>T72/X72</f>
        <v>25791.23</v>
      </c>
      <c r="V72" s="41">
        <f>T72/X72</f>
        <v>25791.23</v>
      </c>
      <c r="W72" s="41">
        <f>V72*AU72</f>
        <v>257912.3</v>
      </c>
      <c r="X72" s="41">
        <v>10300</v>
      </c>
      <c r="Y72" s="41">
        <v>10300</v>
      </c>
      <c r="Z72" s="41">
        <v>0</v>
      </c>
      <c r="AA72" s="41">
        <v>0</v>
      </c>
      <c r="AB72" s="41">
        <v>0</v>
      </c>
      <c r="AC72" s="41">
        <f t="shared" si="8"/>
        <v>0</v>
      </c>
      <c r="AD72" s="41">
        <v>10300</v>
      </c>
      <c r="AE72" s="41">
        <f t="shared" si="9"/>
        <v>265649669</v>
      </c>
      <c r="AF72" s="41">
        <f>X72/AU72</f>
        <v>1030</v>
      </c>
      <c r="AG72" s="41">
        <f t="shared" si="6"/>
        <v>1030</v>
      </c>
      <c r="AH72" s="36">
        <v>45301</v>
      </c>
      <c r="AI72" s="36"/>
      <c r="AJ72" s="36"/>
      <c r="AK72" s="36">
        <v>45332</v>
      </c>
      <c r="AL72" s="36"/>
      <c r="AM72" s="46"/>
      <c r="AN72" s="40" t="s">
        <v>607</v>
      </c>
      <c r="AO72" s="40" t="s">
        <v>608</v>
      </c>
      <c r="AP72" s="40" t="s">
        <v>609</v>
      </c>
      <c r="AQ72" s="40" t="s">
        <v>92</v>
      </c>
      <c r="AR72" s="48">
        <v>0</v>
      </c>
      <c r="AS72" s="37">
        <v>100</v>
      </c>
      <c r="AT72" s="37" t="s">
        <v>81</v>
      </c>
      <c r="AU72" s="47">
        <v>10</v>
      </c>
      <c r="AV72" s="37" t="s">
        <v>60</v>
      </c>
      <c r="AW72" s="37">
        <v>10</v>
      </c>
      <c r="AX72" s="30">
        <f>(J72*10)/100</f>
        <v>26564966.899999999</v>
      </c>
      <c r="AY72" s="40" t="s">
        <v>95</v>
      </c>
    </row>
    <row r="73" spans="1:51" ht="78.75" x14ac:dyDescent="0.25">
      <c r="A73" s="44" t="s">
        <v>610</v>
      </c>
      <c r="B73" s="36">
        <v>45230</v>
      </c>
      <c r="C73" s="37">
        <v>1416</v>
      </c>
      <c r="D73" s="35" t="s">
        <v>611</v>
      </c>
      <c r="E73" s="39" t="s">
        <v>612</v>
      </c>
      <c r="F73" s="36">
        <v>45250</v>
      </c>
      <c r="G73" s="37" t="s">
        <v>613</v>
      </c>
      <c r="H73" s="40" t="s">
        <v>53</v>
      </c>
      <c r="I73" s="40" t="s">
        <v>606</v>
      </c>
      <c r="J73" s="41">
        <v>299436180.30000001</v>
      </c>
      <c r="K73" s="41">
        <v>299436180.30000001</v>
      </c>
      <c r="L73" s="41">
        <v>0</v>
      </c>
      <c r="M73" s="41">
        <v>0</v>
      </c>
      <c r="N73" s="42">
        <f t="shared" si="2"/>
        <v>0</v>
      </c>
      <c r="O73" s="43">
        <f t="shared" si="11"/>
        <v>0</v>
      </c>
      <c r="P73" s="41">
        <v>299436180.30000001</v>
      </c>
      <c r="Q73" s="43">
        <f t="shared" si="4"/>
        <v>0</v>
      </c>
      <c r="R73" s="41">
        <f t="shared" ref="R73:R80" si="12">P73</f>
        <v>299436180.30000001</v>
      </c>
      <c r="S73" s="30">
        <f t="shared" si="10"/>
        <v>299436180.30000001</v>
      </c>
      <c r="T73" s="30">
        <f t="shared" si="5"/>
        <v>299436180.30000001</v>
      </c>
      <c r="U73" s="30">
        <f>T73/X73</f>
        <v>25791.23</v>
      </c>
      <c r="V73" s="41">
        <f>T73/X73</f>
        <v>25791.23</v>
      </c>
      <c r="W73" s="41">
        <f>V73*AU73</f>
        <v>257912.3</v>
      </c>
      <c r="X73" s="41">
        <v>11610</v>
      </c>
      <c r="Y73" s="41">
        <v>11610</v>
      </c>
      <c r="Z73" s="41">
        <v>0</v>
      </c>
      <c r="AA73" s="41">
        <v>0</v>
      </c>
      <c r="AB73" s="41">
        <v>0</v>
      </c>
      <c r="AC73" s="41">
        <f t="shared" si="8"/>
        <v>0</v>
      </c>
      <c r="AD73" s="41">
        <v>11610</v>
      </c>
      <c r="AE73" s="41">
        <f t="shared" si="9"/>
        <v>299436180.30000001</v>
      </c>
      <c r="AF73" s="41">
        <f>X73/AU73</f>
        <v>1161</v>
      </c>
      <c r="AG73" s="41">
        <f t="shared" si="6"/>
        <v>1161</v>
      </c>
      <c r="AH73" s="36">
        <v>45301</v>
      </c>
      <c r="AI73" s="36"/>
      <c r="AJ73" s="36"/>
      <c r="AK73" s="36">
        <v>45332</v>
      </c>
      <c r="AL73" s="36"/>
      <c r="AM73" s="46"/>
      <c r="AN73" s="40" t="s">
        <v>607</v>
      </c>
      <c r="AO73" s="40" t="s">
        <v>608</v>
      </c>
      <c r="AP73" s="40" t="s">
        <v>609</v>
      </c>
      <c r="AQ73" s="40" t="s">
        <v>92</v>
      </c>
      <c r="AR73" s="48">
        <v>0</v>
      </c>
      <c r="AS73" s="37">
        <v>100</v>
      </c>
      <c r="AT73" s="37" t="s">
        <v>81</v>
      </c>
      <c r="AU73" s="47">
        <v>10</v>
      </c>
      <c r="AV73" s="37" t="s">
        <v>60</v>
      </c>
      <c r="AW73" s="37">
        <v>10</v>
      </c>
      <c r="AX73" s="30">
        <f>(J73*10)/100</f>
        <v>29943618.030000001</v>
      </c>
      <c r="AY73" s="40" t="s">
        <v>95</v>
      </c>
    </row>
    <row r="74" spans="1:51" ht="78.75" x14ac:dyDescent="0.25">
      <c r="A74" s="44" t="s">
        <v>614</v>
      </c>
      <c r="B74" s="36">
        <v>45230</v>
      </c>
      <c r="C74" s="37">
        <v>1416</v>
      </c>
      <c r="D74" s="35" t="s">
        <v>615</v>
      </c>
      <c r="E74" s="39" t="s">
        <v>616</v>
      </c>
      <c r="F74" s="36">
        <v>45250</v>
      </c>
      <c r="G74" s="37" t="s">
        <v>617</v>
      </c>
      <c r="H74" s="40" t="s">
        <v>53</v>
      </c>
      <c r="I74" s="40" t="s">
        <v>606</v>
      </c>
      <c r="J74" s="41">
        <v>296857057.30000001</v>
      </c>
      <c r="K74" s="41">
        <v>296857057.30000001</v>
      </c>
      <c r="L74" s="41">
        <v>0</v>
      </c>
      <c r="M74" s="41">
        <v>0</v>
      </c>
      <c r="N74" s="42">
        <f t="shared" si="2"/>
        <v>0</v>
      </c>
      <c r="O74" s="43">
        <f t="shared" si="11"/>
        <v>0</v>
      </c>
      <c r="P74" s="41">
        <v>296857057.30000001</v>
      </c>
      <c r="Q74" s="43">
        <f t="shared" si="4"/>
        <v>0</v>
      </c>
      <c r="R74" s="41">
        <f t="shared" si="12"/>
        <v>296857057.30000001</v>
      </c>
      <c r="S74" s="30">
        <f t="shared" si="10"/>
        <v>296857057.30000001</v>
      </c>
      <c r="T74" s="30">
        <f t="shared" si="5"/>
        <v>296857057.30000001</v>
      </c>
      <c r="U74" s="30">
        <f>T74/X74</f>
        <v>25791.23</v>
      </c>
      <c r="V74" s="41">
        <f>T74/X74</f>
        <v>25791.23</v>
      </c>
      <c r="W74" s="41">
        <f>V74*AU74</f>
        <v>257912.3</v>
      </c>
      <c r="X74" s="41">
        <v>11510</v>
      </c>
      <c r="Y74" s="41">
        <v>11510</v>
      </c>
      <c r="Z74" s="41">
        <v>0</v>
      </c>
      <c r="AA74" s="41">
        <v>0</v>
      </c>
      <c r="AB74" s="41">
        <v>0</v>
      </c>
      <c r="AC74" s="41">
        <f t="shared" si="8"/>
        <v>0</v>
      </c>
      <c r="AD74" s="41">
        <v>11510</v>
      </c>
      <c r="AE74" s="41">
        <f t="shared" si="9"/>
        <v>296857057.30000001</v>
      </c>
      <c r="AF74" s="41">
        <f>X74/AU74</f>
        <v>1151</v>
      </c>
      <c r="AG74" s="41">
        <f t="shared" si="6"/>
        <v>1151</v>
      </c>
      <c r="AH74" s="36">
        <v>45301</v>
      </c>
      <c r="AI74" s="36"/>
      <c r="AJ74" s="36"/>
      <c r="AK74" s="36">
        <v>45332</v>
      </c>
      <c r="AL74" s="36"/>
      <c r="AM74" s="46"/>
      <c r="AN74" s="40" t="s">
        <v>607</v>
      </c>
      <c r="AO74" s="40" t="s">
        <v>608</v>
      </c>
      <c r="AP74" s="40" t="s">
        <v>609</v>
      </c>
      <c r="AQ74" s="40" t="s">
        <v>92</v>
      </c>
      <c r="AR74" s="48">
        <v>0</v>
      </c>
      <c r="AS74" s="37">
        <v>100</v>
      </c>
      <c r="AT74" s="37" t="s">
        <v>81</v>
      </c>
      <c r="AU74" s="47">
        <v>10</v>
      </c>
      <c r="AV74" s="37" t="s">
        <v>60</v>
      </c>
      <c r="AW74" s="37">
        <v>10</v>
      </c>
      <c r="AX74" s="30">
        <f>(J74*10)/100</f>
        <v>29685705.73</v>
      </c>
      <c r="AY74" s="40" t="s">
        <v>95</v>
      </c>
    </row>
    <row r="75" spans="1:51" ht="78.75" x14ac:dyDescent="0.25">
      <c r="A75" s="44" t="s">
        <v>618</v>
      </c>
      <c r="B75" s="36">
        <v>45230</v>
      </c>
      <c r="C75" s="37">
        <v>1416</v>
      </c>
      <c r="D75" s="35" t="s">
        <v>619</v>
      </c>
      <c r="E75" s="39" t="s">
        <v>620</v>
      </c>
      <c r="F75" s="36">
        <v>45250</v>
      </c>
      <c r="G75" s="37" t="s">
        <v>621</v>
      </c>
      <c r="H75" s="40" t="s">
        <v>53</v>
      </c>
      <c r="I75" s="40" t="s">
        <v>606</v>
      </c>
      <c r="J75" s="41">
        <v>296341232.69999999</v>
      </c>
      <c r="K75" s="41">
        <v>296341232.69999999</v>
      </c>
      <c r="L75" s="41">
        <v>0</v>
      </c>
      <c r="M75" s="41">
        <v>0</v>
      </c>
      <c r="N75" s="42">
        <f t="shared" si="2"/>
        <v>0</v>
      </c>
      <c r="O75" s="43">
        <f t="shared" si="11"/>
        <v>0</v>
      </c>
      <c r="P75" s="41">
        <v>296341232.69999999</v>
      </c>
      <c r="Q75" s="43">
        <f t="shared" si="4"/>
        <v>0</v>
      </c>
      <c r="R75" s="41">
        <f t="shared" si="12"/>
        <v>296341232.69999999</v>
      </c>
      <c r="S75" s="30">
        <f t="shared" si="10"/>
        <v>296341232.69999999</v>
      </c>
      <c r="T75" s="30">
        <f t="shared" si="5"/>
        <v>296341232.69999999</v>
      </c>
      <c r="U75" s="30">
        <f>T75/X75</f>
        <v>25791.23</v>
      </c>
      <c r="V75" s="41">
        <f>T75/X75</f>
        <v>25791.23</v>
      </c>
      <c r="W75" s="41">
        <f>V75*AU75</f>
        <v>257912.3</v>
      </c>
      <c r="X75" s="41">
        <v>11490</v>
      </c>
      <c r="Y75" s="41">
        <v>11490</v>
      </c>
      <c r="Z75" s="41">
        <v>0</v>
      </c>
      <c r="AA75" s="41">
        <v>0</v>
      </c>
      <c r="AB75" s="41">
        <v>0</v>
      </c>
      <c r="AC75" s="41">
        <f t="shared" si="8"/>
        <v>0</v>
      </c>
      <c r="AD75" s="41">
        <v>11490</v>
      </c>
      <c r="AE75" s="41">
        <f t="shared" si="9"/>
        <v>296341232.69999999</v>
      </c>
      <c r="AF75" s="41">
        <f>X75/AU75</f>
        <v>1149</v>
      </c>
      <c r="AG75" s="41">
        <f t="shared" si="6"/>
        <v>1149</v>
      </c>
      <c r="AH75" s="36">
        <v>45301</v>
      </c>
      <c r="AI75" s="36"/>
      <c r="AJ75" s="36"/>
      <c r="AK75" s="36">
        <v>45332</v>
      </c>
      <c r="AL75" s="36"/>
      <c r="AM75" s="46"/>
      <c r="AN75" s="40" t="s">
        <v>607</v>
      </c>
      <c r="AO75" s="40" t="s">
        <v>608</v>
      </c>
      <c r="AP75" s="40" t="s">
        <v>609</v>
      </c>
      <c r="AQ75" s="40" t="s">
        <v>92</v>
      </c>
      <c r="AR75" s="48">
        <v>0</v>
      </c>
      <c r="AS75" s="37">
        <v>100</v>
      </c>
      <c r="AT75" s="37" t="s">
        <v>81</v>
      </c>
      <c r="AU75" s="47">
        <v>10</v>
      </c>
      <c r="AV75" s="37" t="s">
        <v>60</v>
      </c>
      <c r="AW75" s="37">
        <v>10</v>
      </c>
      <c r="AX75" s="30">
        <f>(J75*10)/100</f>
        <v>29634123.27</v>
      </c>
      <c r="AY75" s="40" t="s">
        <v>95</v>
      </c>
    </row>
    <row r="76" spans="1:51" ht="78.75" x14ac:dyDescent="0.25">
      <c r="A76" s="44" t="s">
        <v>622</v>
      </c>
      <c r="B76" s="36">
        <v>45230</v>
      </c>
      <c r="C76" s="37">
        <v>1416</v>
      </c>
      <c r="D76" s="35" t="s">
        <v>623</v>
      </c>
      <c r="E76" s="39" t="s">
        <v>624</v>
      </c>
      <c r="F76" s="36">
        <v>45250</v>
      </c>
      <c r="G76" s="37" t="s">
        <v>625</v>
      </c>
      <c r="H76" s="40" t="s">
        <v>53</v>
      </c>
      <c r="I76" s="40" t="s">
        <v>606</v>
      </c>
      <c r="J76" s="41">
        <v>291698811.30000001</v>
      </c>
      <c r="K76" s="41">
        <v>291698811.30000001</v>
      </c>
      <c r="L76" s="41">
        <v>0</v>
      </c>
      <c r="M76" s="41">
        <v>0</v>
      </c>
      <c r="N76" s="42">
        <f t="shared" si="2"/>
        <v>0</v>
      </c>
      <c r="O76" s="43">
        <f t="shared" si="11"/>
        <v>0</v>
      </c>
      <c r="P76" s="41">
        <v>291698811.30000001</v>
      </c>
      <c r="Q76" s="43">
        <f t="shared" si="4"/>
        <v>0</v>
      </c>
      <c r="R76" s="41">
        <f t="shared" si="12"/>
        <v>291698811.30000001</v>
      </c>
      <c r="S76" s="30">
        <f t="shared" si="10"/>
        <v>291698811.30000001</v>
      </c>
      <c r="T76" s="30">
        <f t="shared" si="5"/>
        <v>291698811.30000001</v>
      </c>
      <c r="U76" s="30">
        <f>T76/X76</f>
        <v>25791.23</v>
      </c>
      <c r="V76" s="41">
        <f>T76/X76</f>
        <v>25791.23</v>
      </c>
      <c r="W76" s="41">
        <f>V76*AU76</f>
        <v>257912.3</v>
      </c>
      <c r="X76" s="41">
        <v>11310</v>
      </c>
      <c r="Y76" s="41">
        <v>11310</v>
      </c>
      <c r="Z76" s="41">
        <v>0</v>
      </c>
      <c r="AA76" s="41">
        <v>0</v>
      </c>
      <c r="AB76" s="41">
        <v>0</v>
      </c>
      <c r="AC76" s="41">
        <f t="shared" si="8"/>
        <v>0</v>
      </c>
      <c r="AD76" s="41">
        <v>11310</v>
      </c>
      <c r="AE76" s="41">
        <f t="shared" si="9"/>
        <v>291698811.30000001</v>
      </c>
      <c r="AF76" s="41">
        <f>X76/AU76</f>
        <v>1131</v>
      </c>
      <c r="AG76" s="41">
        <f t="shared" si="6"/>
        <v>1131</v>
      </c>
      <c r="AH76" s="36">
        <v>45301</v>
      </c>
      <c r="AI76" s="36"/>
      <c r="AJ76" s="36"/>
      <c r="AK76" s="36">
        <v>45332</v>
      </c>
      <c r="AL76" s="36"/>
      <c r="AM76" s="46"/>
      <c r="AN76" s="40" t="s">
        <v>607</v>
      </c>
      <c r="AO76" s="40" t="s">
        <v>608</v>
      </c>
      <c r="AP76" s="40" t="s">
        <v>609</v>
      </c>
      <c r="AQ76" s="40" t="s">
        <v>92</v>
      </c>
      <c r="AR76" s="48">
        <v>0</v>
      </c>
      <c r="AS76" s="37">
        <v>100</v>
      </c>
      <c r="AT76" s="37" t="s">
        <v>81</v>
      </c>
      <c r="AU76" s="47">
        <v>10</v>
      </c>
      <c r="AV76" s="37" t="s">
        <v>60</v>
      </c>
      <c r="AW76" s="37">
        <v>10</v>
      </c>
      <c r="AX76" s="30">
        <f>(J76*10)/100</f>
        <v>29169881.129999999</v>
      </c>
      <c r="AY76" s="40" t="s">
        <v>626</v>
      </c>
    </row>
    <row r="77" spans="1:51" ht="78.75" x14ac:dyDescent="0.25">
      <c r="A77" s="44" t="s">
        <v>627</v>
      </c>
      <c r="B77" s="36">
        <v>45230</v>
      </c>
      <c r="C77" s="37">
        <v>1416</v>
      </c>
      <c r="D77" s="35" t="s">
        <v>628</v>
      </c>
      <c r="E77" s="39" t="s">
        <v>629</v>
      </c>
      <c r="F77" s="36">
        <v>45250</v>
      </c>
      <c r="G77" s="37" t="s">
        <v>630</v>
      </c>
      <c r="H77" s="40" t="s">
        <v>53</v>
      </c>
      <c r="I77" s="40" t="s">
        <v>606</v>
      </c>
      <c r="J77" s="41">
        <v>291440899</v>
      </c>
      <c r="K77" s="41">
        <v>291440899</v>
      </c>
      <c r="L77" s="41">
        <v>0</v>
      </c>
      <c r="M77" s="41">
        <v>0</v>
      </c>
      <c r="N77" s="42">
        <f t="shared" si="2"/>
        <v>0</v>
      </c>
      <c r="O77" s="43">
        <f t="shared" si="11"/>
        <v>0</v>
      </c>
      <c r="P77" s="41">
        <v>291440899</v>
      </c>
      <c r="Q77" s="43">
        <f t="shared" si="4"/>
        <v>0</v>
      </c>
      <c r="R77" s="41">
        <f t="shared" si="12"/>
        <v>291440899</v>
      </c>
      <c r="S77" s="30">
        <f t="shared" si="10"/>
        <v>291440899</v>
      </c>
      <c r="T77" s="30">
        <f t="shared" si="5"/>
        <v>291440899</v>
      </c>
      <c r="U77" s="30">
        <f>T77/X77</f>
        <v>25791.23</v>
      </c>
      <c r="V77" s="41">
        <f>T77/X77</f>
        <v>25791.23</v>
      </c>
      <c r="W77" s="41">
        <f>V77*AU77</f>
        <v>257912.3</v>
      </c>
      <c r="X77" s="41">
        <v>11300</v>
      </c>
      <c r="Y77" s="41">
        <v>11300</v>
      </c>
      <c r="Z77" s="41">
        <v>0</v>
      </c>
      <c r="AA77" s="41">
        <v>0</v>
      </c>
      <c r="AB77" s="41">
        <v>0</v>
      </c>
      <c r="AC77" s="41">
        <f t="shared" si="8"/>
        <v>0</v>
      </c>
      <c r="AD77" s="41">
        <v>11300</v>
      </c>
      <c r="AE77" s="41">
        <f t="shared" si="9"/>
        <v>291440899</v>
      </c>
      <c r="AF77" s="41">
        <f>X77/AU77</f>
        <v>1130</v>
      </c>
      <c r="AG77" s="41">
        <f t="shared" si="6"/>
        <v>1130</v>
      </c>
      <c r="AH77" s="36">
        <v>45301</v>
      </c>
      <c r="AI77" s="36"/>
      <c r="AJ77" s="36"/>
      <c r="AK77" s="36">
        <v>45332</v>
      </c>
      <c r="AL77" s="36"/>
      <c r="AM77" s="46"/>
      <c r="AN77" s="40" t="s">
        <v>607</v>
      </c>
      <c r="AO77" s="40" t="s">
        <v>608</v>
      </c>
      <c r="AP77" s="40" t="s">
        <v>609</v>
      </c>
      <c r="AQ77" s="40" t="s">
        <v>92</v>
      </c>
      <c r="AR77" s="48">
        <v>0</v>
      </c>
      <c r="AS77" s="37">
        <v>100</v>
      </c>
      <c r="AT77" s="37" t="s">
        <v>81</v>
      </c>
      <c r="AU77" s="47">
        <v>10</v>
      </c>
      <c r="AV77" s="37" t="s">
        <v>60</v>
      </c>
      <c r="AW77" s="37">
        <v>10</v>
      </c>
      <c r="AX77" s="30">
        <f>(J77*10)/100</f>
        <v>29144089.899999999</v>
      </c>
      <c r="AY77" s="40" t="s">
        <v>626</v>
      </c>
    </row>
    <row r="78" spans="1:51" ht="78.75" x14ac:dyDescent="0.25">
      <c r="A78" s="44" t="s">
        <v>631</v>
      </c>
      <c r="B78" s="36">
        <v>45230</v>
      </c>
      <c r="C78" s="37">
        <v>1416</v>
      </c>
      <c r="D78" s="35" t="s">
        <v>632</v>
      </c>
      <c r="E78" s="39" t="s">
        <v>633</v>
      </c>
      <c r="F78" s="36">
        <v>45250</v>
      </c>
      <c r="G78" s="37" t="s">
        <v>634</v>
      </c>
      <c r="H78" s="40" t="s">
        <v>53</v>
      </c>
      <c r="I78" s="40" t="s">
        <v>606</v>
      </c>
      <c r="J78" s="41">
        <v>295051671.19999999</v>
      </c>
      <c r="K78" s="41">
        <v>295051671.19999999</v>
      </c>
      <c r="L78" s="41">
        <v>0</v>
      </c>
      <c r="M78" s="41">
        <v>0</v>
      </c>
      <c r="N78" s="42">
        <f t="shared" si="2"/>
        <v>0</v>
      </c>
      <c r="O78" s="43">
        <f t="shared" si="11"/>
        <v>0</v>
      </c>
      <c r="P78" s="41">
        <v>295051671.19999999</v>
      </c>
      <c r="Q78" s="43">
        <f t="shared" si="4"/>
        <v>0</v>
      </c>
      <c r="R78" s="41">
        <f t="shared" si="12"/>
        <v>295051671.19999999</v>
      </c>
      <c r="S78" s="30">
        <f t="shared" si="10"/>
        <v>295051671.19999999</v>
      </c>
      <c r="T78" s="30">
        <f t="shared" si="5"/>
        <v>295051671.19999999</v>
      </c>
      <c r="U78" s="30">
        <f>T78/X78</f>
        <v>25791.23</v>
      </c>
      <c r="V78" s="41">
        <f>T78/X78</f>
        <v>25791.23</v>
      </c>
      <c r="W78" s="41">
        <f>V78*AU78</f>
        <v>257912.3</v>
      </c>
      <c r="X78" s="41">
        <v>11440</v>
      </c>
      <c r="Y78" s="41">
        <v>11440</v>
      </c>
      <c r="Z78" s="41">
        <v>0</v>
      </c>
      <c r="AA78" s="41">
        <v>0</v>
      </c>
      <c r="AB78" s="41">
        <v>0</v>
      </c>
      <c r="AC78" s="41">
        <f t="shared" si="8"/>
        <v>0</v>
      </c>
      <c r="AD78" s="41">
        <v>11440</v>
      </c>
      <c r="AE78" s="41">
        <f t="shared" si="9"/>
        <v>295051671.19999999</v>
      </c>
      <c r="AF78" s="41">
        <f>X78/AU78</f>
        <v>1144</v>
      </c>
      <c r="AG78" s="41">
        <f t="shared" si="6"/>
        <v>1144</v>
      </c>
      <c r="AH78" s="36">
        <v>45301</v>
      </c>
      <c r="AI78" s="36"/>
      <c r="AJ78" s="36"/>
      <c r="AK78" s="36">
        <v>45332</v>
      </c>
      <c r="AL78" s="36"/>
      <c r="AM78" s="46"/>
      <c r="AN78" s="40" t="s">
        <v>607</v>
      </c>
      <c r="AO78" s="40" t="s">
        <v>608</v>
      </c>
      <c r="AP78" s="40" t="s">
        <v>609</v>
      </c>
      <c r="AQ78" s="40" t="s">
        <v>92</v>
      </c>
      <c r="AR78" s="48">
        <v>0</v>
      </c>
      <c r="AS78" s="37">
        <v>100</v>
      </c>
      <c r="AT78" s="37" t="s">
        <v>81</v>
      </c>
      <c r="AU78" s="47">
        <v>10</v>
      </c>
      <c r="AV78" s="37" t="s">
        <v>60</v>
      </c>
      <c r="AW78" s="37">
        <v>10</v>
      </c>
      <c r="AX78" s="30">
        <f>(J78*10)/100</f>
        <v>29505167.120000001</v>
      </c>
      <c r="AY78" s="40" t="s">
        <v>626</v>
      </c>
    </row>
    <row r="79" spans="1:51" ht="78.75" x14ac:dyDescent="0.25">
      <c r="A79" s="44" t="s">
        <v>635</v>
      </c>
      <c r="B79" s="36">
        <v>45230</v>
      </c>
      <c r="C79" s="37">
        <v>1416</v>
      </c>
      <c r="D79" s="35" t="s">
        <v>636</v>
      </c>
      <c r="E79" s="39" t="s">
        <v>637</v>
      </c>
      <c r="F79" s="36">
        <v>45250</v>
      </c>
      <c r="G79" s="37" t="s">
        <v>638</v>
      </c>
      <c r="H79" s="40" t="s">
        <v>53</v>
      </c>
      <c r="I79" s="40" t="s">
        <v>606</v>
      </c>
      <c r="J79" s="41">
        <v>195755435.69999999</v>
      </c>
      <c r="K79" s="41">
        <v>195755435.69999999</v>
      </c>
      <c r="L79" s="41">
        <v>0</v>
      </c>
      <c r="M79" s="41">
        <v>0</v>
      </c>
      <c r="N79" s="42">
        <f t="shared" si="2"/>
        <v>0</v>
      </c>
      <c r="O79" s="43">
        <f t="shared" si="11"/>
        <v>0</v>
      </c>
      <c r="P79" s="41">
        <v>195755435.69999999</v>
      </c>
      <c r="Q79" s="43">
        <f t="shared" si="4"/>
        <v>0</v>
      </c>
      <c r="R79" s="41">
        <f t="shared" si="12"/>
        <v>195755435.69999999</v>
      </c>
      <c r="S79" s="30">
        <f t="shared" si="10"/>
        <v>195755435.69999999</v>
      </c>
      <c r="T79" s="30">
        <f t="shared" si="5"/>
        <v>195755435.69999999</v>
      </c>
      <c r="U79" s="30">
        <f>T79/X79</f>
        <v>25791.23</v>
      </c>
      <c r="V79" s="41">
        <f>T79/X79</f>
        <v>25791.23</v>
      </c>
      <c r="W79" s="41">
        <f>V79*AU79</f>
        <v>257912.3</v>
      </c>
      <c r="X79" s="41">
        <v>7590</v>
      </c>
      <c r="Y79" s="41">
        <v>7590</v>
      </c>
      <c r="Z79" s="41">
        <v>0</v>
      </c>
      <c r="AA79" s="41">
        <v>0</v>
      </c>
      <c r="AB79" s="41">
        <v>0</v>
      </c>
      <c r="AC79" s="41">
        <f t="shared" si="8"/>
        <v>0</v>
      </c>
      <c r="AD79" s="41">
        <v>7590</v>
      </c>
      <c r="AE79" s="41">
        <f t="shared" si="9"/>
        <v>195755435.69999999</v>
      </c>
      <c r="AF79" s="41">
        <f>X79/AU79</f>
        <v>759</v>
      </c>
      <c r="AG79" s="41">
        <f t="shared" si="6"/>
        <v>759</v>
      </c>
      <c r="AH79" s="36">
        <v>45301</v>
      </c>
      <c r="AI79" s="36"/>
      <c r="AJ79" s="36"/>
      <c r="AK79" s="36">
        <v>45332</v>
      </c>
      <c r="AL79" s="36"/>
      <c r="AM79" s="46"/>
      <c r="AN79" s="40" t="s">
        <v>607</v>
      </c>
      <c r="AO79" s="40" t="s">
        <v>608</v>
      </c>
      <c r="AP79" s="40" t="s">
        <v>609</v>
      </c>
      <c r="AQ79" s="40" t="s">
        <v>92</v>
      </c>
      <c r="AR79" s="48">
        <v>0</v>
      </c>
      <c r="AS79" s="37">
        <v>100</v>
      </c>
      <c r="AT79" s="37" t="s">
        <v>81</v>
      </c>
      <c r="AU79" s="47">
        <v>10</v>
      </c>
      <c r="AV79" s="37" t="s">
        <v>60</v>
      </c>
      <c r="AW79" s="37">
        <v>10</v>
      </c>
      <c r="AX79" s="30">
        <f>(J79*10)/100</f>
        <v>19575543.57</v>
      </c>
      <c r="AY79" s="40" t="s">
        <v>626</v>
      </c>
    </row>
    <row r="80" spans="1:51" ht="69" customHeight="1" x14ac:dyDescent="0.25">
      <c r="A80" s="44" t="s">
        <v>639</v>
      </c>
      <c r="B80" s="36">
        <v>45230</v>
      </c>
      <c r="C80" s="37">
        <v>1416</v>
      </c>
      <c r="D80" s="35" t="s">
        <v>640</v>
      </c>
      <c r="E80" s="39" t="s">
        <v>641</v>
      </c>
      <c r="F80" s="36">
        <v>45250</v>
      </c>
      <c r="G80" s="37" t="s">
        <v>642</v>
      </c>
      <c r="H80" s="40" t="s">
        <v>53</v>
      </c>
      <c r="I80" s="40" t="s">
        <v>606</v>
      </c>
      <c r="J80" s="41">
        <v>279576933.19999999</v>
      </c>
      <c r="K80" s="41">
        <v>279576933.19999999</v>
      </c>
      <c r="L80" s="41">
        <v>0</v>
      </c>
      <c r="M80" s="41">
        <v>0</v>
      </c>
      <c r="N80" s="42">
        <f t="shared" si="2"/>
        <v>0</v>
      </c>
      <c r="O80" s="43">
        <f t="shared" si="11"/>
        <v>0</v>
      </c>
      <c r="P80" s="41">
        <v>279576933.19999999</v>
      </c>
      <c r="Q80" s="43">
        <f t="shared" si="4"/>
        <v>0</v>
      </c>
      <c r="R80" s="41">
        <f t="shared" si="12"/>
        <v>279576933.19999999</v>
      </c>
      <c r="S80" s="30">
        <f t="shared" si="10"/>
        <v>279576933.19999999</v>
      </c>
      <c r="T80" s="30">
        <f t="shared" si="5"/>
        <v>279576933.19999999</v>
      </c>
      <c r="U80" s="30">
        <f>T80/X80</f>
        <v>25791.23</v>
      </c>
      <c r="V80" s="41">
        <f>T80/X80</f>
        <v>25791.23</v>
      </c>
      <c r="W80" s="41">
        <f>V80*AU80</f>
        <v>257912.3</v>
      </c>
      <c r="X80" s="41">
        <v>10840</v>
      </c>
      <c r="Y80" s="41">
        <v>10840</v>
      </c>
      <c r="Z80" s="41">
        <v>0</v>
      </c>
      <c r="AA80" s="41">
        <v>0</v>
      </c>
      <c r="AB80" s="41">
        <v>0</v>
      </c>
      <c r="AC80" s="41">
        <f t="shared" si="8"/>
        <v>0</v>
      </c>
      <c r="AD80" s="41">
        <v>10840</v>
      </c>
      <c r="AE80" s="41">
        <f t="shared" si="9"/>
        <v>279576933.19999999</v>
      </c>
      <c r="AF80" s="41">
        <f>X80/AU80</f>
        <v>1084</v>
      </c>
      <c r="AG80" s="41">
        <f t="shared" si="6"/>
        <v>1084</v>
      </c>
      <c r="AH80" s="36">
        <v>45301</v>
      </c>
      <c r="AI80" s="36"/>
      <c r="AJ80" s="36"/>
      <c r="AK80" s="36">
        <v>45332</v>
      </c>
      <c r="AL80" s="36"/>
      <c r="AM80" s="46"/>
      <c r="AN80" s="40" t="s">
        <v>607</v>
      </c>
      <c r="AO80" s="40" t="s">
        <v>608</v>
      </c>
      <c r="AP80" s="40" t="s">
        <v>609</v>
      </c>
      <c r="AQ80" s="40" t="s">
        <v>92</v>
      </c>
      <c r="AR80" s="48">
        <v>0</v>
      </c>
      <c r="AS80" s="37">
        <v>100</v>
      </c>
      <c r="AT80" s="37" t="s">
        <v>81</v>
      </c>
      <c r="AU80" s="47">
        <v>10</v>
      </c>
      <c r="AV80" s="37" t="s">
        <v>60</v>
      </c>
      <c r="AW80" s="37">
        <v>10</v>
      </c>
      <c r="AX80" s="30">
        <f>(J80*10)/100</f>
        <v>27957693.32</v>
      </c>
      <c r="AY80" s="40" t="s">
        <v>626</v>
      </c>
    </row>
    <row r="81" spans="1:51" ht="69" customHeight="1" x14ac:dyDescent="0.25">
      <c r="A81" s="44" t="s">
        <v>643</v>
      </c>
      <c r="B81" s="46">
        <v>45237</v>
      </c>
      <c r="C81" s="40">
        <v>545</v>
      </c>
      <c r="D81" s="35" t="s">
        <v>644</v>
      </c>
      <c r="E81" s="39" t="s">
        <v>645</v>
      </c>
      <c r="F81" s="36">
        <v>45258</v>
      </c>
      <c r="G81" s="37" t="s">
        <v>646</v>
      </c>
      <c r="H81" s="40" t="s">
        <v>269</v>
      </c>
      <c r="I81" s="40" t="s">
        <v>590</v>
      </c>
      <c r="J81" s="54">
        <v>13158732.6</v>
      </c>
      <c r="K81" s="54">
        <v>13158732.6</v>
      </c>
      <c r="L81" s="41">
        <v>0</v>
      </c>
      <c r="M81" s="41">
        <v>0</v>
      </c>
      <c r="N81" s="42">
        <f t="shared" si="2"/>
        <v>0</v>
      </c>
      <c r="O81" s="43">
        <f t="shared" si="11"/>
        <v>0</v>
      </c>
      <c r="P81" s="41">
        <v>13158732.6</v>
      </c>
      <c r="Q81" s="43">
        <f t="shared" si="4"/>
        <v>0</v>
      </c>
      <c r="R81" s="41">
        <v>13158732.6</v>
      </c>
      <c r="S81" s="30">
        <v>16788727.800000001</v>
      </c>
      <c r="T81" s="30">
        <f t="shared" si="5"/>
        <v>16788727.800000001</v>
      </c>
      <c r="U81" s="30">
        <f>T81/X81</f>
        <v>5041.66</v>
      </c>
      <c r="V81" s="41">
        <f>T81/X81</f>
        <v>5041.66</v>
      </c>
      <c r="W81" s="41">
        <f>V81*AU81</f>
        <v>453749.39999999997</v>
      </c>
      <c r="X81" s="41">
        <v>3330</v>
      </c>
      <c r="Y81" s="41">
        <v>1530</v>
      </c>
      <c r="Z81" s="41">
        <v>1800</v>
      </c>
      <c r="AA81" s="41">
        <v>0</v>
      </c>
      <c r="AB81" s="41"/>
      <c r="AC81" s="41">
        <f t="shared" si="8"/>
        <v>0</v>
      </c>
      <c r="AD81" s="41"/>
      <c r="AE81" s="41">
        <f t="shared" si="9"/>
        <v>0</v>
      </c>
      <c r="AF81" s="41">
        <f>X81/AU81</f>
        <v>37</v>
      </c>
      <c r="AG81" s="41">
        <f t="shared" si="6"/>
        <v>37</v>
      </c>
      <c r="AH81" s="36">
        <v>45322</v>
      </c>
      <c r="AI81" s="36">
        <v>45352</v>
      </c>
      <c r="AJ81" s="36"/>
      <c r="AK81" s="36">
        <v>45382</v>
      </c>
      <c r="AL81" s="36">
        <v>45383</v>
      </c>
      <c r="AM81" s="46"/>
      <c r="AN81" s="40" t="s">
        <v>647</v>
      </c>
      <c r="AO81" s="40" t="s">
        <v>648</v>
      </c>
      <c r="AP81" s="40" t="s">
        <v>649</v>
      </c>
      <c r="AQ81" s="40" t="s">
        <v>385</v>
      </c>
      <c r="AR81" s="48">
        <v>0</v>
      </c>
      <c r="AS81" s="37">
        <v>100</v>
      </c>
      <c r="AT81" s="37" t="s">
        <v>386</v>
      </c>
      <c r="AU81" s="47">
        <v>90</v>
      </c>
      <c r="AV81" s="37" t="s">
        <v>60</v>
      </c>
      <c r="AW81" s="37">
        <v>10</v>
      </c>
      <c r="AX81" s="30">
        <f>(J81*10)/100</f>
        <v>1315873.26</v>
      </c>
      <c r="AY81" s="40" t="s">
        <v>325</v>
      </c>
    </row>
    <row r="82" spans="1:51" ht="69" customHeight="1" x14ac:dyDescent="0.25">
      <c r="A82" s="44" t="s">
        <v>650</v>
      </c>
      <c r="B82" s="46">
        <v>45239</v>
      </c>
      <c r="C82" s="40">
        <v>545</v>
      </c>
      <c r="D82" s="35" t="s">
        <v>431</v>
      </c>
      <c r="E82" s="40"/>
      <c r="F82" s="36" t="s">
        <v>431</v>
      </c>
      <c r="G82" s="37" t="s">
        <v>431</v>
      </c>
      <c r="H82" s="40" t="s">
        <v>431</v>
      </c>
      <c r="I82" s="40" t="s">
        <v>651</v>
      </c>
      <c r="J82" s="54">
        <v>4595525000</v>
      </c>
      <c r="K82" s="54">
        <v>4595525000</v>
      </c>
      <c r="L82" s="54"/>
      <c r="M82" s="54"/>
      <c r="N82" s="42">
        <f t="shared" si="2"/>
        <v>100</v>
      </c>
      <c r="O82" s="43">
        <f t="shared" si="11"/>
        <v>4595525000</v>
      </c>
      <c r="P82" s="41"/>
      <c r="Q82" s="43">
        <f t="shared" si="4"/>
        <v>4595525000</v>
      </c>
      <c r="R82" s="41">
        <v>0</v>
      </c>
      <c r="S82" s="30">
        <f t="shared" ref="S82:S91" si="13">R82</f>
        <v>0</v>
      </c>
      <c r="T82" s="30">
        <f t="shared" si="5"/>
        <v>0</v>
      </c>
      <c r="U82" s="30" t="e">
        <f>T82/X82</f>
        <v>#DIV/0!</v>
      </c>
      <c r="V82" s="41" t="e">
        <f>T82/X82</f>
        <v>#DIV/0!</v>
      </c>
      <c r="W82" s="41" t="e">
        <f>V82*AU82</f>
        <v>#DIV/0!</v>
      </c>
      <c r="X82" s="41">
        <v>0</v>
      </c>
      <c r="Y82" s="41">
        <v>0</v>
      </c>
      <c r="Z82" s="41">
        <v>0</v>
      </c>
      <c r="AA82" s="41">
        <v>0</v>
      </c>
      <c r="AB82" s="41"/>
      <c r="AC82" s="41" t="e">
        <f t="shared" si="8"/>
        <v>#DIV/0!</v>
      </c>
      <c r="AD82" s="41"/>
      <c r="AE82" s="41" t="e">
        <f t="shared" si="9"/>
        <v>#DIV/0!</v>
      </c>
      <c r="AF82" s="41" t="e">
        <f>X82/AU82</f>
        <v>#DIV/0!</v>
      </c>
      <c r="AG82" s="41" t="e">
        <f t="shared" si="6"/>
        <v>#DIV/0!</v>
      </c>
      <c r="AH82" s="36">
        <v>45657</v>
      </c>
      <c r="AI82" s="36"/>
      <c r="AJ82" s="36"/>
      <c r="AK82" s="36"/>
      <c r="AL82" s="36"/>
      <c r="AM82" s="46"/>
      <c r="AN82" s="40"/>
      <c r="AO82" s="40"/>
      <c r="AP82" s="40"/>
      <c r="AQ82" s="40"/>
      <c r="AR82" s="48"/>
      <c r="AS82" s="37"/>
      <c r="AT82" s="37"/>
      <c r="AU82" s="47"/>
      <c r="AV82" s="37"/>
      <c r="AW82" s="37">
        <v>10</v>
      </c>
      <c r="AX82" s="30">
        <f>(J82*10)/100</f>
        <v>459552500</v>
      </c>
      <c r="AY82" s="40" t="s">
        <v>431</v>
      </c>
    </row>
    <row r="83" spans="1:51" ht="69" customHeight="1" x14ac:dyDescent="0.25">
      <c r="A83" s="44" t="s">
        <v>652</v>
      </c>
      <c r="B83" s="46">
        <v>45243</v>
      </c>
      <c r="C83" s="40">
        <v>1416</v>
      </c>
      <c r="D83" s="35" t="s">
        <v>653</v>
      </c>
      <c r="E83" s="39" t="s">
        <v>654</v>
      </c>
      <c r="F83" s="36">
        <v>45264</v>
      </c>
      <c r="G83" s="37" t="s">
        <v>655</v>
      </c>
      <c r="H83" s="40" t="s">
        <v>656</v>
      </c>
      <c r="I83" s="40" t="s">
        <v>657</v>
      </c>
      <c r="J83" s="54">
        <v>5403201.5</v>
      </c>
      <c r="K83" s="54">
        <v>5403201.5</v>
      </c>
      <c r="L83" s="54">
        <v>0</v>
      </c>
      <c r="M83" s="54">
        <v>0</v>
      </c>
      <c r="N83" s="42">
        <f t="shared" si="2"/>
        <v>13.501400974959019</v>
      </c>
      <c r="O83" s="43">
        <f t="shared" si="11"/>
        <v>729507.90000000037</v>
      </c>
      <c r="P83" s="41">
        <v>4673693.5999999996</v>
      </c>
      <c r="Q83" s="43">
        <f t="shared" si="4"/>
        <v>729507.90000000037</v>
      </c>
      <c r="R83" s="41">
        <v>4673693.5999999996</v>
      </c>
      <c r="S83" s="30">
        <f t="shared" si="13"/>
        <v>4673693.5999999996</v>
      </c>
      <c r="T83" s="30">
        <f t="shared" si="5"/>
        <v>4673693.5999999996</v>
      </c>
      <c r="U83" s="30">
        <f>T83/X83</f>
        <v>557.71999999999991</v>
      </c>
      <c r="V83" s="41">
        <f>T83/X83</f>
        <v>557.71999999999991</v>
      </c>
      <c r="W83" s="41">
        <f>V83*AU83</f>
        <v>11154.399999999998</v>
      </c>
      <c r="X83" s="41">
        <v>8380</v>
      </c>
      <c r="Y83" s="41">
        <v>8380</v>
      </c>
      <c r="Z83" s="41">
        <v>0</v>
      </c>
      <c r="AA83" s="41">
        <v>0</v>
      </c>
      <c r="AB83" s="41">
        <v>0</v>
      </c>
      <c r="AC83" s="41">
        <f t="shared" si="8"/>
        <v>0</v>
      </c>
      <c r="AD83" s="41">
        <v>8380</v>
      </c>
      <c r="AE83" s="41">
        <f t="shared" si="9"/>
        <v>4673693.5999999996</v>
      </c>
      <c r="AF83" s="41">
        <f>X83/AU83</f>
        <v>419</v>
      </c>
      <c r="AG83" s="41">
        <f t="shared" si="6"/>
        <v>419</v>
      </c>
      <c r="AH83" s="36">
        <v>45301</v>
      </c>
      <c r="AI83" s="36"/>
      <c r="AJ83" s="36"/>
      <c r="AK83" s="36">
        <v>45332</v>
      </c>
      <c r="AL83" s="36"/>
      <c r="AM83" s="46"/>
      <c r="AN83" s="40" t="s">
        <v>658</v>
      </c>
      <c r="AO83" s="40" t="s">
        <v>659</v>
      </c>
      <c r="AP83" s="40" t="s">
        <v>660</v>
      </c>
      <c r="AQ83" s="40" t="s">
        <v>80</v>
      </c>
      <c r="AR83" s="48">
        <v>100</v>
      </c>
      <c r="AS83" s="37">
        <v>0</v>
      </c>
      <c r="AT83" s="37" t="s">
        <v>81</v>
      </c>
      <c r="AU83" s="47">
        <v>20</v>
      </c>
      <c r="AV83" s="37" t="s">
        <v>60</v>
      </c>
      <c r="AW83" s="37">
        <v>10</v>
      </c>
      <c r="AX83" s="30">
        <f>(J83*10)/100</f>
        <v>540320.15</v>
      </c>
      <c r="AY83" s="40" t="s">
        <v>95</v>
      </c>
    </row>
    <row r="84" spans="1:51" ht="69" customHeight="1" x14ac:dyDescent="0.25">
      <c r="A84" s="44" t="s">
        <v>661</v>
      </c>
      <c r="B84" s="46">
        <v>45243</v>
      </c>
      <c r="C84" s="40">
        <v>1416</v>
      </c>
      <c r="D84" s="35" t="s">
        <v>662</v>
      </c>
      <c r="E84" s="39" t="s">
        <v>663</v>
      </c>
      <c r="F84" s="36">
        <v>45264</v>
      </c>
      <c r="G84" s="37" t="s">
        <v>664</v>
      </c>
      <c r="H84" s="40" t="s">
        <v>665</v>
      </c>
      <c r="I84" s="40" t="s">
        <v>666</v>
      </c>
      <c r="J84" s="54">
        <v>4459520</v>
      </c>
      <c r="K84" s="54">
        <v>4459520</v>
      </c>
      <c r="L84" s="54">
        <v>0</v>
      </c>
      <c r="M84" s="54">
        <v>0</v>
      </c>
      <c r="N84" s="42">
        <f t="shared" si="2"/>
        <v>0</v>
      </c>
      <c r="O84" s="43">
        <f t="shared" si="11"/>
        <v>0</v>
      </c>
      <c r="P84" s="41">
        <v>4459520</v>
      </c>
      <c r="Q84" s="43">
        <f t="shared" si="4"/>
        <v>0</v>
      </c>
      <c r="R84" s="41">
        <v>4459520</v>
      </c>
      <c r="S84" s="30">
        <f t="shared" si="13"/>
        <v>4459520</v>
      </c>
      <c r="T84" s="30">
        <f t="shared" si="5"/>
        <v>4459520</v>
      </c>
      <c r="U84" s="30">
        <f>T84/X84</f>
        <v>10.72</v>
      </c>
      <c r="V84" s="41">
        <f>T84/X84</f>
        <v>10.72</v>
      </c>
      <c r="W84" s="41" t="e">
        <f>V84*AU84</f>
        <v>#VALUE!</v>
      </c>
      <c r="X84" s="41">
        <v>416000</v>
      </c>
      <c r="Y84" s="41">
        <v>416000</v>
      </c>
      <c r="Z84" s="41">
        <v>0</v>
      </c>
      <c r="AA84" s="41">
        <v>0</v>
      </c>
      <c r="AB84" s="41">
        <v>0</v>
      </c>
      <c r="AC84" s="41">
        <f t="shared" si="8"/>
        <v>0</v>
      </c>
      <c r="AD84" s="41">
        <v>416000</v>
      </c>
      <c r="AE84" s="41">
        <f t="shared" si="9"/>
        <v>4459520</v>
      </c>
      <c r="AF84" s="41" t="e">
        <f>X84/AU84</f>
        <v>#VALUE!</v>
      </c>
      <c r="AG84" s="41" t="e">
        <f t="shared" si="6"/>
        <v>#VALUE!</v>
      </c>
      <c r="AH84" s="36">
        <v>45301</v>
      </c>
      <c r="AI84" s="36"/>
      <c r="AJ84" s="36"/>
      <c r="AK84" s="36">
        <v>45332</v>
      </c>
      <c r="AL84" s="36"/>
      <c r="AM84" s="46"/>
      <c r="AN84" s="40" t="s">
        <v>667</v>
      </c>
      <c r="AO84" s="40" t="s">
        <v>668</v>
      </c>
      <c r="AP84" s="40" t="s">
        <v>669</v>
      </c>
      <c r="AQ84" s="40" t="s">
        <v>670</v>
      </c>
      <c r="AR84" s="48">
        <v>0</v>
      </c>
      <c r="AS84" s="37">
        <v>100</v>
      </c>
      <c r="AT84" s="37" t="s">
        <v>93</v>
      </c>
      <c r="AU84" s="51" t="s">
        <v>671</v>
      </c>
      <c r="AV84" s="37" t="s">
        <v>60</v>
      </c>
      <c r="AW84" s="37">
        <v>10</v>
      </c>
      <c r="AX84" s="30">
        <f>(J84*10)/100</f>
        <v>445952</v>
      </c>
      <c r="AY84" s="40" t="s">
        <v>95</v>
      </c>
    </row>
    <row r="85" spans="1:51" ht="69" customHeight="1" x14ac:dyDescent="0.25">
      <c r="A85" s="44" t="s">
        <v>672</v>
      </c>
      <c r="B85" s="46">
        <v>45243</v>
      </c>
      <c r="C85" s="40">
        <v>1416</v>
      </c>
      <c r="D85" s="35" t="s">
        <v>673</v>
      </c>
      <c r="E85" s="39" t="s">
        <v>674</v>
      </c>
      <c r="F85" s="36">
        <v>45264</v>
      </c>
      <c r="G85" s="37" t="s">
        <v>675</v>
      </c>
      <c r="H85" s="40" t="s">
        <v>665</v>
      </c>
      <c r="I85" s="40" t="s">
        <v>676</v>
      </c>
      <c r="J85" s="54">
        <v>3530112</v>
      </c>
      <c r="K85" s="54">
        <v>3530112</v>
      </c>
      <c r="L85" s="54">
        <v>0</v>
      </c>
      <c r="M85" s="54">
        <v>0</v>
      </c>
      <c r="N85" s="42">
        <f t="shared" si="2"/>
        <v>0</v>
      </c>
      <c r="O85" s="43">
        <f t="shared" si="11"/>
        <v>0</v>
      </c>
      <c r="P85" s="41">
        <v>3530112</v>
      </c>
      <c r="Q85" s="43">
        <f t="shared" si="4"/>
        <v>0</v>
      </c>
      <c r="R85" s="41">
        <v>3530112</v>
      </c>
      <c r="S85" s="30">
        <f t="shared" si="13"/>
        <v>3530112</v>
      </c>
      <c r="T85" s="30">
        <f t="shared" si="5"/>
        <v>3530112</v>
      </c>
      <c r="U85" s="30">
        <f>T85/X85</f>
        <v>12.68</v>
      </c>
      <c r="V85" s="41">
        <f>T85/X85</f>
        <v>12.68</v>
      </c>
      <c r="W85" s="41">
        <f>V85*AU85</f>
        <v>15216</v>
      </c>
      <c r="X85" s="41">
        <v>278400</v>
      </c>
      <c r="Y85" s="41">
        <v>278400</v>
      </c>
      <c r="Z85" s="41">
        <v>0</v>
      </c>
      <c r="AA85" s="41">
        <v>0</v>
      </c>
      <c r="AB85" s="41">
        <v>0</v>
      </c>
      <c r="AC85" s="41">
        <f t="shared" si="8"/>
        <v>0</v>
      </c>
      <c r="AD85" s="41">
        <v>278400</v>
      </c>
      <c r="AE85" s="41">
        <f t="shared" si="9"/>
        <v>3530112</v>
      </c>
      <c r="AF85" s="41">
        <f>X85/AU85</f>
        <v>232</v>
      </c>
      <c r="AG85" s="41">
        <f t="shared" si="6"/>
        <v>232</v>
      </c>
      <c r="AH85" s="36">
        <v>45301</v>
      </c>
      <c r="AI85" s="36"/>
      <c r="AJ85" s="36"/>
      <c r="AK85" s="36">
        <v>45332</v>
      </c>
      <c r="AL85" s="36"/>
      <c r="AM85" s="46"/>
      <c r="AN85" s="40" t="s">
        <v>677</v>
      </c>
      <c r="AO85" s="40" t="s">
        <v>678</v>
      </c>
      <c r="AP85" s="40" t="s">
        <v>679</v>
      </c>
      <c r="AQ85" s="40" t="s">
        <v>92</v>
      </c>
      <c r="AR85" s="48">
        <v>0</v>
      </c>
      <c r="AS85" s="37">
        <v>100</v>
      </c>
      <c r="AT85" s="37" t="s">
        <v>93</v>
      </c>
      <c r="AU85" s="47">
        <v>1200</v>
      </c>
      <c r="AV85" s="37" t="s">
        <v>60</v>
      </c>
      <c r="AW85" s="37">
        <v>10</v>
      </c>
      <c r="AX85" s="30">
        <f>(J85*10)/100</f>
        <v>353011.20000000001</v>
      </c>
      <c r="AY85" s="40" t="s">
        <v>95</v>
      </c>
    </row>
    <row r="86" spans="1:51" ht="69" customHeight="1" x14ac:dyDescent="0.25">
      <c r="A86" s="44" t="s">
        <v>680</v>
      </c>
      <c r="B86" s="46">
        <v>45243</v>
      </c>
      <c r="C86" s="40">
        <v>1416</v>
      </c>
      <c r="D86" s="35" t="s">
        <v>681</v>
      </c>
      <c r="E86" s="39" t="s">
        <v>682</v>
      </c>
      <c r="F86" s="36">
        <v>45264</v>
      </c>
      <c r="G86" s="37" t="s">
        <v>683</v>
      </c>
      <c r="H86" s="40" t="s">
        <v>665</v>
      </c>
      <c r="I86" s="40" t="s">
        <v>684</v>
      </c>
      <c r="J86" s="54">
        <v>20764800</v>
      </c>
      <c r="K86" s="54">
        <v>20764800</v>
      </c>
      <c r="L86" s="54">
        <v>0</v>
      </c>
      <c r="M86" s="54">
        <v>0</v>
      </c>
      <c r="N86" s="42">
        <f t="shared" si="2"/>
        <v>0</v>
      </c>
      <c r="O86" s="43">
        <f t="shared" si="11"/>
        <v>0</v>
      </c>
      <c r="P86" s="41">
        <v>20764800</v>
      </c>
      <c r="Q86" s="43">
        <f t="shared" si="4"/>
        <v>0</v>
      </c>
      <c r="R86" s="41">
        <v>20764800</v>
      </c>
      <c r="S86" s="30">
        <f t="shared" si="13"/>
        <v>20764800</v>
      </c>
      <c r="T86" s="30">
        <f t="shared" si="5"/>
        <v>20764800</v>
      </c>
      <c r="U86" s="30">
        <f>T86/X86</f>
        <v>12.36</v>
      </c>
      <c r="V86" s="41">
        <f>T86/X86</f>
        <v>12.36</v>
      </c>
      <c r="W86" s="41">
        <f>V86*AU86</f>
        <v>6180</v>
      </c>
      <c r="X86" s="41">
        <v>1680000</v>
      </c>
      <c r="Y86" s="41">
        <v>1680000</v>
      </c>
      <c r="Z86" s="41">
        <v>0</v>
      </c>
      <c r="AA86" s="41">
        <v>0</v>
      </c>
      <c r="AB86" s="41">
        <v>0</v>
      </c>
      <c r="AC86" s="41">
        <f t="shared" si="8"/>
        <v>0</v>
      </c>
      <c r="AD86" s="41">
        <v>1680000</v>
      </c>
      <c r="AE86" s="41">
        <f t="shared" si="9"/>
        <v>20764800</v>
      </c>
      <c r="AF86" s="41">
        <f>X86/AU86</f>
        <v>3360</v>
      </c>
      <c r="AG86" s="41">
        <f t="shared" si="6"/>
        <v>3360</v>
      </c>
      <c r="AH86" s="36">
        <v>45301</v>
      </c>
      <c r="AI86" s="36"/>
      <c r="AJ86" s="36"/>
      <c r="AK86" s="36">
        <v>45332</v>
      </c>
      <c r="AL86" s="36"/>
      <c r="AM86" s="46"/>
      <c r="AN86" s="40" t="s">
        <v>89</v>
      </c>
      <c r="AO86" s="40" t="s">
        <v>685</v>
      </c>
      <c r="AP86" s="40" t="s">
        <v>91</v>
      </c>
      <c r="AQ86" s="40" t="s">
        <v>146</v>
      </c>
      <c r="AR86" s="48">
        <v>0</v>
      </c>
      <c r="AS86" s="37">
        <v>100</v>
      </c>
      <c r="AT86" s="37" t="s">
        <v>93</v>
      </c>
      <c r="AU86" s="47">
        <v>500</v>
      </c>
      <c r="AV86" s="37" t="s">
        <v>60</v>
      </c>
      <c r="AW86" s="37">
        <v>10</v>
      </c>
      <c r="AX86" s="30">
        <f>(J86*10)/100</f>
        <v>2076480</v>
      </c>
      <c r="AY86" s="40" t="s">
        <v>402</v>
      </c>
    </row>
    <row r="87" spans="1:51" ht="66" customHeight="1" x14ac:dyDescent="0.25">
      <c r="A87" s="44" t="s">
        <v>686</v>
      </c>
      <c r="B87" s="46">
        <v>45243</v>
      </c>
      <c r="C87" s="40">
        <v>1416</v>
      </c>
      <c r="D87" s="35" t="s">
        <v>687</v>
      </c>
      <c r="E87" s="39" t="s">
        <v>688</v>
      </c>
      <c r="F87" s="36">
        <v>45264</v>
      </c>
      <c r="G87" s="37" t="s">
        <v>689</v>
      </c>
      <c r="H87" s="40" t="s">
        <v>665</v>
      </c>
      <c r="I87" s="40" t="s">
        <v>690</v>
      </c>
      <c r="J87" s="54">
        <v>5343840</v>
      </c>
      <c r="K87" s="54">
        <v>5343840</v>
      </c>
      <c r="L87" s="54">
        <v>0</v>
      </c>
      <c r="M87" s="54">
        <v>0</v>
      </c>
      <c r="N87" s="42">
        <f t="shared" si="2"/>
        <v>0</v>
      </c>
      <c r="O87" s="43">
        <f t="shared" si="11"/>
        <v>0</v>
      </c>
      <c r="P87" s="41">
        <v>5343840</v>
      </c>
      <c r="Q87" s="43">
        <f t="shared" si="4"/>
        <v>0</v>
      </c>
      <c r="R87" s="41">
        <v>5343840</v>
      </c>
      <c r="S87" s="30">
        <f t="shared" si="13"/>
        <v>5343840</v>
      </c>
      <c r="T87" s="30">
        <f t="shared" si="5"/>
        <v>5343840</v>
      </c>
      <c r="U87" s="30">
        <f>T87/X87</f>
        <v>12.37</v>
      </c>
      <c r="V87" s="41">
        <f>T87/X87</f>
        <v>12.37</v>
      </c>
      <c r="W87" s="41">
        <f>V87*AU87</f>
        <v>37110</v>
      </c>
      <c r="X87" s="41">
        <v>432000</v>
      </c>
      <c r="Y87" s="41">
        <v>432000</v>
      </c>
      <c r="Z87" s="41">
        <v>0</v>
      </c>
      <c r="AA87" s="41">
        <v>0</v>
      </c>
      <c r="AB87" s="41">
        <v>0</v>
      </c>
      <c r="AC87" s="41">
        <f t="shared" si="8"/>
        <v>0</v>
      </c>
      <c r="AD87" s="41">
        <v>432000</v>
      </c>
      <c r="AE87" s="41">
        <f t="shared" si="9"/>
        <v>5343840</v>
      </c>
      <c r="AF87" s="41">
        <f>X87/AU87</f>
        <v>144</v>
      </c>
      <c r="AG87" s="41">
        <f t="shared" si="6"/>
        <v>144</v>
      </c>
      <c r="AH87" s="36">
        <v>45301</v>
      </c>
      <c r="AI87" s="36"/>
      <c r="AJ87" s="36"/>
      <c r="AK87" s="36">
        <v>45332</v>
      </c>
      <c r="AL87" s="36"/>
      <c r="AM87" s="46"/>
      <c r="AN87" s="40" t="s">
        <v>89</v>
      </c>
      <c r="AO87" s="40" t="s">
        <v>691</v>
      </c>
      <c r="AP87" s="40" t="s">
        <v>91</v>
      </c>
      <c r="AQ87" s="40" t="s">
        <v>146</v>
      </c>
      <c r="AR87" s="48">
        <v>0</v>
      </c>
      <c r="AS87" s="37">
        <v>100</v>
      </c>
      <c r="AT87" s="37" t="s">
        <v>93</v>
      </c>
      <c r="AU87" s="47">
        <v>3000</v>
      </c>
      <c r="AV87" s="37" t="s">
        <v>60</v>
      </c>
      <c r="AW87" s="37">
        <v>10</v>
      </c>
      <c r="AX87" s="30">
        <f>(J87*10)/100</f>
        <v>534384</v>
      </c>
      <c r="AY87" s="40" t="s">
        <v>95</v>
      </c>
    </row>
    <row r="88" spans="1:51" ht="66" customHeight="1" x14ac:dyDescent="0.25">
      <c r="A88" s="44" t="s">
        <v>692</v>
      </c>
      <c r="B88" s="46">
        <v>45245</v>
      </c>
      <c r="C88" s="40">
        <v>1416</v>
      </c>
      <c r="D88" s="35" t="s">
        <v>693</v>
      </c>
      <c r="E88" s="39" t="s">
        <v>694</v>
      </c>
      <c r="F88" s="36">
        <v>45265</v>
      </c>
      <c r="G88" s="37" t="s">
        <v>695</v>
      </c>
      <c r="H88" s="40" t="s">
        <v>665</v>
      </c>
      <c r="I88" s="40" t="s">
        <v>696</v>
      </c>
      <c r="J88" s="54">
        <v>54898060</v>
      </c>
      <c r="K88" s="54">
        <v>54898060</v>
      </c>
      <c r="L88" s="54">
        <v>0</v>
      </c>
      <c r="M88" s="54">
        <v>0</v>
      </c>
      <c r="N88" s="42">
        <f t="shared" si="2"/>
        <v>0</v>
      </c>
      <c r="O88" s="43">
        <f t="shared" si="11"/>
        <v>0</v>
      </c>
      <c r="P88" s="41">
        <v>54898060</v>
      </c>
      <c r="Q88" s="43">
        <f t="shared" si="4"/>
        <v>0</v>
      </c>
      <c r="R88" s="41">
        <v>54898060</v>
      </c>
      <c r="S88" s="30">
        <f t="shared" si="13"/>
        <v>54898060</v>
      </c>
      <c r="T88" s="30">
        <f t="shared" si="5"/>
        <v>54898060</v>
      </c>
      <c r="U88" s="30">
        <f>T88/X88</f>
        <v>12.37</v>
      </c>
      <c r="V88" s="41">
        <f>T88/X88</f>
        <v>12.37</v>
      </c>
      <c r="W88" s="41">
        <f>V88*AU88</f>
        <v>12370</v>
      </c>
      <c r="X88" s="41">
        <v>4438000</v>
      </c>
      <c r="Y88" s="41">
        <v>4438000</v>
      </c>
      <c r="Z88" s="41">
        <v>0</v>
      </c>
      <c r="AA88" s="41">
        <v>0</v>
      </c>
      <c r="AB88" s="41">
        <v>0</v>
      </c>
      <c r="AC88" s="41">
        <f t="shared" si="8"/>
        <v>0</v>
      </c>
      <c r="AD88" s="41">
        <v>4438000</v>
      </c>
      <c r="AE88" s="41">
        <f t="shared" si="9"/>
        <v>54898060</v>
      </c>
      <c r="AF88" s="41">
        <f>X88/AU88</f>
        <v>4438</v>
      </c>
      <c r="AG88" s="41">
        <f t="shared" si="6"/>
        <v>4438</v>
      </c>
      <c r="AH88" s="36">
        <v>45301</v>
      </c>
      <c r="AI88" s="36"/>
      <c r="AJ88" s="36"/>
      <c r="AK88" s="36">
        <v>45332</v>
      </c>
      <c r="AL88" s="36"/>
      <c r="AM88" s="46"/>
      <c r="AN88" s="40" t="s">
        <v>89</v>
      </c>
      <c r="AO88" s="40" t="s">
        <v>107</v>
      </c>
      <c r="AP88" s="40" t="s">
        <v>91</v>
      </c>
      <c r="AQ88" s="40" t="s">
        <v>697</v>
      </c>
      <c r="AR88" s="48">
        <v>0</v>
      </c>
      <c r="AS88" s="37">
        <v>100</v>
      </c>
      <c r="AT88" s="37" t="s">
        <v>93</v>
      </c>
      <c r="AU88" s="47">
        <v>1000</v>
      </c>
      <c r="AV88" s="37" t="s">
        <v>60</v>
      </c>
      <c r="AW88" s="37">
        <v>10</v>
      </c>
      <c r="AX88" s="30">
        <f>(J88*10)/100</f>
        <v>5489806</v>
      </c>
      <c r="AY88" s="40" t="s">
        <v>95</v>
      </c>
    </row>
    <row r="89" spans="1:51" ht="66" customHeight="1" x14ac:dyDescent="0.25">
      <c r="A89" s="44" t="s">
        <v>698</v>
      </c>
      <c r="B89" s="46">
        <v>45246</v>
      </c>
      <c r="C89" s="40">
        <v>1416</v>
      </c>
      <c r="D89" s="35" t="s">
        <v>699</v>
      </c>
      <c r="E89" s="39" t="s">
        <v>700</v>
      </c>
      <c r="F89" s="36">
        <v>45265</v>
      </c>
      <c r="G89" s="37" t="s">
        <v>701</v>
      </c>
      <c r="H89" s="40" t="s">
        <v>665</v>
      </c>
      <c r="I89" s="40" t="s">
        <v>702</v>
      </c>
      <c r="J89" s="54">
        <v>2674640</v>
      </c>
      <c r="K89" s="54">
        <v>2674640</v>
      </c>
      <c r="L89" s="54">
        <v>0</v>
      </c>
      <c r="M89" s="54">
        <v>0</v>
      </c>
      <c r="N89" s="42">
        <f t="shared" si="2"/>
        <v>0</v>
      </c>
      <c r="O89" s="43">
        <f t="shared" si="11"/>
        <v>0</v>
      </c>
      <c r="P89" s="41">
        <v>2674640</v>
      </c>
      <c r="Q89" s="43">
        <f t="shared" si="4"/>
        <v>0</v>
      </c>
      <c r="R89" s="41">
        <v>2674640</v>
      </c>
      <c r="S89" s="30">
        <f t="shared" si="13"/>
        <v>2674640</v>
      </c>
      <c r="T89" s="30">
        <f t="shared" si="5"/>
        <v>2674640</v>
      </c>
      <c r="U89" s="30">
        <f>T89/X89</f>
        <v>10.72</v>
      </c>
      <c r="V89" s="41">
        <f>T89/X89</f>
        <v>10.72</v>
      </c>
      <c r="W89" s="41">
        <f>V89*AU89</f>
        <v>5360</v>
      </c>
      <c r="X89" s="41">
        <v>249500</v>
      </c>
      <c r="Y89" s="41">
        <v>249500</v>
      </c>
      <c r="Z89" s="41">
        <v>0</v>
      </c>
      <c r="AA89" s="41">
        <v>0</v>
      </c>
      <c r="AB89" s="41">
        <v>0</v>
      </c>
      <c r="AC89" s="41">
        <f t="shared" si="8"/>
        <v>0</v>
      </c>
      <c r="AD89" s="41">
        <v>249500</v>
      </c>
      <c r="AE89" s="41">
        <f t="shared" si="9"/>
        <v>2674640</v>
      </c>
      <c r="AF89" s="41">
        <f>X89/AU89</f>
        <v>499</v>
      </c>
      <c r="AG89" s="41">
        <f t="shared" si="6"/>
        <v>499</v>
      </c>
      <c r="AH89" s="36">
        <v>45301</v>
      </c>
      <c r="AI89" s="36"/>
      <c r="AJ89" s="36"/>
      <c r="AK89" s="36">
        <v>45332</v>
      </c>
      <c r="AL89" s="36"/>
      <c r="AM89" s="46"/>
      <c r="AN89" s="40" t="s">
        <v>703</v>
      </c>
      <c r="AO89" s="40" t="s">
        <v>704</v>
      </c>
      <c r="AP89" s="40" t="s">
        <v>705</v>
      </c>
      <c r="AQ89" s="40" t="s">
        <v>670</v>
      </c>
      <c r="AR89" s="48">
        <v>0</v>
      </c>
      <c r="AS89" s="37">
        <v>100</v>
      </c>
      <c r="AT89" s="37" t="s">
        <v>93</v>
      </c>
      <c r="AU89" s="47">
        <v>500</v>
      </c>
      <c r="AV89" s="37" t="s">
        <v>60</v>
      </c>
      <c r="AW89" s="37">
        <v>10</v>
      </c>
      <c r="AX89" s="30">
        <f>(J89*10)/100</f>
        <v>267464</v>
      </c>
      <c r="AY89" s="40" t="s">
        <v>95</v>
      </c>
    </row>
    <row r="90" spans="1:51" ht="66" customHeight="1" x14ac:dyDescent="0.25">
      <c r="A90" s="44" t="s">
        <v>706</v>
      </c>
      <c r="B90" s="46">
        <v>45246</v>
      </c>
      <c r="C90" s="40">
        <v>1416</v>
      </c>
      <c r="D90" s="35" t="s">
        <v>707</v>
      </c>
      <c r="E90" s="39" t="s">
        <v>708</v>
      </c>
      <c r="F90" s="36">
        <v>45265</v>
      </c>
      <c r="G90" s="37" t="s">
        <v>709</v>
      </c>
      <c r="H90" s="40" t="s">
        <v>665</v>
      </c>
      <c r="I90" s="40" t="s">
        <v>710</v>
      </c>
      <c r="J90" s="54">
        <v>10963680</v>
      </c>
      <c r="K90" s="54">
        <v>10963680</v>
      </c>
      <c r="L90" s="54">
        <v>0</v>
      </c>
      <c r="M90" s="54">
        <v>0</v>
      </c>
      <c r="N90" s="42">
        <f t="shared" si="2"/>
        <v>0</v>
      </c>
      <c r="O90" s="43">
        <f t="shared" si="11"/>
        <v>0</v>
      </c>
      <c r="P90" s="41">
        <v>10963680</v>
      </c>
      <c r="Q90" s="43">
        <f t="shared" si="4"/>
        <v>0</v>
      </c>
      <c r="R90" s="41">
        <v>10963680</v>
      </c>
      <c r="S90" s="30">
        <f t="shared" si="13"/>
        <v>10963680</v>
      </c>
      <c r="T90" s="30">
        <f t="shared" si="5"/>
        <v>10963680</v>
      </c>
      <c r="U90" s="30">
        <f>T90/X90</f>
        <v>7.28</v>
      </c>
      <c r="V90" s="41">
        <f>T90/X90</f>
        <v>7.28</v>
      </c>
      <c r="W90" s="41">
        <f>V90*AU90</f>
        <v>7280</v>
      </c>
      <c r="X90" s="41">
        <v>1506000</v>
      </c>
      <c r="Y90" s="41">
        <v>1506000</v>
      </c>
      <c r="Z90" s="41">
        <v>0</v>
      </c>
      <c r="AA90" s="41">
        <v>0</v>
      </c>
      <c r="AB90" s="41">
        <v>0</v>
      </c>
      <c r="AC90" s="41">
        <f t="shared" si="8"/>
        <v>0</v>
      </c>
      <c r="AD90" s="41">
        <v>1506000</v>
      </c>
      <c r="AE90" s="41">
        <f t="shared" si="9"/>
        <v>10963680</v>
      </c>
      <c r="AF90" s="41">
        <f>X90/AU90</f>
        <v>1506</v>
      </c>
      <c r="AG90" s="41">
        <f t="shared" si="6"/>
        <v>1506</v>
      </c>
      <c r="AH90" s="36">
        <v>45301</v>
      </c>
      <c r="AI90" s="36"/>
      <c r="AJ90" s="36"/>
      <c r="AK90" s="36">
        <v>45332</v>
      </c>
      <c r="AL90" s="36"/>
      <c r="AM90" s="46"/>
      <c r="AN90" s="40" t="s">
        <v>711</v>
      </c>
      <c r="AO90" s="40" t="s">
        <v>712</v>
      </c>
      <c r="AP90" s="40" t="s">
        <v>713</v>
      </c>
      <c r="AQ90" s="40" t="s">
        <v>714</v>
      </c>
      <c r="AR90" s="48">
        <v>0</v>
      </c>
      <c r="AS90" s="37">
        <v>100</v>
      </c>
      <c r="AT90" s="37" t="s">
        <v>93</v>
      </c>
      <c r="AU90" s="47">
        <v>1000</v>
      </c>
      <c r="AV90" s="37" t="s">
        <v>60</v>
      </c>
      <c r="AW90" s="37">
        <v>10</v>
      </c>
      <c r="AX90" s="30">
        <f>(J90*10)/100</f>
        <v>1096368</v>
      </c>
      <c r="AY90" s="40" t="s">
        <v>95</v>
      </c>
    </row>
    <row r="91" spans="1:51" ht="66" customHeight="1" x14ac:dyDescent="0.25">
      <c r="A91" s="44" t="s">
        <v>715</v>
      </c>
      <c r="B91" s="46">
        <v>45246</v>
      </c>
      <c r="C91" s="40">
        <v>1416</v>
      </c>
      <c r="D91" s="35" t="s">
        <v>716</v>
      </c>
      <c r="E91" s="39" t="s">
        <v>717</v>
      </c>
      <c r="F91" s="36">
        <v>45265</v>
      </c>
      <c r="G91" s="37" t="s">
        <v>718</v>
      </c>
      <c r="H91" s="40" t="s">
        <v>656</v>
      </c>
      <c r="I91" s="40" t="s">
        <v>719</v>
      </c>
      <c r="J91" s="54">
        <v>20917831.34</v>
      </c>
      <c r="K91" s="54">
        <v>20917831.34</v>
      </c>
      <c r="L91" s="54">
        <v>0</v>
      </c>
      <c r="M91" s="54">
        <v>0</v>
      </c>
      <c r="N91" s="42">
        <f t="shared" si="2"/>
        <v>10.000010546026324</v>
      </c>
      <c r="O91" s="43">
        <f t="shared" si="11"/>
        <v>2091785.3399999999</v>
      </c>
      <c r="P91" s="41">
        <v>18826046</v>
      </c>
      <c r="Q91" s="43">
        <f t="shared" si="4"/>
        <v>2092072.3399999999</v>
      </c>
      <c r="R91" s="41">
        <v>18825759</v>
      </c>
      <c r="S91" s="30">
        <f t="shared" si="13"/>
        <v>18825759</v>
      </c>
      <c r="T91" s="30">
        <f t="shared" si="5"/>
        <v>18825759</v>
      </c>
      <c r="U91" s="30">
        <f>T91/X91</f>
        <v>581.94000000000005</v>
      </c>
      <c r="V91" s="41">
        <f>T91/X91</f>
        <v>581.94000000000005</v>
      </c>
      <c r="W91" s="41">
        <f>V91*AU91</f>
        <v>29097.000000000004</v>
      </c>
      <c r="X91" s="41">
        <v>32350</v>
      </c>
      <c r="Y91" s="41">
        <v>32350</v>
      </c>
      <c r="Z91" s="41">
        <v>0</v>
      </c>
      <c r="AA91" s="41">
        <v>0</v>
      </c>
      <c r="AB91" s="41">
        <v>0</v>
      </c>
      <c r="AC91" s="41">
        <f t="shared" si="8"/>
        <v>0</v>
      </c>
      <c r="AD91" s="41">
        <v>32350</v>
      </c>
      <c r="AE91" s="41">
        <f t="shared" si="9"/>
        <v>18825759</v>
      </c>
      <c r="AF91" s="41">
        <f>X91/AU91</f>
        <v>647</v>
      </c>
      <c r="AG91" s="41">
        <f t="shared" si="6"/>
        <v>647</v>
      </c>
      <c r="AH91" s="36">
        <v>45301</v>
      </c>
      <c r="AI91" s="36"/>
      <c r="AJ91" s="36"/>
      <c r="AK91" s="36">
        <v>45332</v>
      </c>
      <c r="AL91" s="36"/>
      <c r="AM91" s="46"/>
      <c r="AN91" s="40" t="s">
        <v>658</v>
      </c>
      <c r="AO91" s="40" t="s">
        <v>720</v>
      </c>
      <c r="AP91" s="40" t="s">
        <v>660</v>
      </c>
      <c r="AQ91" s="40" t="s">
        <v>80</v>
      </c>
      <c r="AR91" s="48">
        <v>100</v>
      </c>
      <c r="AS91" s="37">
        <v>0</v>
      </c>
      <c r="AT91" s="37" t="s">
        <v>81</v>
      </c>
      <c r="AU91" s="47">
        <v>50</v>
      </c>
      <c r="AV91" s="37" t="s">
        <v>60</v>
      </c>
      <c r="AW91" s="37">
        <v>10</v>
      </c>
      <c r="AX91" s="30">
        <f>(J91*10)/100</f>
        <v>2091783.1340000001</v>
      </c>
      <c r="AY91" s="40" t="s">
        <v>95</v>
      </c>
    </row>
    <row r="92" spans="1:51" ht="66" customHeight="1" x14ac:dyDescent="0.25">
      <c r="A92" s="44" t="s">
        <v>721</v>
      </c>
      <c r="B92" s="46">
        <v>45246</v>
      </c>
      <c r="C92" s="40">
        <v>1416</v>
      </c>
      <c r="D92" s="35" t="s">
        <v>722</v>
      </c>
      <c r="E92" s="39" t="s">
        <v>723</v>
      </c>
      <c r="F92" s="36">
        <v>45273</v>
      </c>
      <c r="G92" s="37" t="s">
        <v>724</v>
      </c>
      <c r="H92" s="40" t="s">
        <v>665</v>
      </c>
      <c r="I92" s="40" t="s">
        <v>725</v>
      </c>
      <c r="J92" s="54">
        <v>20509500</v>
      </c>
      <c r="K92" s="54">
        <v>20509500</v>
      </c>
      <c r="L92" s="54">
        <v>0</v>
      </c>
      <c r="M92" s="54">
        <v>0</v>
      </c>
      <c r="N92" s="42">
        <f t="shared" si="2"/>
        <v>0</v>
      </c>
      <c r="O92" s="43">
        <f t="shared" si="11"/>
        <v>0</v>
      </c>
      <c r="P92" s="41">
        <v>20509500</v>
      </c>
      <c r="Q92" s="43">
        <f t="shared" si="4"/>
        <v>0</v>
      </c>
      <c r="R92" s="41">
        <v>20509500</v>
      </c>
      <c r="S92" s="30">
        <v>20509500</v>
      </c>
      <c r="T92" s="30">
        <v>20509500</v>
      </c>
      <c r="U92" s="30">
        <v>7.26</v>
      </c>
      <c r="V92" s="41">
        <f>T92/X92</f>
        <v>7.26</v>
      </c>
      <c r="W92" s="41">
        <f>V92*AU92</f>
        <v>3630</v>
      </c>
      <c r="X92" s="41">
        <v>2825000</v>
      </c>
      <c r="Y92" s="41">
        <v>2825000</v>
      </c>
      <c r="Z92" s="41">
        <v>0</v>
      </c>
      <c r="AA92" s="41">
        <v>0</v>
      </c>
      <c r="AB92" s="41">
        <v>0</v>
      </c>
      <c r="AC92" s="41">
        <f t="shared" si="8"/>
        <v>0</v>
      </c>
      <c r="AD92" s="41">
        <v>2825000</v>
      </c>
      <c r="AE92" s="41">
        <f t="shared" si="9"/>
        <v>20509500</v>
      </c>
      <c r="AF92" s="41">
        <v>5650</v>
      </c>
      <c r="AG92" s="41">
        <v>5650</v>
      </c>
      <c r="AH92" s="36">
        <v>45301</v>
      </c>
      <c r="AI92" s="36"/>
      <c r="AJ92" s="36"/>
      <c r="AK92" s="36">
        <v>45332</v>
      </c>
      <c r="AL92" s="36"/>
      <c r="AM92" s="46"/>
      <c r="AN92" s="40" t="s">
        <v>711</v>
      </c>
      <c r="AO92" s="40" t="s">
        <v>712</v>
      </c>
      <c r="AP92" s="40" t="s">
        <v>713</v>
      </c>
      <c r="AQ92" s="40" t="s">
        <v>313</v>
      </c>
      <c r="AR92" s="48">
        <v>0</v>
      </c>
      <c r="AS92" s="37">
        <v>100</v>
      </c>
      <c r="AT92" s="37" t="s">
        <v>93</v>
      </c>
      <c r="AU92" s="47">
        <v>500</v>
      </c>
      <c r="AV92" s="37"/>
      <c r="AW92" s="37">
        <v>10</v>
      </c>
      <c r="AX92" s="30">
        <f>(J92*10)/100</f>
        <v>2050950</v>
      </c>
      <c r="AY92" s="40" t="s">
        <v>402</v>
      </c>
    </row>
    <row r="93" spans="1:51" ht="60.75" customHeight="1" x14ac:dyDescent="0.25">
      <c r="A93" s="44" t="s">
        <v>726</v>
      </c>
      <c r="B93" s="46">
        <v>45252</v>
      </c>
      <c r="C93" s="40">
        <v>1416</v>
      </c>
      <c r="D93" s="35" t="s">
        <v>727</v>
      </c>
      <c r="E93" s="39" t="s">
        <v>728</v>
      </c>
      <c r="F93" s="36">
        <v>45272</v>
      </c>
      <c r="G93" s="37" t="s">
        <v>729</v>
      </c>
      <c r="H93" s="40" t="s">
        <v>730</v>
      </c>
      <c r="I93" s="40" t="s">
        <v>731</v>
      </c>
      <c r="J93" s="54">
        <v>120813651.86</v>
      </c>
      <c r="K93" s="54">
        <v>120813651.86</v>
      </c>
      <c r="L93" s="54">
        <v>0</v>
      </c>
      <c r="M93" s="54">
        <v>0</v>
      </c>
      <c r="N93" s="42">
        <f t="shared" si="2"/>
        <v>0</v>
      </c>
      <c r="O93" s="43">
        <f t="shared" si="11"/>
        <v>0</v>
      </c>
      <c r="P93" s="41">
        <v>120813651.86</v>
      </c>
      <c r="Q93" s="43">
        <f t="shared" si="4"/>
        <v>0</v>
      </c>
      <c r="R93" s="41">
        <v>120813651.86</v>
      </c>
      <c r="S93" s="30">
        <f t="shared" ref="S93:T108" si="14">R93</f>
        <v>120813651.86</v>
      </c>
      <c r="T93" s="30">
        <f t="shared" si="14"/>
        <v>120813651.86</v>
      </c>
      <c r="U93" s="30">
        <f>T93/X93</f>
        <v>250650.73</v>
      </c>
      <c r="V93" s="41">
        <f>T93/X93</f>
        <v>250650.73</v>
      </c>
      <c r="W93" s="41">
        <f>V93*AU93</f>
        <v>250650.73</v>
      </c>
      <c r="X93" s="41">
        <v>482</v>
      </c>
      <c r="Y93" s="41">
        <v>482</v>
      </c>
      <c r="Z93" s="41">
        <v>0</v>
      </c>
      <c r="AA93" s="41">
        <v>0</v>
      </c>
      <c r="AB93" s="41">
        <v>0</v>
      </c>
      <c r="AC93" s="41">
        <f t="shared" si="8"/>
        <v>0</v>
      </c>
      <c r="AD93" s="41">
        <v>482</v>
      </c>
      <c r="AE93" s="41">
        <f t="shared" si="9"/>
        <v>120813651.86</v>
      </c>
      <c r="AF93" s="41">
        <f>X93/AU93</f>
        <v>482</v>
      </c>
      <c r="AG93" s="41">
        <f t="shared" ref="AG93:AG141" si="15">_xlfn.CEILING.MATH(AF93)</f>
        <v>482</v>
      </c>
      <c r="AH93" s="36">
        <v>45301</v>
      </c>
      <c r="AI93" s="36"/>
      <c r="AJ93" s="36"/>
      <c r="AK93" s="36">
        <v>45332</v>
      </c>
      <c r="AL93" s="36"/>
      <c r="AM93" s="46"/>
      <c r="AN93" s="40" t="s">
        <v>732</v>
      </c>
      <c r="AO93" s="40" t="s">
        <v>733</v>
      </c>
      <c r="AP93" s="40" t="s">
        <v>734</v>
      </c>
      <c r="AQ93" s="40" t="s">
        <v>264</v>
      </c>
      <c r="AR93" s="48">
        <v>0</v>
      </c>
      <c r="AS93" s="37">
        <v>100</v>
      </c>
      <c r="AT93" s="37" t="s">
        <v>81</v>
      </c>
      <c r="AU93" s="47">
        <v>1</v>
      </c>
      <c r="AV93" s="37" t="s">
        <v>60</v>
      </c>
      <c r="AW93" s="37">
        <v>10</v>
      </c>
      <c r="AX93" s="30">
        <f>(J93*10)/100</f>
        <v>12081365.185999999</v>
      </c>
      <c r="AY93" s="40" t="s">
        <v>95</v>
      </c>
    </row>
    <row r="94" spans="1:51" ht="60.75" customHeight="1" x14ac:dyDescent="0.25">
      <c r="A94" s="44" t="s">
        <v>735</v>
      </c>
      <c r="B94" s="46">
        <v>45252</v>
      </c>
      <c r="C94" s="40">
        <v>1416</v>
      </c>
      <c r="D94" s="35" t="s">
        <v>736</v>
      </c>
      <c r="E94" s="39" t="s">
        <v>737</v>
      </c>
      <c r="F94" s="36">
        <v>45272</v>
      </c>
      <c r="G94" s="37" t="s">
        <v>738</v>
      </c>
      <c r="H94" s="40" t="s">
        <v>307</v>
      </c>
      <c r="I94" s="40" t="s">
        <v>739</v>
      </c>
      <c r="J94" s="54">
        <v>112543483.09999999</v>
      </c>
      <c r="K94" s="54">
        <v>112543483.09999999</v>
      </c>
      <c r="L94" s="54">
        <v>0</v>
      </c>
      <c r="M94" s="54">
        <v>0</v>
      </c>
      <c r="N94" s="42">
        <f t="shared" si="2"/>
        <v>0</v>
      </c>
      <c r="O94" s="43">
        <f t="shared" si="11"/>
        <v>0</v>
      </c>
      <c r="P94" s="41">
        <v>112543483.09999999</v>
      </c>
      <c r="Q94" s="43">
        <f t="shared" si="4"/>
        <v>0</v>
      </c>
      <c r="R94" s="41">
        <v>112543483.09999999</v>
      </c>
      <c r="S94" s="30">
        <f t="shared" si="14"/>
        <v>112543483.09999999</v>
      </c>
      <c r="T94" s="30">
        <f t="shared" si="14"/>
        <v>112543483.09999999</v>
      </c>
      <c r="U94" s="30">
        <f>T94/X94</f>
        <v>200397.93999287748</v>
      </c>
      <c r="V94" s="41">
        <f>T94/X94</f>
        <v>200397.93999287748</v>
      </c>
      <c r="W94" s="41">
        <f>V94*AU94</f>
        <v>240477.52799145295</v>
      </c>
      <c r="X94" s="41">
        <v>561.6</v>
      </c>
      <c r="Y94" s="41">
        <v>561.6</v>
      </c>
      <c r="Z94" s="41">
        <v>0</v>
      </c>
      <c r="AA94" s="41">
        <v>0</v>
      </c>
      <c r="AB94" s="41">
        <v>0</v>
      </c>
      <c r="AC94" s="41">
        <f t="shared" si="8"/>
        <v>0</v>
      </c>
      <c r="AD94" s="41">
        <v>561.6</v>
      </c>
      <c r="AE94" s="41">
        <f t="shared" si="9"/>
        <v>112543483.09999999</v>
      </c>
      <c r="AF94" s="41">
        <f>X94/AU94</f>
        <v>468.00000000000006</v>
      </c>
      <c r="AG94" s="41">
        <f t="shared" si="15"/>
        <v>468</v>
      </c>
      <c r="AH94" s="36">
        <v>45323</v>
      </c>
      <c r="AI94" s="36"/>
      <c r="AJ94" s="36"/>
      <c r="AK94" s="36">
        <v>45352</v>
      </c>
      <c r="AL94" s="36"/>
      <c r="AM94" s="46"/>
      <c r="AN94" s="40" t="s">
        <v>740</v>
      </c>
      <c r="AO94" s="40" t="s">
        <v>741</v>
      </c>
      <c r="AP94" s="40" t="s">
        <v>742</v>
      </c>
      <c r="AQ94" s="40" t="s">
        <v>92</v>
      </c>
      <c r="AR94" s="48">
        <v>0</v>
      </c>
      <c r="AS94" s="37">
        <v>100</v>
      </c>
      <c r="AT94" s="37" t="s">
        <v>81</v>
      </c>
      <c r="AU94" s="52">
        <v>1.2</v>
      </c>
      <c r="AV94" s="37" t="s">
        <v>60</v>
      </c>
      <c r="AW94" s="37">
        <v>10</v>
      </c>
      <c r="AX94" s="30">
        <f>(J94*10)/100</f>
        <v>11254348.310000001</v>
      </c>
      <c r="AY94" s="40" t="s">
        <v>95</v>
      </c>
    </row>
    <row r="95" spans="1:51" ht="60.75" customHeight="1" x14ac:dyDescent="0.25">
      <c r="A95" s="44" t="s">
        <v>743</v>
      </c>
      <c r="B95" s="46">
        <v>45252</v>
      </c>
      <c r="C95" s="40">
        <v>545</v>
      </c>
      <c r="D95" s="35" t="s">
        <v>744</v>
      </c>
      <c r="E95" s="39" t="s">
        <v>745</v>
      </c>
      <c r="F95" s="36">
        <v>45272</v>
      </c>
      <c r="G95" s="37" t="s">
        <v>746</v>
      </c>
      <c r="H95" s="40" t="s">
        <v>269</v>
      </c>
      <c r="I95" s="40" t="s">
        <v>747</v>
      </c>
      <c r="J95" s="54">
        <v>236402362.34999999</v>
      </c>
      <c r="K95" s="54">
        <v>236402362.34999999</v>
      </c>
      <c r="L95" s="54">
        <v>0</v>
      </c>
      <c r="M95" s="54">
        <v>0</v>
      </c>
      <c r="N95" s="42">
        <f t="shared" si="2"/>
        <v>0</v>
      </c>
      <c r="O95" s="43">
        <f t="shared" si="11"/>
        <v>0</v>
      </c>
      <c r="P95" s="41">
        <v>236402362.34999999</v>
      </c>
      <c r="Q95" s="43">
        <f t="shared" si="4"/>
        <v>0</v>
      </c>
      <c r="R95" s="41">
        <v>236402362.34999999</v>
      </c>
      <c r="S95" s="30">
        <f t="shared" si="14"/>
        <v>236402362.34999999</v>
      </c>
      <c r="T95" s="30">
        <f t="shared" si="14"/>
        <v>236402362.34999999</v>
      </c>
      <c r="U95" s="30">
        <f>T95/X95</f>
        <v>204411.9</v>
      </c>
      <c r="V95" s="41">
        <f>T95/X95</f>
        <v>204411.9</v>
      </c>
      <c r="W95" s="41">
        <f>V95*AU95</f>
        <v>919853.54999999993</v>
      </c>
      <c r="X95" s="41">
        <v>1156.5</v>
      </c>
      <c r="Y95" s="41">
        <v>1156.5</v>
      </c>
      <c r="Z95" s="41">
        <v>0</v>
      </c>
      <c r="AA95" s="41">
        <v>0</v>
      </c>
      <c r="AB95" s="41"/>
      <c r="AC95" s="41">
        <f t="shared" si="8"/>
        <v>0</v>
      </c>
      <c r="AD95" s="41"/>
      <c r="AE95" s="41">
        <f t="shared" si="9"/>
        <v>0</v>
      </c>
      <c r="AF95" s="41">
        <f>X95/AU95</f>
        <v>257</v>
      </c>
      <c r="AG95" s="41">
        <f t="shared" si="15"/>
        <v>257</v>
      </c>
      <c r="AH95" s="36">
        <v>45322</v>
      </c>
      <c r="AI95" s="36"/>
      <c r="AJ95" s="36"/>
      <c r="AK95" s="36">
        <v>45352</v>
      </c>
      <c r="AL95" s="36"/>
      <c r="AM95" s="46"/>
      <c r="AN95" s="40" t="s">
        <v>748</v>
      </c>
      <c r="AO95" s="40" t="s">
        <v>749</v>
      </c>
      <c r="AP95" s="40" t="s">
        <v>750</v>
      </c>
      <c r="AQ95" s="40" t="s">
        <v>146</v>
      </c>
      <c r="AR95" s="48">
        <v>0</v>
      </c>
      <c r="AS95" s="37">
        <v>100</v>
      </c>
      <c r="AT95" s="37" t="s">
        <v>81</v>
      </c>
      <c r="AU95" s="52">
        <v>4.5</v>
      </c>
      <c r="AV95" s="37" t="s">
        <v>60</v>
      </c>
      <c r="AW95" s="37">
        <v>10</v>
      </c>
      <c r="AX95" s="30">
        <f>(J95*10)/100</f>
        <v>23640236.234999999</v>
      </c>
      <c r="AY95" s="40" t="s">
        <v>95</v>
      </c>
    </row>
    <row r="96" spans="1:51" ht="60.75" customHeight="1" x14ac:dyDescent="0.25">
      <c r="A96" s="44" t="s">
        <v>751</v>
      </c>
      <c r="B96" s="46">
        <v>45254</v>
      </c>
      <c r="C96" s="40">
        <v>1416</v>
      </c>
      <c r="D96" s="35" t="s">
        <v>752</v>
      </c>
      <c r="E96" s="39" t="s">
        <v>753</v>
      </c>
      <c r="F96" s="36">
        <v>45275</v>
      </c>
      <c r="G96" s="37" t="s">
        <v>754</v>
      </c>
      <c r="H96" s="40" t="s">
        <v>86</v>
      </c>
      <c r="I96" s="40" t="s">
        <v>755</v>
      </c>
      <c r="J96" s="54">
        <v>197227280</v>
      </c>
      <c r="K96" s="54">
        <v>197227280</v>
      </c>
      <c r="L96" s="54">
        <v>0</v>
      </c>
      <c r="M96" s="54">
        <v>0</v>
      </c>
      <c r="N96" s="42">
        <f t="shared" ref="N96:N159" si="16">((J96-P96)/J96)*100</f>
        <v>0</v>
      </c>
      <c r="O96" s="43">
        <f t="shared" si="11"/>
        <v>0</v>
      </c>
      <c r="P96" s="41">
        <v>197227280</v>
      </c>
      <c r="Q96" s="43">
        <f t="shared" ref="Q96:Q120" si="17">J96-R96</f>
        <v>0</v>
      </c>
      <c r="R96" s="41">
        <v>197227280</v>
      </c>
      <c r="S96" s="30">
        <f t="shared" si="14"/>
        <v>197227280</v>
      </c>
      <c r="T96" s="30">
        <f t="shared" si="14"/>
        <v>197227280</v>
      </c>
      <c r="U96" s="30">
        <f>T96/X96</f>
        <v>12.37</v>
      </c>
      <c r="V96" s="41">
        <f>T96/X96</f>
        <v>12.37</v>
      </c>
      <c r="W96" s="41">
        <f>V96*AU96</f>
        <v>24740</v>
      </c>
      <c r="X96" s="41">
        <v>15944000</v>
      </c>
      <c r="Y96" s="41">
        <v>15944000</v>
      </c>
      <c r="Z96" s="41">
        <v>0</v>
      </c>
      <c r="AA96" s="41">
        <v>0</v>
      </c>
      <c r="AB96" s="41">
        <v>0</v>
      </c>
      <c r="AC96" s="41">
        <f t="shared" si="8"/>
        <v>0</v>
      </c>
      <c r="AD96" s="41">
        <v>15944000</v>
      </c>
      <c r="AE96" s="41">
        <f t="shared" si="9"/>
        <v>197227280</v>
      </c>
      <c r="AF96" s="41">
        <f>X96/AU96</f>
        <v>7972</v>
      </c>
      <c r="AG96" s="41">
        <f t="shared" si="15"/>
        <v>7972</v>
      </c>
      <c r="AH96" s="36">
        <v>45323</v>
      </c>
      <c r="AI96" s="36"/>
      <c r="AJ96" s="36"/>
      <c r="AK96" s="36">
        <v>44986</v>
      </c>
      <c r="AL96" s="36"/>
      <c r="AM96" s="46"/>
      <c r="AN96" s="40" t="s">
        <v>756</v>
      </c>
      <c r="AO96" s="40" t="s">
        <v>757</v>
      </c>
      <c r="AP96" s="40" t="s">
        <v>758</v>
      </c>
      <c r="AQ96" s="40" t="s">
        <v>759</v>
      </c>
      <c r="AR96" s="48">
        <v>0</v>
      </c>
      <c r="AS96" s="37">
        <v>100</v>
      </c>
      <c r="AT96" s="37" t="s">
        <v>93</v>
      </c>
      <c r="AU96" s="47">
        <v>2000</v>
      </c>
      <c r="AV96" s="37" t="s">
        <v>60</v>
      </c>
      <c r="AW96" s="37">
        <v>10</v>
      </c>
      <c r="AX96" s="30">
        <f>(J96*10)/100</f>
        <v>19722728</v>
      </c>
      <c r="AY96" s="40" t="s">
        <v>402</v>
      </c>
    </row>
    <row r="97" spans="1:51" ht="60.75" customHeight="1" x14ac:dyDescent="0.25">
      <c r="A97" s="44" t="s">
        <v>760</v>
      </c>
      <c r="B97" s="46">
        <v>45254</v>
      </c>
      <c r="C97" s="40">
        <v>1416</v>
      </c>
      <c r="D97" s="35" t="s">
        <v>761</v>
      </c>
      <c r="E97" s="39" t="s">
        <v>762</v>
      </c>
      <c r="F97" s="36">
        <v>45282</v>
      </c>
      <c r="G97" s="37" t="s">
        <v>763</v>
      </c>
      <c r="H97" s="40" t="s">
        <v>730</v>
      </c>
      <c r="I97" s="40" t="s">
        <v>764</v>
      </c>
      <c r="J97" s="54">
        <v>968144403.38</v>
      </c>
      <c r="K97" s="54">
        <v>968144403.38</v>
      </c>
      <c r="L97" s="54">
        <v>0</v>
      </c>
      <c r="M97" s="54">
        <v>0</v>
      </c>
      <c r="N97" s="42">
        <f t="shared" si="16"/>
        <v>0</v>
      </c>
      <c r="O97" s="43">
        <f t="shared" si="11"/>
        <v>0</v>
      </c>
      <c r="P97" s="41">
        <v>968144403.38</v>
      </c>
      <c r="Q97" s="43">
        <f t="shared" si="17"/>
        <v>0</v>
      </c>
      <c r="R97" s="41">
        <v>968144403.38</v>
      </c>
      <c r="S97" s="30">
        <f t="shared" si="14"/>
        <v>968144403.38</v>
      </c>
      <c r="T97" s="30">
        <f t="shared" si="14"/>
        <v>968144403.38</v>
      </c>
      <c r="U97" s="30">
        <f>T97/X97</f>
        <v>263842.7</v>
      </c>
      <c r="V97" s="41">
        <f>T97/X97</f>
        <v>263842.7</v>
      </c>
      <c r="W97" s="41">
        <f>V97*AU97</f>
        <v>184689.88999999998</v>
      </c>
      <c r="X97" s="41">
        <v>3669.4</v>
      </c>
      <c r="Y97" s="41">
        <v>606.9</v>
      </c>
      <c r="Z97" s="41">
        <v>3062.5</v>
      </c>
      <c r="AA97" s="41">
        <v>0</v>
      </c>
      <c r="AB97" s="41">
        <v>0</v>
      </c>
      <c r="AC97" s="41">
        <f t="shared" si="8"/>
        <v>0</v>
      </c>
      <c r="AD97" s="41">
        <f>606.9+3062.5</f>
        <v>3669.4</v>
      </c>
      <c r="AE97" s="41">
        <f t="shared" si="9"/>
        <v>968144403.38000011</v>
      </c>
      <c r="AF97" s="41">
        <f>X97/AU97</f>
        <v>5242.0000000000009</v>
      </c>
      <c r="AG97" s="41">
        <f t="shared" si="15"/>
        <v>5242</v>
      </c>
      <c r="AH97" s="36">
        <v>45306</v>
      </c>
      <c r="AI97" s="36">
        <v>45413</v>
      </c>
      <c r="AJ97" s="36"/>
      <c r="AK97" s="36">
        <v>45337</v>
      </c>
      <c r="AL97" s="36">
        <v>45444</v>
      </c>
      <c r="AM97" s="46"/>
      <c r="AN97" s="40" t="s">
        <v>732</v>
      </c>
      <c r="AO97" s="40" t="s">
        <v>765</v>
      </c>
      <c r="AP97" s="40" t="s">
        <v>734</v>
      </c>
      <c r="AQ97" s="40" t="s">
        <v>264</v>
      </c>
      <c r="AR97" s="48">
        <v>0</v>
      </c>
      <c r="AS97" s="37">
        <v>100</v>
      </c>
      <c r="AT97" s="37" t="s">
        <v>81</v>
      </c>
      <c r="AU97" s="52">
        <v>0.7</v>
      </c>
      <c r="AV97" s="37" t="s">
        <v>60</v>
      </c>
      <c r="AW97" s="37">
        <v>10</v>
      </c>
      <c r="AX97" s="30">
        <f>(J97*10)/100</f>
        <v>96814440.338</v>
      </c>
      <c r="AY97" s="40" t="s">
        <v>325</v>
      </c>
    </row>
    <row r="98" spans="1:51" ht="60.75" customHeight="1" x14ac:dyDescent="0.25">
      <c r="A98" s="44" t="s">
        <v>766</v>
      </c>
      <c r="B98" s="46">
        <v>45254</v>
      </c>
      <c r="C98" s="40">
        <v>1416</v>
      </c>
      <c r="D98" s="35" t="s">
        <v>767</v>
      </c>
      <c r="E98" s="39" t="s">
        <v>768</v>
      </c>
      <c r="F98" s="36">
        <v>45275</v>
      </c>
      <c r="G98" s="37" t="s">
        <v>769</v>
      </c>
      <c r="H98" s="40" t="s">
        <v>86</v>
      </c>
      <c r="I98" s="40" t="s">
        <v>770</v>
      </c>
      <c r="J98" s="54">
        <v>58205312</v>
      </c>
      <c r="K98" s="54">
        <v>58205312</v>
      </c>
      <c r="L98" s="54">
        <v>0</v>
      </c>
      <c r="M98" s="54">
        <v>0</v>
      </c>
      <c r="N98" s="42">
        <f t="shared" si="16"/>
        <v>0</v>
      </c>
      <c r="O98" s="43">
        <f t="shared" si="11"/>
        <v>0</v>
      </c>
      <c r="P98" s="41">
        <v>58205312</v>
      </c>
      <c r="Q98" s="43">
        <f t="shared" si="17"/>
        <v>0</v>
      </c>
      <c r="R98" s="41">
        <v>58205312</v>
      </c>
      <c r="S98" s="30">
        <f t="shared" si="14"/>
        <v>58205312</v>
      </c>
      <c r="T98" s="30">
        <f t="shared" si="14"/>
        <v>58205312</v>
      </c>
      <c r="U98" s="30">
        <f>T98/X98</f>
        <v>29.48</v>
      </c>
      <c r="V98" s="41">
        <f>T98/X98</f>
        <v>29.48</v>
      </c>
      <c r="W98" s="41">
        <f>V98*AU98</f>
        <v>11792</v>
      </c>
      <c r="X98" s="41">
        <v>1974400</v>
      </c>
      <c r="Y98" s="41">
        <v>1974400</v>
      </c>
      <c r="Z98" s="41">
        <v>0</v>
      </c>
      <c r="AA98" s="41">
        <v>0</v>
      </c>
      <c r="AB98" s="41">
        <v>0</v>
      </c>
      <c r="AC98" s="41">
        <f t="shared" si="8"/>
        <v>0</v>
      </c>
      <c r="AD98" s="41">
        <v>1974400</v>
      </c>
      <c r="AE98" s="41">
        <f t="shared" si="9"/>
        <v>58205312</v>
      </c>
      <c r="AF98" s="41">
        <f>X98/AU98</f>
        <v>4936</v>
      </c>
      <c r="AG98" s="41">
        <f t="shared" si="15"/>
        <v>4936</v>
      </c>
      <c r="AH98" s="36">
        <v>45323</v>
      </c>
      <c r="AI98" s="36"/>
      <c r="AJ98" s="36"/>
      <c r="AK98" s="36">
        <v>45352</v>
      </c>
      <c r="AL98" s="36"/>
      <c r="AM98" s="46"/>
      <c r="AN98" s="40" t="s">
        <v>771</v>
      </c>
      <c r="AO98" s="40" t="s">
        <v>772</v>
      </c>
      <c r="AP98" s="40" t="s">
        <v>773</v>
      </c>
      <c r="AQ98" s="40" t="s">
        <v>774</v>
      </c>
      <c r="AR98" s="48">
        <v>0</v>
      </c>
      <c r="AS98" s="37">
        <v>100</v>
      </c>
      <c r="AT98" s="37" t="s">
        <v>93</v>
      </c>
      <c r="AU98" s="47">
        <v>400</v>
      </c>
      <c r="AV98" s="37" t="s">
        <v>60</v>
      </c>
      <c r="AW98" s="37">
        <v>10</v>
      </c>
      <c r="AX98" s="30">
        <f>(J98*10)/100</f>
        <v>5820531.2000000002</v>
      </c>
      <c r="AY98" s="40" t="s">
        <v>95</v>
      </c>
    </row>
    <row r="99" spans="1:51" ht="60.75" customHeight="1" x14ac:dyDescent="0.25">
      <c r="A99" s="44" t="s">
        <v>775</v>
      </c>
      <c r="B99" s="46">
        <v>45254</v>
      </c>
      <c r="C99" s="40">
        <v>1416</v>
      </c>
      <c r="D99" s="35" t="s">
        <v>776</v>
      </c>
      <c r="E99" s="39" t="s">
        <v>777</v>
      </c>
      <c r="F99" s="36">
        <v>45275</v>
      </c>
      <c r="G99" s="37" t="s">
        <v>778</v>
      </c>
      <c r="H99" s="40" t="s">
        <v>86</v>
      </c>
      <c r="I99" s="40" t="s">
        <v>779</v>
      </c>
      <c r="J99" s="54">
        <v>46219245</v>
      </c>
      <c r="K99" s="54">
        <v>46219245</v>
      </c>
      <c r="L99" s="54">
        <v>0</v>
      </c>
      <c r="M99" s="54">
        <v>0</v>
      </c>
      <c r="N99" s="42">
        <f t="shared" si="16"/>
        <v>0</v>
      </c>
      <c r="O99" s="43">
        <f t="shared" si="11"/>
        <v>0</v>
      </c>
      <c r="P99" s="41">
        <v>46219245</v>
      </c>
      <c r="Q99" s="43">
        <f t="shared" si="17"/>
        <v>0</v>
      </c>
      <c r="R99" s="41">
        <v>46219245</v>
      </c>
      <c r="S99" s="30">
        <f t="shared" si="14"/>
        <v>46219245</v>
      </c>
      <c r="T99" s="30">
        <f t="shared" si="14"/>
        <v>46219245</v>
      </c>
      <c r="U99" s="30">
        <f>T99/X99</f>
        <v>12.49</v>
      </c>
      <c r="V99" s="41">
        <f>T99/X99</f>
        <v>12.49</v>
      </c>
      <c r="W99" s="41">
        <f>V99*AU99</f>
        <v>6245</v>
      </c>
      <c r="X99" s="41">
        <v>3700500</v>
      </c>
      <c r="Y99" s="41">
        <v>3700500</v>
      </c>
      <c r="Z99" s="41">
        <v>0</v>
      </c>
      <c r="AA99" s="41">
        <v>0</v>
      </c>
      <c r="AB99" s="41">
        <v>0</v>
      </c>
      <c r="AC99" s="41">
        <f t="shared" si="8"/>
        <v>0</v>
      </c>
      <c r="AD99" s="41">
        <v>3700500</v>
      </c>
      <c r="AE99" s="41">
        <f t="shared" si="9"/>
        <v>46219245</v>
      </c>
      <c r="AF99" s="41">
        <f>X99/AU99</f>
        <v>7401</v>
      </c>
      <c r="AG99" s="41">
        <f t="shared" si="15"/>
        <v>7401</v>
      </c>
      <c r="AH99" s="36">
        <v>45301</v>
      </c>
      <c r="AI99" s="36"/>
      <c r="AJ99" s="36"/>
      <c r="AK99" s="36">
        <v>45332</v>
      </c>
      <c r="AL99" s="36"/>
      <c r="AM99" s="46"/>
      <c r="AN99" s="40" t="s">
        <v>780</v>
      </c>
      <c r="AO99" s="40" t="s">
        <v>781</v>
      </c>
      <c r="AP99" s="40" t="s">
        <v>782</v>
      </c>
      <c r="AQ99" s="40" t="s">
        <v>759</v>
      </c>
      <c r="AR99" s="48">
        <v>0</v>
      </c>
      <c r="AS99" s="37">
        <v>100</v>
      </c>
      <c r="AT99" s="37" t="s">
        <v>93</v>
      </c>
      <c r="AU99" s="47">
        <v>500</v>
      </c>
      <c r="AV99" s="37" t="s">
        <v>60</v>
      </c>
      <c r="AW99" s="37">
        <v>10</v>
      </c>
      <c r="AX99" s="30">
        <f>(J99*10)/100</f>
        <v>4621924.5</v>
      </c>
      <c r="AY99" s="40" t="s">
        <v>95</v>
      </c>
    </row>
    <row r="100" spans="1:51" ht="60.75" customHeight="1" x14ac:dyDescent="0.25">
      <c r="A100" s="44" t="s">
        <v>783</v>
      </c>
      <c r="B100" s="46">
        <v>45254</v>
      </c>
      <c r="C100" s="40">
        <v>1416</v>
      </c>
      <c r="D100" s="35" t="s">
        <v>784</v>
      </c>
      <c r="E100" s="39" t="s">
        <v>785</v>
      </c>
      <c r="F100" s="36">
        <v>45282</v>
      </c>
      <c r="G100" s="37" t="s">
        <v>786</v>
      </c>
      <c r="H100" s="40" t="s">
        <v>86</v>
      </c>
      <c r="I100" s="40" t="s">
        <v>787</v>
      </c>
      <c r="J100" s="54">
        <v>332011680</v>
      </c>
      <c r="K100" s="54">
        <v>332011680</v>
      </c>
      <c r="L100" s="54">
        <v>0</v>
      </c>
      <c r="M100" s="54">
        <v>0</v>
      </c>
      <c r="N100" s="42">
        <f t="shared" si="16"/>
        <v>0</v>
      </c>
      <c r="O100" s="43">
        <f t="shared" si="11"/>
        <v>0</v>
      </c>
      <c r="P100" s="41">
        <v>332011680</v>
      </c>
      <c r="Q100" s="43">
        <f t="shared" si="17"/>
        <v>0</v>
      </c>
      <c r="R100" s="41">
        <v>332011680</v>
      </c>
      <c r="S100" s="30">
        <f t="shared" si="14"/>
        <v>332011680</v>
      </c>
      <c r="T100" s="30">
        <f t="shared" si="14"/>
        <v>332011680</v>
      </c>
      <c r="U100" s="30">
        <f>T100/X100</f>
        <v>12.32</v>
      </c>
      <c r="V100" s="41">
        <f>T100/X100</f>
        <v>12.32</v>
      </c>
      <c r="W100" s="41">
        <f>V100*AU100</f>
        <v>12320</v>
      </c>
      <c r="X100" s="41">
        <v>26949000</v>
      </c>
      <c r="Y100" s="41">
        <v>26949000</v>
      </c>
      <c r="Z100" s="41">
        <v>0</v>
      </c>
      <c r="AA100" s="41">
        <v>0</v>
      </c>
      <c r="AB100" s="41">
        <v>0</v>
      </c>
      <c r="AC100" s="41">
        <f t="shared" si="8"/>
        <v>0</v>
      </c>
      <c r="AD100" s="41">
        <v>26949000</v>
      </c>
      <c r="AE100" s="41">
        <f t="shared" si="9"/>
        <v>332011680</v>
      </c>
      <c r="AF100" s="41">
        <f>X100/AU100</f>
        <v>26949</v>
      </c>
      <c r="AG100" s="41">
        <f t="shared" si="15"/>
        <v>26949</v>
      </c>
      <c r="AH100" s="36">
        <v>45301</v>
      </c>
      <c r="AI100" s="36"/>
      <c r="AJ100" s="36"/>
      <c r="AK100" s="36">
        <v>45332</v>
      </c>
      <c r="AL100" s="36"/>
      <c r="AM100" s="46"/>
      <c r="AN100" s="40" t="s">
        <v>780</v>
      </c>
      <c r="AO100" s="40" t="s">
        <v>788</v>
      </c>
      <c r="AP100" s="40" t="s">
        <v>782</v>
      </c>
      <c r="AQ100" s="40" t="s">
        <v>759</v>
      </c>
      <c r="AR100" s="48">
        <v>0</v>
      </c>
      <c r="AS100" s="37">
        <v>100</v>
      </c>
      <c r="AT100" s="37" t="s">
        <v>93</v>
      </c>
      <c r="AU100" s="47">
        <v>1000</v>
      </c>
      <c r="AV100" s="37" t="s">
        <v>60</v>
      </c>
      <c r="AW100" s="37">
        <v>10</v>
      </c>
      <c r="AX100" s="30">
        <f>(J100*10)/100</f>
        <v>33201168</v>
      </c>
      <c r="AY100" s="40" t="s">
        <v>95</v>
      </c>
    </row>
    <row r="101" spans="1:51" ht="60.75" customHeight="1" x14ac:dyDescent="0.25">
      <c r="A101" s="44" t="s">
        <v>789</v>
      </c>
      <c r="B101" s="46">
        <v>45254</v>
      </c>
      <c r="C101" s="40">
        <v>545</v>
      </c>
      <c r="D101" s="35" t="s">
        <v>790</v>
      </c>
      <c r="E101" s="39" t="s">
        <v>791</v>
      </c>
      <c r="F101" s="36">
        <v>45275</v>
      </c>
      <c r="G101" s="37" t="s">
        <v>792</v>
      </c>
      <c r="H101" s="40" t="s">
        <v>269</v>
      </c>
      <c r="I101" s="40" t="s">
        <v>793</v>
      </c>
      <c r="J101" s="54">
        <v>15491197.199999999</v>
      </c>
      <c r="K101" s="54">
        <v>15491197.199999999</v>
      </c>
      <c r="L101" s="54">
        <v>0</v>
      </c>
      <c r="M101" s="54">
        <v>0</v>
      </c>
      <c r="N101" s="42">
        <f t="shared" si="16"/>
        <v>0</v>
      </c>
      <c r="O101" s="43">
        <f t="shared" si="11"/>
        <v>0</v>
      </c>
      <c r="P101" s="41">
        <v>15491197.199999999</v>
      </c>
      <c r="Q101" s="43">
        <f t="shared" si="17"/>
        <v>0</v>
      </c>
      <c r="R101" s="41">
        <v>15491197.199999999</v>
      </c>
      <c r="S101" s="30">
        <v>19634191.800000001</v>
      </c>
      <c r="T101" s="30">
        <f t="shared" si="14"/>
        <v>19634191.800000001</v>
      </c>
      <c r="U101" s="30">
        <f>T101/X101</f>
        <v>3002.17</v>
      </c>
      <c r="V101" s="41">
        <f>T101/X101</f>
        <v>3002.17</v>
      </c>
      <c r="W101" s="41">
        <f>V101*AU101</f>
        <v>180130.2</v>
      </c>
      <c r="X101" s="41">
        <v>6540</v>
      </c>
      <c r="Y101" s="41">
        <v>6540</v>
      </c>
      <c r="Z101" s="41">
        <v>0</v>
      </c>
      <c r="AA101" s="41">
        <v>0</v>
      </c>
      <c r="AB101" s="41"/>
      <c r="AC101" s="41">
        <f t="shared" si="8"/>
        <v>0</v>
      </c>
      <c r="AD101" s="41"/>
      <c r="AE101" s="41">
        <f t="shared" si="9"/>
        <v>0</v>
      </c>
      <c r="AF101" s="41">
        <f>X101/AU101</f>
        <v>109</v>
      </c>
      <c r="AG101" s="41">
        <f t="shared" si="15"/>
        <v>109</v>
      </c>
      <c r="AH101" s="36">
        <v>45301</v>
      </c>
      <c r="AI101" s="36"/>
      <c r="AJ101" s="36"/>
      <c r="AK101" s="36">
        <v>45332</v>
      </c>
      <c r="AL101" s="36"/>
      <c r="AM101" s="46"/>
      <c r="AN101" s="40" t="s">
        <v>427</v>
      </c>
      <c r="AO101" s="40" t="s">
        <v>448</v>
      </c>
      <c r="AP101" s="40" t="s">
        <v>429</v>
      </c>
      <c r="AQ101" s="40" t="s">
        <v>92</v>
      </c>
      <c r="AR101" s="48">
        <v>0</v>
      </c>
      <c r="AS101" s="37">
        <v>100</v>
      </c>
      <c r="AT101" s="37" t="s">
        <v>386</v>
      </c>
      <c r="AU101" s="47">
        <v>60</v>
      </c>
      <c r="AV101" s="37" t="s">
        <v>60</v>
      </c>
      <c r="AW101" s="37">
        <v>10</v>
      </c>
      <c r="AX101" s="30">
        <f>(J101*10)/100</f>
        <v>1549119.72</v>
      </c>
      <c r="AY101" s="40" t="s">
        <v>95</v>
      </c>
    </row>
    <row r="102" spans="1:51" ht="32.450000000000003" customHeight="1" x14ac:dyDescent="0.25">
      <c r="A102" s="44" t="s">
        <v>794</v>
      </c>
      <c r="B102" s="46">
        <v>45258</v>
      </c>
      <c r="C102" s="40">
        <v>545</v>
      </c>
      <c r="D102" s="35" t="s">
        <v>795</v>
      </c>
      <c r="E102" s="39" t="s">
        <v>796</v>
      </c>
      <c r="F102" s="36">
        <v>45278</v>
      </c>
      <c r="G102" s="37" t="s">
        <v>797</v>
      </c>
      <c r="H102" s="40" t="s">
        <v>269</v>
      </c>
      <c r="I102" s="40" t="s">
        <v>426</v>
      </c>
      <c r="J102" s="54">
        <v>9798465.5999999996</v>
      </c>
      <c r="K102" s="54">
        <v>9798465.5999999996</v>
      </c>
      <c r="L102" s="54">
        <v>0</v>
      </c>
      <c r="M102" s="54">
        <v>0</v>
      </c>
      <c r="N102" s="42">
        <f t="shared" si="16"/>
        <v>0</v>
      </c>
      <c r="O102" s="43">
        <f t="shared" si="11"/>
        <v>0</v>
      </c>
      <c r="P102" s="41">
        <v>9798465.5999999996</v>
      </c>
      <c r="Q102" s="43">
        <f t="shared" si="17"/>
        <v>0</v>
      </c>
      <c r="R102" s="41">
        <v>9798465.5999999996</v>
      </c>
      <c r="S102" s="30">
        <f t="shared" ref="S102:S108" si="18">R102</f>
        <v>9798465.5999999996</v>
      </c>
      <c r="T102" s="30">
        <f t="shared" si="14"/>
        <v>9798465.5999999996</v>
      </c>
      <c r="U102" s="30">
        <f>T102/X102</f>
        <v>2916.21</v>
      </c>
      <c r="V102" s="41">
        <f>T102/X102</f>
        <v>2916.21</v>
      </c>
      <c r="W102" s="41">
        <f>V102*AU102</f>
        <v>174972.6</v>
      </c>
      <c r="X102" s="41">
        <v>3360</v>
      </c>
      <c r="Y102" s="41">
        <v>3360</v>
      </c>
      <c r="Z102" s="41">
        <v>0</v>
      </c>
      <c r="AA102" s="41">
        <v>0</v>
      </c>
      <c r="AB102" s="41"/>
      <c r="AC102" s="41">
        <f t="shared" si="8"/>
        <v>0</v>
      </c>
      <c r="AD102" s="41"/>
      <c r="AE102" s="41">
        <f t="shared" si="9"/>
        <v>0</v>
      </c>
      <c r="AF102" s="41">
        <f>X102/AU102</f>
        <v>56</v>
      </c>
      <c r="AG102" s="41">
        <f t="shared" si="15"/>
        <v>56</v>
      </c>
      <c r="AH102" s="36">
        <v>45306</v>
      </c>
      <c r="AI102" s="36"/>
      <c r="AJ102" s="36"/>
      <c r="AK102" s="36">
        <v>45332</v>
      </c>
      <c r="AL102" s="36"/>
      <c r="AM102" s="46"/>
      <c r="AN102" s="40" t="s">
        <v>427</v>
      </c>
      <c r="AO102" s="40" t="s">
        <v>428</v>
      </c>
      <c r="AP102" s="40" t="s">
        <v>429</v>
      </c>
      <c r="AQ102" s="40" t="s">
        <v>92</v>
      </c>
      <c r="AR102" s="48">
        <v>0</v>
      </c>
      <c r="AS102" s="37">
        <v>100</v>
      </c>
      <c r="AT102" s="37" t="s">
        <v>386</v>
      </c>
      <c r="AU102" s="47">
        <v>60</v>
      </c>
      <c r="AV102" s="37" t="s">
        <v>60</v>
      </c>
      <c r="AW102" s="37">
        <v>10</v>
      </c>
      <c r="AX102" s="30">
        <f>(J102*10)/100</f>
        <v>979846.56</v>
      </c>
      <c r="AY102" s="40" t="s">
        <v>95</v>
      </c>
    </row>
    <row r="103" spans="1:51" ht="42.6" customHeight="1" x14ac:dyDescent="0.25">
      <c r="A103" s="44" t="s">
        <v>798</v>
      </c>
      <c r="B103" s="46">
        <v>45259</v>
      </c>
      <c r="C103" s="40">
        <v>1416</v>
      </c>
      <c r="D103" s="35" t="s">
        <v>799</v>
      </c>
      <c r="E103" s="39" t="s">
        <v>800</v>
      </c>
      <c r="F103" s="36">
        <v>45279</v>
      </c>
      <c r="G103" s="37" t="s">
        <v>801</v>
      </c>
      <c r="H103" s="40" t="s">
        <v>86</v>
      </c>
      <c r="I103" s="40" t="s">
        <v>802</v>
      </c>
      <c r="J103" s="54">
        <v>225303312</v>
      </c>
      <c r="K103" s="54">
        <v>225303312</v>
      </c>
      <c r="L103" s="54">
        <v>0</v>
      </c>
      <c r="M103" s="54">
        <v>0</v>
      </c>
      <c r="N103" s="42">
        <f t="shared" si="16"/>
        <v>0</v>
      </c>
      <c r="O103" s="43">
        <f t="shared" si="11"/>
        <v>0</v>
      </c>
      <c r="P103" s="41">
        <v>225303312</v>
      </c>
      <c r="Q103" s="43">
        <f t="shared" si="17"/>
        <v>0</v>
      </c>
      <c r="R103" s="41">
        <v>225303312</v>
      </c>
      <c r="S103" s="30">
        <f t="shared" si="18"/>
        <v>225303312</v>
      </c>
      <c r="T103" s="30">
        <f t="shared" si="14"/>
        <v>225303312</v>
      </c>
      <c r="U103" s="30">
        <f>T103/X103</f>
        <v>12.68</v>
      </c>
      <c r="V103" s="41">
        <f>T103/X103</f>
        <v>12.68</v>
      </c>
      <c r="W103" s="41">
        <f>V103*AU103</f>
        <v>15216</v>
      </c>
      <c r="X103" s="41">
        <v>17768400</v>
      </c>
      <c r="Y103" s="41">
        <v>9120000</v>
      </c>
      <c r="Z103" s="41">
        <v>8648400</v>
      </c>
      <c r="AA103" s="41">
        <v>0</v>
      </c>
      <c r="AB103" s="41">
        <v>0</v>
      </c>
      <c r="AC103" s="41">
        <f t="shared" si="8"/>
        <v>0</v>
      </c>
      <c r="AD103" s="41">
        <f>9120000+8648400</f>
        <v>17768400</v>
      </c>
      <c r="AE103" s="41">
        <f t="shared" si="9"/>
        <v>225303312</v>
      </c>
      <c r="AF103" s="41">
        <f>X103/AU103</f>
        <v>14807</v>
      </c>
      <c r="AG103" s="41">
        <f t="shared" si="15"/>
        <v>14807</v>
      </c>
      <c r="AH103" s="36">
        <v>45352</v>
      </c>
      <c r="AI103" s="36">
        <v>45443</v>
      </c>
      <c r="AJ103" s="36"/>
      <c r="AK103" s="36">
        <v>45383</v>
      </c>
      <c r="AL103" s="36">
        <v>45474</v>
      </c>
      <c r="AM103" s="46"/>
      <c r="AN103" s="40" t="s">
        <v>677</v>
      </c>
      <c r="AO103" s="40" t="s">
        <v>678</v>
      </c>
      <c r="AP103" s="40" t="s">
        <v>679</v>
      </c>
      <c r="AQ103" s="40" t="s">
        <v>92</v>
      </c>
      <c r="AR103" s="48">
        <v>0</v>
      </c>
      <c r="AS103" s="37">
        <v>100</v>
      </c>
      <c r="AT103" s="37" t="s">
        <v>93</v>
      </c>
      <c r="AU103" s="47">
        <v>1200</v>
      </c>
      <c r="AV103" s="37" t="s">
        <v>60</v>
      </c>
      <c r="AW103" s="37">
        <v>10</v>
      </c>
      <c r="AX103" s="30">
        <f>(J103*10)/100</f>
        <v>22530331.199999999</v>
      </c>
      <c r="AY103" s="40" t="s">
        <v>325</v>
      </c>
    </row>
    <row r="104" spans="1:51" ht="41.45" customHeight="1" x14ac:dyDescent="0.25">
      <c r="A104" s="44" t="s">
        <v>803</v>
      </c>
      <c r="B104" s="46">
        <v>45259</v>
      </c>
      <c r="C104" s="40">
        <v>1416</v>
      </c>
      <c r="D104" s="35" t="s">
        <v>431</v>
      </c>
      <c r="E104" s="39" t="s">
        <v>804</v>
      </c>
      <c r="F104" s="36" t="s">
        <v>431</v>
      </c>
      <c r="G104" s="37" t="s">
        <v>431</v>
      </c>
      <c r="H104" s="40" t="s">
        <v>431</v>
      </c>
      <c r="I104" s="40" t="s">
        <v>805</v>
      </c>
      <c r="J104" s="54">
        <v>11989016.76</v>
      </c>
      <c r="K104" s="54">
        <v>11989016.76</v>
      </c>
      <c r="L104" s="54"/>
      <c r="M104" s="54"/>
      <c r="N104" s="42">
        <f t="shared" si="16"/>
        <v>100</v>
      </c>
      <c r="O104" s="43">
        <f t="shared" si="11"/>
        <v>11989016.76</v>
      </c>
      <c r="P104" s="41"/>
      <c r="Q104" s="43">
        <f t="shared" si="17"/>
        <v>11989016.76</v>
      </c>
      <c r="R104" s="41">
        <v>0</v>
      </c>
      <c r="S104" s="30">
        <f t="shared" si="18"/>
        <v>0</v>
      </c>
      <c r="T104" s="30">
        <f t="shared" si="14"/>
        <v>0</v>
      </c>
      <c r="U104" s="30" t="e">
        <f>T104/X104</f>
        <v>#DIV/0!</v>
      </c>
      <c r="V104" s="41" t="e">
        <f>T104/X104</f>
        <v>#DIV/0!</v>
      </c>
      <c r="W104" s="41" t="e">
        <f>V104*AU104</f>
        <v>#DIV/0!</v>
      </c>
      <c r="X104" s="41">
        <v>0</v>
      </c>
      <c r="Y104" s="41">
        <v>0</v>
      </c>
      <c r="Z104" s="41">
        <v>0</v>
      </c>
      <c r="AA104" s="41">
        <v>0</v>
      </c>
      <c r="AB104" s="41"/>
      <c r="AC104" s="41" t="e">
        <f t="shared" si="8"/>
        <v>#DIV/0!</v>
      </c>
      <c r="AD104" s="41"/>
      <c r="AE104" s="41" t="e">
        <f t="shared" si="9"/>
        <v>#DIV/0!</v>
      </c>
      <c r="AF104" s="41" t="e">
        <f>X104/AU104</f>
        <v>#DIV/0!</v>
      </c>
      <c r="AG104" s="41" t="e">
        <f t="shared" si="15"/>
        <v>#DIV/0!</v>
      </c>
      <c r="AH104" s="36">
        <v>45413</v>
      </c>
      <c r="AI104" s="36"/>
      <c r="AJ104" s="36"/>
      <c r="AK104" s="36"/>
      <c r="AL104" s="36"/>
      <c r="AM104" s="46"/>
      <c r="AN104" s="40"/>
      <c r="AO104" s="40"/>
      <c r="AP104" s="40"/>
      <c r="AQ104" s="40"/>
      <c r="AR104" s="48"/>
      <c r="AS104" s="37"/>
      <c r="AT104" s="37"/>
      <c r="AU104" s="47"/>
      <c r="AV104" s="37"/>
      <c r="AW104" s="37">
        <v>10</v>
      </c>
      <c r="AX104" s="30">
        <f>(J104*10)/100</f>
        <v>1198901.676</v>
      </c>
      <c r="AY104" s="40" t="s">
        <v>431</v>
      </c>
    </row>
    <row r="105" spans="1:51" ht="42" customHeight="1" x14ac:dyDescent="0.25">
      <c r="A105" s="44" t="s">
        <v>806</v>
      </c>
      <c r="B105" s="46">
        <v>45259</v>
      </c>
      <c r="C105" s="40" t="s">
        <v>432</v>
      </c>
      <c r="D105" s="35" t="s">
        <v>807</v>
      </c>
      <c r="E105" s="39" t="s">
        <v>808</v>
      </c>
      <c r="F105" s="36">
        <v>45282</v>
      </c>
      <c r="G105" s="37" t="s">
        <v>809</v>
      </c>
      <c r="H105" s="40" t="s">
        <v>810</v>
      </c>
      <c r="I105" s="40" t="s">
        <v>811</v>
      </c>
      <c r="J105" s="54">
        <v>270804811.19999999</v>
      </c>
      <c r="K105" s="54">
        <v>270804811.19999999</v>
      </c>
      <c r="L105" s="54">
        <v>0</v>
      </c>
      <c r="M105" s="54">
        <v>0</v>
      </c>
      <c r="N105" s="42">
        <f t="shared" si="16"/>
        <v>0</v>
      </c>
      <c r="O105" s="43">
        <f t="shared" si="11"/>
        <v>0</v>
      </c>
      <c r="P105" s="41">
        <v>270804811.19999999</v>
      </c>
      <c r="Q105" s="43">
        <f t="shared" si="17"/>
        <v>0</v>
      </c>
      <c r="R105" s="41">
        <v>270804811.19999999</v>
      </c>
      <c r="S105" s="30">
        <f t="shared" si="18"/>
        <v>270804811.19999999</v>
      </c>
      <c r="T105" s="30">
        <f t="shared" si="14"/>
        <v>270804811.19999999</v>
      </c>
      <c r="U105" s="30">
        <f>T105/X105</f>
        <v>204.82</v>
      </c>
      <c r="V105" s="41">
        <f>T105/X105</f>
        <v>204.82</v>
      </c>
      <c r="W105" s="41">
        <f>V105*AU105</f>
        <v>6144.5999999999995</v>
      </c>
      <c r="X105" s="41">
        <v>1322160</v>
      </c>
      <c r="Y105" s="41">
        <v>1322160</v>
      </c>
      <c r="Z105" s="41">
        <v>0</v>
      </c>
      <c r="AA105" s="41">
        <v>0</v>
      </c>
      <c r="AB105" s="41"/>
      <c r="AC105" s="41">
        <f t="shared" si="8"/>
        <v>0</v>
      </c>
      <c r="AD105" s="41"/>
      <c r="AE105" s="41">
        <f t="shared" si="9"/>
        <v>0</v>
      </c>
      <c r="AF105" s="41">
        <f>X105/AU105</f>
        <v>44072</v>
      </c>
      <c r="AG105" s="41">
        <f t="shared" si="15"/>
        <v>44072</v>
      </c>
      <c r="AH105" s="36">
        <v>45323</v>
      </c>
      <c r="AI105" s="36"/>
      <c r="AJ105" s="36"/>
      <c r="AK105" s="36">
        <v>45352</v>
      </c>
      <c r="AL105" s="36"/>
      <c r="AM105" s="46"/>
      <c r="AN105" s="40" t="s">
        <v>812</v>
      </c>
      <c r="AO105" s="40" t="s">
        <v>813</v>
      </c>
      <c r="AP105" s="40" t="s">
        <v>814</v>
      </c>
      <c r="AQ105" s="40" t="s">
        <v>80</v>
      </c>
      <c r="AR105" s="48">
        <v>100</v>
      </c>
      <c r="AS105" s="37">
        <v>0</v>
      </c>
      <c r="AT105" s="37" t="s">
        <v>386</v>
      </c>
      <c r="AU105" s="47">
        <v>30</v>
      </c>
      <c r="AV105" s="37" t="s">
        <v>219</v>
      </c>
      <c r="AW105" s="37">
        <v>10</v>
      </c>
      <c r="AX105" s="30">
        <f>(J105*10)/100</f>
        <v>27080481.120000001</v>
      </c>
      <c r="AY105" s="40" t="s">
        <v>402</v>
      </c>
    </row>
    <row r="106" spans="1:51" ht="42" customHeight="1" x14ac:dyDescent="0.25">
      <c r="A106" s="44" t="s">
        <v>815</v>
      </c>
      <c r="B106" s="46">
        <v>45259</v>
      </c>
      <c r="C106" s="40" t="s">
        <v>432</v>
      </c>
      <c r="D106" s="35" t="s">
        <v>816</v>
      </c>
      <c r="E106" s="39" t="s">
        <v>817</v>
      </c>
      <c r="F106" s="36">
        <v>45282</v>
      </c>
      <c r="G106" s="37" t="s">
        <v>818</v>
      </c>
      <c r="H106" s="40" t="s">
        <v>810</v>
      </c>
      <c r="I106" s="40" t="s">
        <v>811</v>
      </c>
      <c r="J106" s="54">
        <v>204885542.40000001</v>
      </c>
      <c r="K106" s="54">
        <v>204885542.40000001</v>
      </c>
      <c r="L106" s="54">
        <v>0</v>
      </c>
      <c r="M106" s="54">
        <v>0</v>
      </c>
      <c r="N106" s="42">
        <f t="shared" si="16"/>
        <v>0</v>
      </c>
      <c r="O106" s="43">
        <f t="shared" si="11"/>
        <v>0</v>
      </c>
      <c r="P106" s="41">
        <v>204885542.40000001</v>
      </c>
      <c r="Q106" s="43">
        <f t="shared" si="17"/>
        <v>0</v>
      </c>
      <c r="R106" s="41">
        <v>204885542.40000001</v>
      </c>
      <c r="S106" s="30">
        <f t="shared" si="18"/>
        <v>204885542.40000001</v>
      </c>
      <c r="T106" s="30">
        <f t="shared" si="14"/>
        <v>204885542.40000001</v>
      </c>
      <c r="U106" s="30">
        <f>T106/X106</f>
        <v>204.82</v>
      </c>
      <c r="V106" s="41">
        <f>T106/X106</f>
        <v>204.82</v>
      </c>
      <c r="W106" s="41">
        <f>V106*AU106</f>
        <v>6144.5999999999995</v>
      </c>
      <c r="X106" s="41">
        <v>1000320</v>
      </c>
      <c r="Y106" s="41">
        <v>1000320</v>
      </c>
      <c r="Z106" s="41">
        <v>0</v>
      </c>
      <c r="AA106" s="41">
        <v>0</v>
      </c>
      <c r="AB106" s="41"/>
      <c r="AC106" s="41">
        <f t="shared" si="8"/>
        <v>0</v>
      </c>
      <c r="AD106" s="41"/>
      <c r="AE106" s="41">
        <f t="shared" si="9"/>
        <v>0</v>
      </c>
      <c r="AF106" s="41">
        <f>X106/AU106</f>
        <v>33344</v>
      </c>
      <c r="AG106" s="41">
        <f t="shared" si="15"/>
        <v>33344</v>
      </c>
      <c r="AH106" s="36">
        <v>45323</v>
      </c>
      <c r="AI106" s="36"/>
      <c r="AJ106" s="36"/>
      <c r="AK106" s="36">
        <v>45352</v>
      </c>
      <c r="AL106" s="36"/>
      <c r="AM106" s="46"/>
      <c r="AN106" s="40" t="s">
        <v>812</v>
      </c>
      <c r="AO106" s="40" t="s">
        <v>813</v>
      </c>
      <c r="AP106" s="40" t="s">
        <v>814</v>
      </c>
      <c r="AQ106" s="40" t="s">
        <v>80</v>
      </c>
      <c r="AR106" s="48">
        <v>100</v>
      </c>
      <c r="AS106" s="37">
        <v>0</v>
      </c>
      <c r="AT106" s="37" t="s">
        <v>386</v>
      </c>
      <c r="AU106" s="47">
        <v>30</v>
      </c>
      <c r="AV106" s="37" t="s">
        <v>219</v>
      </c>
      <c r="AW106" s="37">
        <v>10</v>
      </c>
      <c r="AX106" s="30">
        <f>(J106*10)/100</f>
        <v>20488554.239999998</v>
      </c>
      <c r="AY106" s="40" t="s">
        <v>95</v>
      </c>
    </row>
    <row r="107" spans="1:51" ht="42" customHeight="1" x14ac:dyDescent="0.25">
      <c r="A107" s="44" t="s">
        <v>819</v>
      </c>
      <c r="B107" s="46">
        <v>45264</v>
      </c>
      <c r="C107" s="40">
        <v>1416</v>
      </c>
      <c r="D107" s="35" t="s">
        <v>820</v>
      </c>
      <c r="E107" s="39" t="s">
        <v>821</v>
      </c>
      <c r="F107" s="36">
        <v>45285</v>
      </c>
      <c r="G107" s="37" t="s">
        <v>822</v>
      </c>
      <c r="H107" s="40" t="s">
        <v>224</v>
      </c>
      <c r="I107" s="40" t="s">
        <v>823</v>
      </c>
      <c r="J107" s="54">
        <v>10021808.16</v>
      </c>
      <c r="K107" s="54">
        <v>10021808.16</v>
      </c>
      <c r="L107" s="54">
        <v>0</v>
      </c>
      <c r="M107" s="54">
        <v>0</v>
      </c>
      <c r="N107" s="42">
        <f t="shared" si="16"/>
        <v>87.736469303958415</v>
      </c>
      <c r="O107" s="43">
        <f t="shared" si="11"/>
        <v>8792780.6400000006</v>
      </c>
      <c r="P107" s="41">
        <v>1229027.52</v>
      </c>
      <c r="Q107" s="43">
        <f t="shared" si="17"/>
        <v>8792780.6400000006</v>
      </c>
      <c r="R107" s="41">
        <v>1229027.52</v>
      </c>
      <c r="S107" s="30">
        <f t="shared" si="18"/>
        <v>1229027.52</v>
      </c>
      <c r="T107" s="30">
        <f t="shared" si="14"/>
        <v>1229027.52</v>
      </c>
      <c r="U107" s="30">
        <f>T107/X107</f>
        <v>98.86</v>
      </c>
      <c r="V107" s="41">
        <f>T107/X107</f>
        <v>98.86</v>
      </c>
      <c r="W107" s="41">
        <f>V107*AU107</f>
        <v>2076.06</v>
      </c>
      <c r="X107" s="41">
        <v>12432</v>
      </c>
      <c r="Y107" s="41">
        <v>12432</v>
      </c>
      <c r="Z107" s="41">
        <v>0</v>
      </c>
      <c r="AA107" s="41">
        <v>0</v>
      </c>
      <c r="AB107" s="41">
        <v>0</v>
      </c>
      <c r="AC107" s="41">
        <f t="shared" si="8"/>
        <v>0</v>
      </c>
      <c r="AD107" s="41">
        <v>12432</v>
      </c>
      <c r="AE107" s="41">
        <f t="shared" si="9"/>
        <v>1229027.52</v>
      </c>
      <c r="AF107" s="41">
        <f>X107/AU107</f>
        <v>592</v>
      </c>
      <c r="AG107" s="41">
        <f t="shared" si="15"/>
        <v>592</v>
      </c>
      <c r="AH107" s="36">
        <v>45352</v>
      </c>
      <c r="AI107" s="36"/>
      <c r="AJ107" s="36"/>
      <c r="AK107" s="36">
        <v>45383</v>
      </c>
      <c r="AL107" s="36"/>
      <c r="AM107" s="46"/>
      <c r="AN107" s="40" t="s">
        <v>824</v>
      </c>
      <c r="AO107" s="40" t="s">
        <v>825</v>
      </c>
      <c r="AP107" s="40" t="s">
        <v>826</v>
      </c>
      <c r="AQ107" s="40" t="s">
        <v>80</v>
      </c>
      <c r="AR107" s="48">
        <v>100</v>
      </c>
      <c r="AS107" s="37">
        <v>0</v>
      </c>
      <c r="AT107" s="37" t="s">
        <v>386</v>
      </c>
      <c r="AU107" s="47">
        <v>21</v>
      </c>
      <c r="AV107" s="37" t="s">
        <v>60</v>
      </c>
      <c r="AW107" s="37">
        <v>10</v>
      </c>
      <c r="AX107" s="30">
        <f>(J107*10)/100</f>
        <v>1002180.816</v>
      </c>
      <c r="AY107" s="40" t="s">
        <v>402</v>
      </c>
    </row>
    <row r="108" spans="1:51" ht="42" customHeight="1" x14ac:dyDescent="0.25">
      <c r="A108" s="44" t="s">
        <v>827</v>
      </c>
      <c r="B108" s="46">
        <v>45264</v>
      </c>
      <c r="C108" s="40" t="s">
        <v>432</v>
      </c>
      <c r="D108" s="35" t="s">
        <v>828</v>
      </c>
      <c r="E108" s="39" t="s">
        <v>829</v>
      </c>
      <c r="F108" s="36">
        <v>45285</v>
      </c>
      <c r="G108" s="37" t="s">
        <v>830</v>
      </c>
      <c r="H108" s="40" t="s">
        <v>53</v>
      </c>
      <c r="I108" s="40" t="s">
        <v>831</v>
      </c>
      <c r="J108" s="54">
        <v>299991938.39999998</v>
      </c>
      <c r="K108" s="54">
        <v>299991938.39999998</v>
      </c>
      <c r="L108" s="54">
        <v>0</v>
      </c>
      <c r="M108" s="54">
        <v>0</v>
      </c>
      <c r="N108" s="42">
        <f t="shared" si="16"/>
        <v>0</v>
      </c>
      <c r="O108" s="43">
        <f t="shared" si="11"/>
        <v>0</v>
      </c>
      <c r="P108" s="41">
        <v>299991938.39999998</v>
      </c>
      <c r="Q108" s="43">
        <f t="shared" si="17"/>
        <v>0</v>
      </c>
      <c r="R108" s="41">
        <v>299991938.39999998</v>
      </c>
      <c r="S108" s="30">
        <f t="shared" si="18"/>
        <v>299991938.39999998</v>
      </c>
      <c r="T108" s="30">
        <f t="shared" si="14"/>
        <v>299991938.39999998</v>
      </c>
      <c r="U108" s="30">
        <f>T108/X108</f>
        <v>2248.9499999999998</v>
      </c>
      <c r="V108" s="41">
        <f>T108/X108</f>
        <v>2248.9499999999998</v>
      </c>
      <c r="W108" s="41">
        <f>V108*AU108</f>
        <v>188911.8</v>
      </c>
      <c r="X108" s="41">
        <v>133392</v>
      </c>
      <c r="Y108" s="56">
        <v>76175.137799999997</v>
      </c>
      <c r="Z108" s="56">
        <v>57216.862200000003</v>
      </c>
      <c r="AA108" s="41">
        <v>0</v>
      </c>
      <c r="AB108" s="41"/>
      <c r="AC108" s="41">
        <f t="shared" si="8"/>
        <v>0</v>
      </c>
      <c r="AD108" s="41"/>
      <c r="AE108" s="41">
        <f t="shared" si="9"/>
        <v>0</v>
      </c>
      <c r="AF108" s="41">
        <f>X108/AU108</f>
        <v>1588</v>
      </c>
      <c r="AG108" s="41">
        <f t="shared" si="15"/>
        <v>1588</v>
      </c>
      <c r="AH108" s="36">
        <v>45306</v>
      </c>
      <c r="AI108" s="36">
        <v>45366</v>
      </c>
      <c r="AJ108" s="36"/>
      <c r="AK108" s="36">
        <v>45337</v>
      </c>
      <c r="AL108" s="36">
        <v>45397</v>
      </c>
      <c r="AM108" s="46"/>
      <c r="AN108" s="40" t="s">
        <v>577</v>
      </c>
      <c r="AO108" s="40" t="s">
        <v>832</v>
      </c>
      <c r="AP108" s="40" t="s">
        <v>833</v>
      </c>
      <c r="AQ108" s="40" t="s">
        <v>58</v>
      </c>
      <c r="AR108" s="48">
        <v>0</v>
      </c>
      <c r="AS108" s="37">
        <v>100</v>
      </c>
      <c r="AT108" s="37" t="s">
        <v>386</v>
      </c>
      <c r="AU108" s="47">
        <v>84</v>
      </c>
      <c r="AV108" s="37" t="s">
        <v>60</v>
      </c>
      <c r="AW108" s="37">
        <v>10</v>
      </c>
      <c r="AX108" s="30">
        <f>(J108*10)/100</f>
        <v>29999193.84</v>
      </c>
      <c r="AY108" s="40" t="s">
        <v>834</v>
      </c>
    </row>
    <row r="109" spans="1:51" ht="42" customHeight="1" x14ac:dyDescent="0.25">
      <c r="A109" s="44" t="s">
        <v>835</v>
      </c>
      <c r="B109" s="46">
        <v>45264</v>
      </c>
      <c r="C109" s="40">
        <v>1416</v>
      </c>
      <c r="D109" s="35" t="s">
        <v>836</v>
      </c>
      <c r="E109" s="39" t="s">
        <v>837</v>
      </c>
      <c r="F109" s="36">
        <v>45285</v>
      </c>
      <c r="G109" s="37" t="s">
        <v>838</v>
      </c>
      <c r="H109" s="40" t="s">
        <v>53</v>
      </c>
      <c r="I109" s="40" t="s">
        <v>839</v>
      </c>
      <c r="J109" s="54">
        <v>24725220.030000001</v>
      </c>
      <c r="K109" s="54">
        <v>24725220.030000001</v>
      </c>
      <c r="L109" s="54">
        <v>0</v>
      </c>
      <c r="M109" s="54">
        <v>0</v>
      </c>
      <c r="N109" s="42">
        <f t="shared" si="16"/>
        <v>0.499999999393338</v>
      </c>
      <c r="O109" s="43">
        <f t="shared" si="11"/>
        <v>123626.10000000149</v>
      </c>
      <c r="P109" s="41">
        <v>24601593.93</v>
      </c>
      <c r="Q109" s="43">
        <f t="shared" si="17"/>
        <v>123626.10000000149</v>
      </c>
      <c r="R109" s="41">
        <v>24601593.93</v>
      </c>
      <c r="S109" s="30">
        <v>24601583.789999999</v>
      </c>
      <c r="T109" s="30">
        <f t="shared" ref="T109:T120" si="19">S109</f>
        <v>24601583.789999999</v>
      </c>
      <c r="U109" s="30">
        <f>T109/X109</f>
        <v>10554.09</v>
      </c>
      <c r="V109" s="41">
        <f>T109/X109</f>
        <v>10554.09</v>
      </c>
      <c r="W109" s="41">
        <f>V109*AU109</f>
        <v>221635.89</v>
      </c>
      <c r="X109" s="41">
        <v>2331</v>
      </c>
      <c r="Y109" s="41">
        <v>2331</v>
      </c>
      <c r="Z109" s="41">
        <v>0</v>
      </c>
      <c r="AA109" s="41">
        <v>0</v>
      </c>
      <c r="AB109" s="41">
        <v>0</v>
      </c>
      <c r="AC109" s="41">
        <f t="shared" si="8"/>
        <v>0</v>
      </c>
      <c r="AD109" s="41">
        <v>2331</v>
      </c>
      <c r="AE109" s="41">
        <f t="shared" si="9"/>
        <v>24601583.789999999</v>
      </c>
      <c r="AF109" s="41">
        <f>X109/AU109</f>
        <v>111</v>
      </c>
      <c r="AG109" s="41">
        <f t="shared" si="15"/>
        <v>111</v>
      </c>
      <c r="AH109" s="36">
        <v>45352</v>
      </c>
      <c r="AI109" s="36"/>
      <c r="AJ109" s="36"/>
      <c r="AK109" s="36">
        <v>45017</v>
      </c>
      <c r="AL109" s="36"/>
      <c r="AM109" s="46"/>
      <c r="AN109" s="40" t="s">
        <v>840</v>
      </c>
      <c r="AO109" s="40" t="s">
        <v>841</v>
      </c>
      <c r="AP109" s="40" t="s">
        <v>842</v>
      </c>
      <c r="AQ109" s="40" t="s">
        <v>80</v>
      </c>
      <c r="AR109" s="48">
        <v>100</v>
      </c>
      <c r="AS109" s="37">
        <v>0</v>
      </c>
      <c r="AT109" s="37" t="s">
        <v>386</v>
      </c>
      <c r="AU109" s="47">
        <v>21</v>
      </c>
      <c r="AV109" s="37" t="s">
        <v>60</v>
      </c>
      <c r="AW109" s="37">
        <v>10</v>
      </c>
      <c r="AX109" s="30">
        <f>(J109*10)/100</f>
        <v>2472522.003</v>
      </c>
      <c r="AY109" s="40" t="s">
        <v>402</v>
      </c>
    </row>
    <row r="110" spans="1:51" ht="75" x14ac:dyDescent="0.25">
      <c r="A110" s="44" t="s">
        <v>843</v>
      </c>
      <c r="B110" s="46">
        <v>45264</v>
      </c>
      <c r="C110" s="40">
        <v>1416</v>
      </c>
      <c r="D110" s="35" t="s">
        <v>431</v>
      </c>
      <c r="E110" s="39" t="s">
        <v>844</v>
      </c>
      <c r="F110" s="36" t="s">
        <v>431</v>
      </c>
      <c r="G110" s="37" t="s">
        <v>431</v>
      </c>
      <c r="H110" s="40" t="s">
        <v>431</v>
      </c>
      <c r="I110" s="40" t="s">
        <v>845</v>
      </c>
      <c r="J110" s="54">
        <v>1009470</v>
      </c>
      <c r="K110" s="54">
        <v>1009470</v>
      </c>
      <c r="L110" s="54"/>
      <c r="M110" s="54"/>
      <c r="N110" s="42">
        <f t="shared" si="16"/>
        <v>100</v>
      </c>
      <c r="O110" s="43">
        <f t="shared" si="11"/>
        <v>1009470</v>
      </c>
      <c r="P110" s="41"/>
      <c r="Q110" s="43">
        <f t="shared" si="17"/>
        <v>1009470</v>
      </c>
      <c r="R110" s="41">
        <v>0</v>
      </c>
      <c r="S110" s="30">
        <f>R110</f>
        <v>0</v>
      </c>
      <c r="T110" s="30">
        <f t="shared" si="19"/>
        <v>0</v>
      </c>
      <c r="U110" s="30" t="e">
        <f>T110/X110</f>
        <v>#DIV/0!</v>
      </c>
      <c r="V110" s="41" t="e">
        <f>T110/X110</f>
        <v>#DIV/0!</v>
      </c>
      <c r="W110" s="41" t="e">
        <f>V110*AU110</f>
        <v>#DIV/0!</v>
      </c>
      <c r="X110" s="41">
        <v>0</v>
      </c>
      <c r="Y110" s="41">
        <v>0</v>
      </c>
      <c r="Z110" s="41">
        <v>0</v>
      </c>
      <c r="AA110" s="41">
        <v>0</v>
      </c>
      <c r="AB110" s="41"/>
      <c r="AC110" s="41" t="e">
        <f t="shared" si="8"/>
        <v>#DIV/0!</v>
      </c>
      <c r="AD110" s="41"/>
      <c r="AE110" s="41" t="e">
        <f t="shared" si="9"/>
        <v>#DIV/0!</v>
      </c>
      <c r="AF110" s="41" t="e">
        <f>X110/AU110</f>
        <v>#DIV/0!</v>
      </c>
      <c r="AG110" s="41" t="e">
        <f t="shared" si="15"/>
        <v>#DIV/0!</v>
      </c>
      <c r="AH110" s="36">
        <v>45352</v>
      </c>
      <c r="AI110" s="36"/>
      <c r="AJ110" s="36"/>
      <c r="AK110" s="36"/>
      <c r="AL110" s="36"/>
      <c r="AM110" s="46"/>
      <c r="AN110" s="40"/>
      <c r="AO110" s="40"/>
      <c r="AP110" s="40"/>
      <c r="AQ110" s="40"/>
      <c r="AR110" s="48"/>
      <c r="AS110" s="37"/>
      <c r="AT110" s="37"/>
      <c r="AU110" s="47"/>
      <c r="AV110" s="37"/>
      <c r="AW110" s="37">
        <v>10</v>
      </c>
      <c r="AX110" s="30">
        <f>(J110*10)/100</f>
        <v>100947</v>
      </c>
      <c r="AY110" s="40" t="s">
        <v>431</v>
      </c>
    </row>
    <row r="111" spans="1:51" ht="87" customHeight="1" x14ac:dyDescent="0.25">
      <c r="A111" s="44" t="s">
        <v>846</v>
      </c>
      <c r="B111" s="46">
        <v>45268</v>
      </c>
      <c r="C111" s="40">
        <v>1416</v>
      </c>
      <c r="D111" s="35" t="s">
        <v>847</v>
      </c>
      <c r="E111" s="39" t="s">
        <v>848</v>
      </c>
      <c r="F111" s="36">
        <v>45289</v>
      </c>
      <c r="G111" s="37" t="s">
        <v>849</v>
      </c>
      <c r="H111" s="40" t="s">
        <v>139</v>
      </c>
      <c r="I111" s="40" t="s">
        <v>850</v>
      </c>
      <c r="J111" s="54">
        <v>14412600</v>
      </c>
      <c r="K111" s="54">
        <v>14412600</v>
      </c>
      <c r="L111" s="54">
        <v>0</v>
      </c>
      <c r="M111" s="54">
        <v>0</v>
      </c>
      <c r="N111" s="42">
        <f t="shared" si="16"/>
        <v>0</v>
      </c>
      <c r="O111" s="43">
        <f t="shared" si="11"/>
        <v>0</v>
      </c>
      <c r="P111" s="41">
        <v>14412600</v>
      </c>
      <c r="Q111" s="43">
        <f t="shared" si="17"/>
        <v>0</v>
      </c>
      <c r="R111" s="41">
        <v>14412600</v>
      </c>
      <c r="S111" s="30">
        <f>R111</f>
        <v>14412600</v>
      </c>
      <c r="T111" s="30">
        <f t="shared" si="19"/>
        <v>14412600</v>
      </c>
      <c r="U111" s="30">
        <f>T111/X111</f>
        <v>7.85</v>
      </c>
      <c r="V111" s="41">
        <f>T111/X111</f>
        <v>7.85</v>
      </c>
      <c r="W111" s="41">
        <f>V111*AU111</f>
        <v>3925</v>
      </c>
      <c r="X111" s="41">
        <v>1836000</v>
      </c>
      <c r="Y111" s="41">
        <v>1836000</v>
      </c>
      <c r="Z111" s="41">
        <v>0</v>
      </c>
      <c r="AA111" s="41">
        <v>0</v>
      </c>
      <c r="AB111" s="41">
        <v>613000</v>
      </c>
      <c r="AC111" s="41">
        <f t="shared" si="8"/>
        <v>4812050</v>
      </c>
      <c r="AD111" s="41">
        <v>1223000</v>
      </c>
      <c r="AE111" s="41">
        <f t="shared" si="9"/>
        <v>9600550</v>
      </c>
      <c r="AF111" s="41">
        <f>X111/AU111</f>
        <v>3672</v>
      </c>
      <c r="AG111" s="41">
        <f t="shared" si="15"/>
        <v>3672</v>
      </c>
      <c r="AH111" s="36">
        <v>45383</v>
      </c>
      <c r="AI111" s="36"/>
      <c r="AJ111" s="36"/>
      <c r="AK111" s="36">
        <v>45413</v>
      </c>
      <c r="AL111" s="36"/>
      <c r="AM111" s="46"/>
      <c r="AN111" s="40" t="s">
        <v>851</v>
      </c>
      <c r="AO111" s="40" t="s">
        <v>852</v>
      </c>
      <c r="AP111" s="40" t="s">
        <v>853</v>
      </c>
      <c r="AQ111" s="40" t="s">
        <v>80</v>
      </c>
      <c r="AR111" s="48">
        <v>100</v>
      </c>
      <c r="AS111" s="37">
        <v>0</v>
      </c>
      <c r="AT111" s="37" t="s">
        <v>93</v>
      </c>
      <c r="AU111" s="47">
        <v>500</v>
      </c>
      <c r="AV111" s="37" t="s">
        <v>60</v>
      </c>
      <c r="AW111" s="37">
        <v>10</v>
      </c>
      <c r="AX111" s="30">
        <f>(J111*10)/100</f>
        <v>1441260</v>
      </c>
      <c r="AY111" s="40" t="s">
        <v>402</v>
      </c>
    </row>
    <row r="112" spans="1:51" ht="87" customHeight="1" x14ac:dyDescent="0.25">
      <c r="A112" s="44" t="s">
        <v>854</v>
      </c>
      <c r="B112" s="46">
        <v>45268</v>
      </c>
      <c r="C112" s="40">
        <v>1416</v>
      </c>
      <c r="D112" s="35" t="s">
        <v>855</v>
      </c>
      <c r="E112" s="39" t="s">
        <v>856</v>
      </c>
      <c r="F112" s="36">
        <v>45302</v>
      </c>
      <c r="G112" s="37" t="s">
        <v>857</v>
      </c>
      <c r="H112" s="40" t="s">
        <v>86</v>
      </c>
      <c r="I112" s="40" t="s">
        <v>858</v>
      </c>
      <c r="J112" s="54">
        <v>312035112</v>
      </c>
      <c r="K112" s="54">
        <v>312035112</v>
      </c>
      <c r="L112" s="54">
        <v>0</v>
      </c>
      <c r="M112" s="54">
        <v>0</v>
      </c>
      <c r="N112" s="42">
        <f t="shared" si="16"/>
        <v>0</v>
      </c>
      <c r="O112" s="43">
        <f t="shared" si="11"/>
        <v>0</v>
      </c>
      <c r="P112" s="41">
        <v>312035112</v>
      </c>
      <c r="Q112" s="43">
        <f t="shared" si="17"/>
        <v>0</v>
      </c>
      <c r="R112" s="41">
        <v>312035112</v>
      </c>
      <c r="S112" s="30">
        <f>R112</f>
        <v>312035112</v>
      </c>
      <c r="T112" s="30">
        <f t="shared" si="19"/>
        <v>312035112</v>
      </c>
      <c r="U112" s="30">
        <f>T112/X112</f>
        <v>12.84</v>
      </c>
      <c r="V112" s="41">
        <f>T112/X112</f>
        <v>12.84</v>
      </c>
      <c r="W112" s="41">
        <f>V112*AU112</f>
        <v>30816</v>
      </c>
      <c r="X112" s="41">
        <v>24301800</v>
      </c>
      <c r="Y112" s="41">
        <v>11232000</v>
      </c>
      <c r="Z112" s="41">
        <v>13069800</v>
      </c>
      <c r="AA112" s="41">
        <v>0</v>
      </c>
      <c r="AB112" s="41">
        <f>3988800+5845800</f>
        <v>9834600</v>
      </c>
      <c r="AC112" s="41">
        <f t="shared" si="8"/>
        <v>126276264</v>
      </c>
      <c r="AD112" s="41">
        <f>7243200+7224000</f>
        <v>14467200</v>
      </c>
      <c r="AE112" s="41">
        <f t="shared" si="9"/>
        <v>185758848</v>
      </c>
      <c r="AF112" s="41">
        <f>X112/AU112</f>
        <v>10125.75</v>
      </c>
      <c r="AG112" s="41">
        <f t="shared" si="15"/>
        <v>10126</v>
      </c>
      <c r="AH112" s="36">
        <v>45352</v>
      </c>
      <c r="AI112" s="36">
        <v>45444</v>
      </c>
      <c r="AJ112" s="36"/>
      <c r="AK112" s="36">
        <v>45383</v>
      </c>
      <c r="AL112" s="36">
        <v>45474</v>
      </c>
      <c r="AM112" s="46"/>
      <c r="AN112" s="40" t="s">
        <v>677</v>
      </c>
      <c r="AO112" s="40" t="s">
        <v>859</v>
      </c>
      <c r="AP112" s="40" t="s">
        <v>679</v>
      </c>
      <c r="AQ112" s="40" t="s">
        <v>92</v>
      </c>
      <c r="AR112" s="48">
        <v>0</v>
      </c>
      <c r="AS112" s="37">
        <v>100</v>
      </c>
      <c r="AT112" s="37" t="s">
        <v>93</v>
      </c>
      <c r="AU112" s="47">
        <v>2400</v>
      </c>
      <c r="AV112" s="37" t="s">
        <v>60</v>
      </c>
      <c r="AW112" s="37">
        <v>10</v>
      </c>
      <c r="AX112" s="30">
        <f>(J112*10)/100</f>
        <v>31203511.199999999</v>
      </c>
      <c r="AY112" s="40" t="s">
        <v>325</v>
      </c>
    </row>
    <row r="113" spans="1:51" ht="75" x14ac:dyDescent="0.25">
      <c r="A113" s="44" t="s">
        <v>860</v>
      </c>
      <c r="B113" s="46">
        <v>45268</v>
      </c>
      <c r="C113" s="40">
        <v>1416</v>
      </c>
      <c r="D113" s="35" t="s">
        <v>861</v>
      </c>
      <c r="E113" s="39" t="s">
        <v>862</v>
      </c>
      <c r="F113" s="36">
        <v>45300</v>
      </c>
      <c r="G113" s="37" t="s">
        <v>863</v>
      </c>
      <c r="H113" s="40" t="s">
        <v>224</v>
      </c>
      <c r="I113" s="40" t="s">
        <v>864</v>
      </c>
      <c r="J113" s="54">
        <v>26867326.5</v>
      </c>
      <c r="K113" s="54">
        <v>26867326.5</v>
      </c>
      <c r="L113" s="54">
        <v>0</v>
      </c>
      <c r="M113" s="54">
        <v>0</v>
      </c>
      <c r="N113" s="42">
        <f t="shared" si="16"/>
        <v>0.49999999069501372</v>
      </c>
      <c r="O113" s="43">
        <f t="shared" si="11"/>
        <v>134336.62999999896</v>
      </c>
      <c r="P113" s="41">
        <v>26732989.870000001</v>
      </c>
      <c r="Q113" s="43">
        <f t="shared" si="17"/>
        <v>134336.62999999896</v>
      </c>
      <c r="R113" s="41">
        <v>26732989.870000001</v>
      </c>
      <c r="S113" s="30">
        <v>26723938.5</v>
      </c>
      <c r="T113" s="30">
        <f t="shared" si="19"/>
        <v>26723938.5</v>
      </c>
      <c r="U113" s="30">
        <f>T113/X113</f>
        <v>14.91</v>
      </c>
      <c r="V113" s="41">
        <f>T113/X113</f>
        <v>14.91</v>
      </c>
      <c r="W113" s="41">
        <f>V113*AU113</f>
        <v>745.5</v>
      </c>
      <c r="X113" s="41">
        <v>1792350</v>
      </c>
      <c r="Y113" s="41">
        <v>1792350</v>
      </c>
      <c r="Z113" s="41">
        <v>0</v>
      </c>
      <c r="AA113" s="41">
        <v>0</v>
      </c>
      <c r="AB113" s="41">
        <v>57100</v>
      </c>
      <c r="AC113" s="41">
        <f t="shared" si="8"/>
        <v>851361</v>
      </c>
      <c r="AD113" s="41">
        <v>1735250</v>
      </c>
      <c r="AE113" s="41">
        <f t="shared" si="9"/>
        <v>25872577.5</v>
      </c>
      <c r="AF113" s="41">
        <f>X113/AU113</f>
        <v>35847</v>
      </c>
      <c r="AG113" s="41">
        <f t="shared" si="15"/>
        <v>35847</v>
      </c>
      <c r="AH113" s="36">
        <v>45323</v>
      </c>
      <c r="AI113" s="36"/>
      <c r="AJ113" s="36"/>
      <c r="AK113" s="36">
        <v>45352</v>
      </c>
      <c r="AL113" s="36"/>
      <c r="AM113" s="46"/>
      <c r="AN113" s="40" t="s">
        <v>865</v>
      </c>
      <c r="AO113" s="40" t="s">
        <v>866</v>
      </c>
      <c r="AP113" s="40" t="s">
        <v>867</v>
      </c>
      <c r="AQ113" s="40" t="s">
        <v>80</v>
      </c>
      <c r="AR113" s="48">
        <v>100</v>
      </c>
      <c r="AS113" s="37">
        <v>0</v>
      </c>
      <c r="AT113" s="37" t="s">
        <v>386</v>
      </c>
      <c r="AU113" s="47">
        <v>50</v>
      </c>
      <c r="AV113" s="37" t="s">
        <v>60</v>
      </c>
      <c r="AW113" s="37">
        <v>10</v>
      </c>
      <c r="AX113" s="30">
        <f>(J113*10)/100</f>
        <v>2686732.65</v>
      </c>
      <c r="AY113" s="40" t="s">
        <v>402</v>
      </c>
    </row>
    <row r="114" spans="1:51" ht="75" x14ac:dyDescent="0.25">
      <c r="A114" s="44" t="s">
        <v>868</v>
      </c>
      <c r="B114" s="46">
        <v>45264</v>
      </c>
      <c r="C114" s="40">
        <v>1416</v>
      </c>
      <c r="D114" s="35" t="s">
        <v>431</v>
      </c>
      <c r="E114" s="39" t="s">
        <v>869</v>
      </c>
      <c r="F114" s="36" t="s">
        <v>431</v>
      </c>
      <c r="G114" s="37" t="s">
        <v>431</v>
      </c>
      <c r="H114" s="40" t="s">
        <v>431</v>
      </c>
      <c r="I114" s="40" t="s">
        <v>870</v>
      </c>
      <c r="J114" s="54">
        <v>90409106.969999999</v>
      </c>
      <c r="K114" s="54">
        <v>90409106.969999999</v>
      </c>
      <c r="L114" s="54"/>
      <c r="M114" s="54"/>
      <c r="N114" s="42">
        <f t="shared" si="16"/>
        <v>100</v>
      </c>
      <c r="O114" s="43">
        <f t="shared" si="11"/>
        <v>90409106.969999999</v>
      </c>
      <c r="P114" s="41"/>
      <c r="Q114" s="43">
        <f t="shared" si="17"/>
        <v>90409106.969999999</v>
      </c>
      <c r="R114" s="41">
        <v>0</v>
      </c>
      <c r="S114" s="30">
        <f t="shared" ref="S114:S119" si="20">R114</f>
        <v>0</v>
      </c>
      <c r="T114" s="30">
        <f t="shared" si="19"/>
        <v>0</v>
      </c>
      <c r="U114" s="30" t="e">
        <f>T114/X114</f>
        <v>#DIV/0!</v>
      </c>
      <c r="V114" s="41" t="e">
        <f>T114/X114</f>
        <v>#DIV/0!</v>
      </c>
      <c r="W114" s="41" t="e">
        <f>V114*AU114</f>
        <v>#DIV/0!</v>
      </c>
      <c r="X114" s="41">
        <v>0</v>
      </c>
      <c r="Y114" s="41">
        <v>0</v>
      </c>
      <c r="Z114" s="41">
        <v>0</v>
      </c>
      <c r="AA114" s="41">
        <v>0</v>
      </c>
      <c r="AB114" s="41"/>
      <c r="AC114" s="41" t="e">
        <f t="shared" si="8"/>
        <v>#DIV/0!</v>
      </c>
      <c r="AD114" s="41"/>
      <c r="AE114" s="41" t="e">
        <f t="shared" si="9"/>
        <v>#DIV/0!</v>
      </c>
      <c r="AF114" s="41" t="e">
        <f>X114/AU114</f>
        <v>#DIV/0!</v>
      </c>
      <c r="AG114" s="41" t="e">
        <f t="shared" si="15"/>
        <v>#DIV/0!</v>
      </c>
      <c r="AH114" s="36">
        <v>45412</v>
      </c>
      <c r="AI114" s="36"/>
      <c r="AJ114" s="36"/>
      <c r="AK114" s="36"/>
      <c r="AL114" s="36"/>
      <c r="AM114" s="46"/>
      <c r="AN114" s="40"/>
      <c r="AO114" s="40"/>
      <c r="AP114" s="40"/>
      <c r="AQ114" s="40"/>
      <c r="AR114" s="48"/>
      <c r="AS114" s="37"/>
      <c r="AT114" s="37"/>
      <c r="AU114" s="47"/>
      <c r="AV114" s="37"/>
      <c r="AW114" s="37">
        <v>10</v>
      </c>
      <c r="AX114" s="30">
        <f>(J114*10)/100</f>
        <v>9040910.6970000006</v>
      </c>
      <c r="AY114" s="40" t="s">
        <v>431</v>
      </c>
    </row>
    <row r="115" spans="1:51" ht="80.25" customHeight="1" x14ac:dyDescent="0.25">
      <c r="A115" s="44" t="s">
        <v>871</v>
      </c>
      <c r="B115" s="46">
        <v>45266</v>
      </c>
      <c r="C115" s="40">
        <v>545</v>
      </c>
      <c r="D115" s="35" t="s">
        <v>872</v>
      </c>
      <c r="E115" s="39" t="s">
        <v>873</v>
      </c>
      <c r="F115" s="36">
        <v>45303</v>
      </c>
      <c r="G115" s="37" t="s">
        <v>874</v>
      </c>
      <c r="H115" s="40" t="s">
        <v>86</v>
      </c>
      <c r="I115" s="40" t="s">
        <v>875</v>
      </c>
      <c r="J115" s="54">
        <v>4675000000</v>
      </c>
      <c r="K115" s="54">
        <v>4675000000</v>
      </c>
      <c r="L115" s="54">
        <v>0</v>
      </c>
      <c r="M115" s="54">
        <v>0</v>
      </c>
      <c r="N115" s="42">
        <f t="shared" si="16"/>
        <v>0</v>
      </c>
      <c r="O115" s="43">
        <f t="shared" si="11"/>
        <v>0</v>
      </c>
      <c r="P115" s="41">
        <v>4675000000</v>
      </c>
      <c r="Q115" s="43">
        <f t="shared" si="17"/>
        <v>0</v>
      </c>
      <c r="R115" s="41">
        <v>4675000000</v>
      </c>
      <c r="S115" s="30">
        <f t="shared" si="20"/>
        <v>4675000000</v>
      </c>
      <c r="T115" s="30">
        <f t="shared" si="19"/>
        <v>4675000000</v>
      </c>
      <c r="U115" s="30">
        <f>T115/X115</f>
        <v>93500000</v>
      </c>
      <c r="V115" s="41">
        <f>T115/X115</f>
        <v>93500000</v>
      </c>
      <c r="W115" s="41">
        <f>V115*AU115</f>
        <v>93500000</v>
      </c>
      <c r="X115" s="41">
        <v>50</v>
      </c>
      <c r="Y115" s="41">
        <v>50</v>
      </c>
      <c r="Z115" s="41">
        <v>0</v>
      </c>
      <c r="AA115" s="41">
        <v>0</v>
      </c>
      <c r="AB115" s="41"/>
      <c r="AC115" s="41">
        <f t="shared" si="8"/>
        <v>0</v>
      </c>
      <c r="AD115" s="41"/>
      <c r="AE115" s="41">
        <f t="shared" si="9"/>
        <v>0</v>
      </c>
      <c r="AF115" s="41">
        <f>X115/AU115</f>
        <v>50</v>
      </c>
      <c r="AG115" s="41">
        <f t="shared" si="15"/>
        <v>50</v>
      </c>
      <c r="AH115" s="36">
        <v>45657</v>
      </c>
      <c r="AI115" s="36"/>
      <c r="AJ115" s="36"/>
      <c r="AK115" s="36"/>
      <c r="AL115" s="36"/>
      <c r="AM115" s="46"/>
      <c r="AN115" s="40" t="s">
        <v>876</v>
      </c>
      <c r="AO115" s="40" t="s">
        <v>877</v>
      </c>
      <c r="AP115" s="40" t="s">
        <v>878</v>
      </c>
      <c r="AQ115" s="40" t="s">
        <v>385</v>
      </c>
      <c r="AR115" s="48">
        <v>0</v>
      </c>
      <c r="AS115" s="37">
        <v>100</v>
      </c>
      <c r="AT115" s="37" t="s">
        <v>386</v>
      </c>
      <c r="AU115" s="47">
        <v>1</v>
      </c>
      <c r="AV115" s="37" t="s">
        <v>60</v>
      </c>
      <c r="AW115" s="37">
        <v>10</v>
      </c>
      <c r="AX115" s="30">
        <f>(J115*10)/100</f>
        <v>467500000</v>
      </c>
      <c r="AY115" s="40" t="s">
        <v>402</v>
      </c>
    </row>
    <row r="116" spans="1:51" ht="81.75" customHeight="1" x14ac:dyDescent="0.25">
      <c r="A116" s="44" t="s">
        <v>879</v>
      </c>
      <c r="B116" s="46">
        <v>45268</v>
      </c>
      <c r="C116" s="40">
        <v>1416</v>
      </c>
      <c r="D116" s="35" t="s">
        <v>880</v>
      </c>
      <c r="E116" s="39" t="s">
        <v>881</v>
      </c>
      <c r="F116" s="36">
        <v>45289</v>
      </c>
      <c r="G116" s="37" t="s">
        <v>882</v>
      </c>
      <c r="H116" s="40" t="s">
        <v>224</v>
      </c>
      <c r="I116" s="40" t="s">
        <v>883</v>
      </c>
      <c r="J116" s="54">
        <v>215192050</v>
      </c>
      <c r="K116" s="54">
        <v>215192050</v>
      </c>
      <c r="L116" s="54">
        <v>0</v>
      </c>
      <c r="M116" s="54">
        <v>0</v>
      </c>
      <c r="N116" s="42">
        <f t="shared" si="16"/>
        <v>0</v>
      </c>
      <c r="O116" s="43">
        <f t="shared" si="11"/>
        <v>0</v>
      </c>
      <c r="P116" s="41">
        <v>215192050</v>
      </c>
      <c r="Q116" s="43">
        <f t="shared" si="17"/>
        <v>0</v>
      </c>
      <c r="R116" s="41">
        <v>215192050</v>
      </c>
      <c r="S116" s="30">
        <f t="shared" si="20"/>
        <v>215192050</v>
      </c>
      <c r="T116" s="30">
        <f t="shared" si="19"/>
        <v>215192050</v>
      </c>
      <c r="U116" s="30">
        <f>T116/X116</f>
        <v>7.85</v>
      </c>
      <c r="V116" s="41">
        <f>T116/X116</f>
        <v>7.85</v>
      </c>
      <c r="W116" s="41">
        <f>V116*AU116</f>
        <v>7850</v>
      </c>
      <c r="X116" s="41">
        <v>27413000</v>
      </c>
      <c r="Y116" s="41">
        <v>27413000</v>
      </c>
      <c r="Z116" s="41">
        <v>0</v>
      </c>
      <c r="AA116" s="41">
        <v>0</v>
      </c>
      <c r="AB116" s="41">
        <v>7264000</v>
      </c>
      <c r="AC116" s="41">
        <f t="shared" si="8"/>
        <v>57022400</v>
      </c>
      <c r="AD116" s="41">
        <v>20149000</v>
      </c>
      <c r="AE116" s="41">
        <f t="shared" si="9"/>
        <v>158169650</v>
      </c>
      <c r="AF116" s="41">
        <f>X116/AU116</f>
        <v>27413</v>
      </c>
      <c r="AG116" s="41">
        <f t="shared" si="15"/>
        <v>27413</v>
      </c>
      <c r="AH116" s="36">
        <v>45383</v>
      </c>
      <c r="AI116" s="36"/>
      <c r="AJ116" s="36"/>
      <c r="AK116" s="36"/>
      <c r="AL116" s="36"/>
      <c r="AM116" s="46"/>
      <c r="AN116" s="40" t="s">
        <v>884</v>
      </c>
      <c r="AO116" s="40" t="s">
        <v>885</v>
      </c>
      <c r="AP116" s="40" t="s">
        <v>886</v>
      </c>
      <c r="AQ116" s="40" t="s">
        <v>80</v>
      </c>
      <c r="AR116" s="48">
        <v>100</v>
      </c>
      <c r="AS116" s="37">
        <v>0</v>
      </c>
      <c r="AT116" s="37" t="s">
        <v>93</v>
      </c>
      <c r="AU116" s="47">
        <v>1000</v>
      </c>
      <c r="AV116" s="37" t="s">
        <v>60</v>
      </c>
      <c r="AW116" s="37">
        <v>10</v>
      </c>
      <c r="AX116" s="30">
        <f>(J116*10)/100</f>
        <v>21519205</v>
      </c>
      <c r="AY116" s="40" t="s">
        <v>402</v>
      </c>
    </row>
    <row r="117" spans="1:51" ht="78.75" x14ac:dyDescent="0.25">
      <c r="A117" s="44" t="s">
        <v>887</v>
      </c>
      <c r="B117" s="46">
        <v>45268</v>
      </c>
      <c r="C117" s="40">
        <v>1416</v>
      </c>
      <c r="D117" s="35" t="s">
        <v>431</v>
      </c>
      <c r="E117" s="39" t="s">
        <v>888</v>
      </c>
      <c r="F117" s="36" t="s">
        <v>431</v>
      </c>
      <c r="G117" s="37" t="s">
        <v>431</v>
      </c>
      <c r="H117" s="40" t="s">
        <v>431</v>
      </c>
      <c r="I117" s="40" t="s">
        <v>889</v>
      </c>
      <c r="J117" s="54">
        <v>378638760</v>
      </c>
      <c r="K117" s="54">
        <v>378638760</v>
      </c>
      <c r="L117" s="54"/>
      <c r="M117" s="54"/>
      <c r="N117" s="42">
        <f t="shared" si="16"/>
        <v>100</v>
      </c>
      <c r="O117" s="43">
        <f t="shared" si="11"/>
        <v>378638760</v>
      </c>
      <c r="P117" s="41"/>
      <c r="Q117" s="43">
        <f t="shared" si="17"/>
        <v>378638760</v>
      </c>
      <c r="R117" s="41">
        <v>0</v>
      </c>
      <c r="S117" s="30">
        <f t="shared" si="20"/>
        <v>0</v>
      </c>
      <c r="T117" s="30">
        <f t="shared" si="19"/>
        <v>0</v>
      </c>
      <c r="U117" s="30" t="e">
        <f>T117/X117</f>
        <v>#DIV/0!</v>
      </c>
      <c r="V117" s="41" t="e">
        <f>T117/X117</f>
        <v>#DIV/0!</v>
      </c>
      <c r="W117" s="41" t="e">
        <f>V117*AU117</f>
        <v>#DIV/0!</v>
      </c>
      <c r="X117" s="41">
        <v>0</v>
      </c>
      <c r="Y117" s="41">
        <v>0</v>
      </c>
      <c r="Z117" s="41">
        <v>0</v>
      </c>
      <c r="AA117" s="41">
        <v>0</v>
      </c>
      <c r="AB117" s="41"/>
      <c r="AC117" s="41" t="e">
        <f t="shared" si="8"/>
        <v>#DIV/0!</v>
      </c>
      <c r="AD117" s="41"/>
      <c r="AE117" s="41" t="e">
        <f t="shared" si="9"/>
        <v>#DIV/0!</v>
      </c>
      <c r="AF117" s="41" t="e">
        <f>X117/AU117</f>
        <v>#DIV/0!</v>
      </c>
      <c r="AG117" s="41" t="e">
        <f t="shared" si="15"/>
        <v>#DIV/0!</v>
      </c>
      <c r="AH117" s="36">
        <v>45323</v>
      </c>
      <c r="AI117" s="36"/>
      <c r="AJ117" s="36"/>
      <c r="AK117" s="36"/>
      <c r="AL117" s="36"/>
      <c r="AM117" s="46"/>
      <c r="AN117" s="40"/>
      <c r="AO117" s="40"/>
      <c r="AP117" s="40"/>
      <c r="AQ117" s="40"/>
      <c r="AR117" s="48"/>
      <c r="AS117" s="37"/>
      <c r="AT117" s="37"/>
      <c r="AU117" s="47"/>
      <c r="AV117" s="37"/>
      <c r="AW117" s="37">
        <v>10</v>
      </c>
      <c r="AX117" s="30">
        <f>(J117*10)/100</f>
        <v>37863876</v>
      </c>
      <c r="AY117" s="40" t="s">
        <v>431</v>
      </c>
    </row>
    <row r="118" spans="1:51" ht="75" x14ac:dyDescent="0.25">
      <c r="A118" s="44" t="s">
        <v>890</v>
      </c>
      <c r="B118" s="46">
        <v>45268</v>
      </c>
      <c r="C118" s="40">
        <v>1416</v>
      </c>
      <c r="D118" s="35" t="s">
        <v>431</v>
      </c>
      <c r="E118" s="39" t="s">
        <v>891</v>
      </c>
      <c r="F118" s="36" t="s">
        <v>431</v>
      </c>
      <c r="G118" s="37" t="s">
        <v>431</v>
      </c>
      <c r="H118" s="40" t="s">
        <v>431</v>
      </c>
      <c r="I118" s="40" t="s">
        <v>892</v>
      </c>
      <c r="J118" s="54">
        <v>2719716153</v>
      </c>
      <c r="K118" s="54">
        <v>2719716153</v>
      </c>
      <c r="L118" s="54"/>
      <c r="M118" s="54"/>
      <c r="N118" s="42">
        <f t="shared" si="16"/>
        <v>100</v>
      </c>
      <c r="O118" s="43">
        <f t="shared" si="11"/>
        <v>2719716153</v>
      </c>
      <c r="P118" s="41"/>
      <c r="Q118" s="43">
        <f t="shared" si="17"/>
        <v>2719716153</v>
      </c>
      <c r="R118" s="41">
        <v>0</v>
      </c>
      <c r="S118" s="30">
        <f t="shared" si="20"/>
        <v>0</v>
      </c>
      <c r="T118" s="30">
        <f t="shared" si="19"/>
        <v>0</v>
      </c>
      <c r="U118" s="30" t="e">
        <f>T118/X118</f>
        <v>#DIV/0!</v>
      </c>
      <c r="V118" s="41" t="e">
        <f>T118/X118</f>
        <v>#DIV/0!</v>
      </c>
      <c r="W118" s="41" t="e">
        <f>V118*AU118</f>
        <v>#DIV/0!</v>
      </c>
      <c r="X118" s="41">
        <v>0</v>
      </c>
      <c r="Y118" s="41">
        <v>0</v>
      </c>
      <c r="Z118" s="41">
        <v>0</v>
      </c>
      <c r="AA118" s="41">
        <v>0</v>
      </c>
      <c r="AB118" s="41"/>
      <c r="AC118" s="41" t="e">
        <f t="shared" si="8"/>
        <v>#DIV/0!</v>
      </c>
      <c r="AD118" s="41"/>
      <c r="AE118" s="41" t="e">
        <f t="shared" si="9"/>
        <v>#DIV/0!</v>
      </c>
      <c r="AF118" s="41" t="e">
        <f>X118/AU118</f>
        <v>#DIV/0!</v>
      </c>
      <c r="AG118" s="41" t="e">
        <f t="shared" si="15"/>
        <v>#DIV/0!</v>
      </c>
      <c r="AH118" s="36">
        <v>45352</v>
      </c>
      <c r="AI118" s="36">
        <v>45427</v>
      </c>
      <c r="AJ118" s="36">
        <v>45458</v>
      </c>
      <c r="AK118" s="36"/>
      <c r="AL118" s="36"/>
      <c r="AM118" s="46"/>
      <c r="AN118" s="40"/>
      <c r="AO118" s="40"/>
      <c r="AP118" s="40"/>
      <c r="AQ118" s="40"/>
      <c r="AR118" s="48"/>
      <c r="AS118" s="37"/>
      <c r="AT118" s="37"/>
      <c r="AU118" s="47"/>
      <c r="AV118" s="37"/>
      <c r="AW118" s="37">
        <v>10</v>
      </c>
      <c r="AX118" s="30">
        <f>(J118*10)/100</f>
        <v>271971615.30000001</v>
      </c>
      <c r="AY118" s="40" t="s">
        <v>431</v>
      </c>
    </row>
    <row r="119" spans="1:51" ht="75" x14ac:dyDescent="0.25">
      <c r="A119" s="44" t="s">
        <v>893</v>
      </c>
      <c r="B119" s="46">
        <v>45268</v>
      </c>
      <c r="C119" s="40">
        <v>1416</v>
      </c>
      <c r="D119" s="35" t="s">
        <v>431</v>
      </c>
      <c r="E119" s="39" t="s">
        <v>894</v>
      </c>
      <c r="F119" s="36" t="s">
        <v>431</v>
      </c>
      <c r="G119" s="37" t="s">
        <v>431</v>
      </c>
      <c r="H119" s="40" t="s">
        <v>431</v>
      </c>
      <c r="I119" s="40" t="s">
        <v>895</v>
      </c>
      <c r="J119" s="54">
        <v>360840</v>
      </c>
      <c r="K119" s="54">
        <v>360840</v>
      </c>
      <c r="L119" s="54"/>
      <c r="M119" s="54"/>
      <c r="N119" s="42">
        <f t="shared" si="16"/>
        <v>100</v>
      </c>
      <c r="O119" s="43">
        <f t="shared" si="11"/>
        <v>360840</v>
      </c>
      <c r="P119" s="41"/>
      <c r="Q119" s="43">
        <f t="shared" si="17"/>
        <v>360840</v>
      </c>
      <c r="R119" s="41">
        <v>0</v>
      </c>
      <c r="S119" s="30">
        <f t="shared" si="20"/>
        <v>0</v>
      </c>
      <c r="T119" s="30">
        <f t="shared" si="19"/>
        <v>0</v>
      </c>
      <c r="U119" s="30" t="e">
        <f>T119/X119</f>
        <v>#DIV/0!</v>
      </c>
      <c r="V119" s="41" t="e">
        <f>T119/X119</f>
        <v>#DIV/0!</v>
      </c>
      <c r="W119" s="41" t="e">
        <f>V119*AU119</f>
        <v>#DIV/0!</v>
      </c>
      <c r="X119" s="41">
        <v>0</v>
      </c>
      <c r="Y119" s="41">
        <v>0</v>
      </c>
      <c r="Z119" s="41">
        <v>0</v>
      </c>
      <c r="AA119" s="41">
        <v>0</v>
      </c>
      <c r="AB119" s="41"/>
      <c r="AC119" s="41" t="e">
        <f t="shared" si="8"/>
        <v>#DIV/0!</v>
      </c>
      <c r="AD119" s="41"/>
      <c r="AE119" s="41" t="e">
        <f t="shared" si="9"/>
        <v>#DIV/0!</v>
      </c>
      <c r="AF119" s="41" t="e">
        <f>X119/AU119</f>
        <v>#DIV/0!</v>
      </c>
      <c r="AG119" s="41" t="e">
        <f t="shared" si="15"/>
        <v>#DIV/0!</v>
      </c>
      <c r="AH119" s="36">
        <v>45323</v>
      </c>
      <c r="AI119" s="36"/>
      <c r="AJ119" s="36"/>
      <c r="AK119" s="36"/>
      <c r="AL119" s="36"/>
      <c r="AM119" s="46"/>
      <c r="AN119" s="40"/>
      <c r="AO119" s="40"/>
      <c r="AP119" s="40"/>
      <c r="AQ119" s="40"/>
      <c r="AR119" s="48"/>
      <c r="AS119" s="37"/>
      <c r="AT119" s="37"/>
      <c r="AU119" s="47"/>
      <c r="AV119" s="37"/>
      <c r="AW119" s="37">
        <v>10</v>
      </c>
      <c r="AX119" s="30">
        <f>(J119*10)/100</f>
        <v>36084</v>
      </c>
      <c r="AY119" s="40" t="s">
        <v>431</v>
      </c>
    </row>
    <row r="120" spans="1:51" ht="75" x14ac:dyDescent="0.25">
      <c r="A120" s="44" t="s">
        <v>896</v>
      </c>
      <c r="B120" s="46">
        <v>45268</v>
      </c>
      <c r="C120" s="40">
        <v>1416</v>
      </c>
      <c r="D120" s="35" t="s">
        <v>897</v>
      </c>
      <c r="E120" s="39" t="s">
        <v>898</v>
      </c>
      <c r="F120" s="36">
        <v>45300</v>
      </c>
      <c r="G120" s="37" t="s">
        <v>899</v>
      </c>
      <c r="H120" s="57" t="s">
        <v>203</v>
      </c>
      <c r="I120" s="40" t="s">
        <v>900</v>
      </c>
      <c r="J120" s="54">
        <v>16921827.09</v>
      </c>
      <c r="K120" s="54">
        <v>16921827.09</v>
      </c>
      <c r="L120" s="54">
        <v>0</v>
      </c>
      <c r="M120" s="54">
        <v>0</v>
      </c>
      <c r="N120" s="42">
        <f t="shared" si="16"/>
        <v>90.109767928139249</v>
      </c>
      <c r="O120" s="43">
        <f t="shared" si="11"/>
        <v>15248219.119999999</v>
      </c>
      <c r="P120" s="41">
        <v>1673607.97</v>
      </c>
      <c r="Q120" s="43">
        <f t="shared" si="17"/>
        <v>15248219.119999999</v>
      </c>
      <c r="R120" s="41">
        <v>1673607.97</v>
      </c>
      <c r="S120" s="30">
        <v>1672673.31</v>
      </c>
      <c r="T120" s="30">
        <f t="shared" si="19"/>
        <v>1672673.31</v>
      </c>
      <c r="U120" s="30">
        <f>T120/X120</f>
        <v>92.51</v>
      </c>
      <c r="V120" s="41">
        <f>T120/X120</f>
        <v>92.51</v>
      </c>
      <c r="W120" s="41">
        <f>V120*AU120</f>
        <v>1942.71</v>
      </c>
      <c r="X120" s="41">
        <v>18081</v>
      </c>
      <c r="Y120" s="41">
        <v>18081</v>
      </c>
      <c r="Z120" s="41">
        <v>0</v>
      </c>
      <c r="AA120" s="41">
        <v>0</v>
      </c>
      <c r="AB120" s="41">
        <v>0</v>
      </c>
      <c r="AC120" s="41">
        <f t="shared" si="8"/>
        <v>0</v>
      </c>
      <c r="AD120" s="41">
        <v>18081</v>
      </c>
      <c r="AE120" s="41">
        <f t="shared" si="9"/>
        <v>1672673.31</v>
      </c>
      <c r="AF120" s="41">
        <f>X120/AU120</f>
        <v>861</v>
      </c>
      <c r="AG120" s="41">
        <f t="shared" si="15"/>
        <v>861</v>
      </c>
      <c r="AH120" s="36">
        <v>45323</v>
      </c>
      <c r="AI120" s="36"/>
      <c r="AJ120" s="36"/>
      <c r="AK120" s="36">
        <v>45352</v>
      </c>
      <c r="AL120" s="36"/>
      <c r="AM120" s="46"/>
      <c r="AN120" s="40" t="s">
        <v>901</v>
      </c>
      <c r="AO120" s="40" t="s">
        <v>902</v>
      </c>
      <c r="AP120" s="40" t="s">
        <v>903</v>
      </c>
      <c r="AQ120" s="40" t="s">
        <v>80</v>
      </c>
      <c r="AR120" s="48">
        <v>100</v>
      </c>
      <c r="AS120" s="37">
        <v>0</v>
      </c>
      <c r="AT120" s="37" t="s">
        <v>386</v>
      </c>
      <c r="AU120" s="47">
        <v>21</v>
      </c>
      <c r="AV120" s="37" t="s">
        <v>219</v>
      </c>
      <c r="AW120" s="37">
        <v>10</v>
      </c>
      <c r="AX120" s="30">
        <f>(J120*10)/100</f>
        <v>1692182.709</v>
      </c>
      <c r="AY120" s="40" t="s">
        <v>402</v>
      </c>
    </row>
    <row r="121" spans="1:51" ht="87.75" customHeight="1" x14ac:dyDescent="0.25">
      <c r="A121" s="44" t="s">
        <v>904</v>
      </c>
      <c r="B121" s="46">
        <v>45268</v>
      </c>
      <c r="C121" s="40">
        <v>1416</v>
      </c>
      <c r="D121" s="35" t="s">
        <v>905</v>
      </c>
      <c r="E121" s="39" t="s">
        <v>906</v>
      </c>
      <c r="F121" s="36">
        <v>45289</v>
      </c>
      <c r="G121" s="37" t="s">
        <v>907</v>
      </c>
      <c r="H121" s="40" t="s">
        <v>86</v>
      </c>
      <c r="I121" s="40" t="s">
        <v>908</v>
      </c>
      <c r="J121" s="54">
        <v>9649710</v>
      </c>
      <c r="K121" s="54" t="s">
        <v>909</v>
      </c>
      <c r="L121" s="54" t="s">
        <v>909</v>
      </c>
      <c r="M121" s="54">
        <v>0</v>
      </c>
      <c r="N121" s="42">
        <f t="shared" si="16"/>
        <v>0</v>
      </c>
      <c r="O121" s="43">
        <f t="shared" si="11"/>
        <v>0</v>
      </c>
      <c r="P121" s="41">
        <v>9649710</v>
      </c>
      <c r="Q121" s="43">
        <v>0</v>
      </c>
      <c r="R121" s="41">
        <v>4824855</v>
      </c>
      <c r="S121" s="30">
        <f>R121</f>
        <v>4824855</v>
      </c>
      <c r="T121" s="30">
        <v>9649710</v>
      </c>
      <c r="U121" s="30">
        <f>T121/X121</f>
        <v>7.42</v>
      </c>
      <c r="V121" s="41">
        <f>T121/X121</f>
        <v>7.42</v>
      </c>
      <c r="W121" s="41">
        <f>V121*AU121</f>
        <v>1855</v>
      </c>
      <c r="X121" s="41">
        <v>1300500</v>
      </c>
      <c r="Y121" s="41">
        <f>283000+150750</f>
        <v>433750</v>
      </c>
      <c r="Z121" s="41">
        <f>141250+75250</f>
        <v>216500</v>
      </c>
      <c r="AA121" s="41"/>
      <c r="AB121" s="41">
        <f>283000+141250</f>
        <v>424250</v>
      </c>
      <c r="AC121" s="41">
        <f t="shared" si="8"/>
        <v>3147935</v>
      </c>
      <c r="AD121" s="41">
        <f>150750+75250</f>
        <v>226000</v>
      </c>
      <c r="AE121" s="41">
        <f t="shared" si="9"/>
        <v>1676920</v>
      </c>
      <c r="AF121" s="41">
        <f>X121/AU121</f>
        <v>5202</v>
      </c>
      <c r="AG121" s="41">
        <f t="shared" si="15"/>
        <v>5202</v>
      </c>
      <c r="AH121" s="36">
        <v>45352</v>
      </c>
      <c r="AI121" s="36">
        <v>45565</v>
      </c>
      <c r="AJ121" s="36">
        <v>45717</v>
      </c>
      <c r="AK121" s="36">
        <v>45383</v>
      </c>
      <c r="AL121" s="36">
        <v>45597</v>
      </c>
      <c r="AM121" s="46">
        <v>45748</v>
      </c>
      <c r="AN121" s="40" t="s">
        <v>910</v>
      </c>
      <c r="AO121" s="40" t="s">
        <v>911</v>
      </c>
      <c r="AP121" s="40" t="s">
        <v>912</v>
      </c>
      <c r="AQ121" s="40" t="s">
        <v>913</v>
      </c>
      <c r="AR121" s="48">
        <v>0</v>
      </c>
      <c r="AS121" s="37">
        <v>100</v>
      </c>
      <c r="AT121" s="37" t="s">
        <v>93</v>
      </c>
      <c r="AU121" s="47">
        <v>250</v>
      </c>
      <c r="AV121" s="37" t="s">
        <v>60</v>
      </c>
      <c r="AW121" s="37">
        <v>10</v>
      </c>
      <c r="AX121" s="30">
        <f>(J121*10)/100</f>
        <v>964971</v>
      </c>
      <c r="AY121" s="40" t="s">
        <v>402</v>
      </c>
    </row>
    <row r="122" spans="1:51" ht="78.75" x14ac:dyDescent="0.25">
      <c r="A122" s="44" t="s">
        <v>914</v>
      </c>
      <c r="B122" s="46">
        <v>45268</v>
      </c>
      <c r="C122" s="40">
        <v>1416</v>
      </c>
      <c r="D122" s="35" t="s">
        <v>915</v>
      </c>
      <c r="E122" s="39" t="s">
        <v>916</v>
      </c>
      <c r="F122" s="36">
        <v>45303</v>
      </c>
      <c r="G122" s="37" t="s">
        <v>917</v>
      </c>
      <c r="H122" s="40" t="s">
        <v>139</v>
      </c>
      <c r="I122" s="40" t="s">
        <v>918</v>
      </c>
      <c r="J122" s="54">
        <v>4389001226.3999996</v>
      </c>
      <c r="K122" s="54">
        <v>4389001226.3999996</v>
      </c>
      <c r="L122" s="54">
        <v>0</v>
      </c>
      <c r="M122" s="54">
        <v>0</v>
      </c>
      <c r="N122" s="42">
        <f t="shared" si="16"/>
        <v>0</v>
      </c>
      <c r="O122" s="43">
        <f t="shared" si="11"/>
        <v>0</v>
      </c>
      <c r="P122" s="41">
        <v>4389001226.3999996</v>
      </c>
      <c r="Q122" s="43">
        <f t="shared" ref="Q122:Q185" si="21">J122-R122</f>
        <v>0</v>
      </c>
      <c r="R122" s="41">
        <v>4389001226.3999996</v>
      </c>
      <c r="S122" s="30">
        <f>R122</f>
        <v>4389001226.3999996</v>
      </c>
      <c r="T122" s="30">
        <f>S122</f>
        <v>4389001226.3999996</v>
      </c>
      <c r="U122" s="30">
        <f>T122/X122</f>
        <v>9102.7899999999991</v>
      </c>
      <c r="V122" s="41">
        <f>T122/X122</f>
        <v>9102.7899999999991</v>
      </c>
      <c r="W122" s="41">
        <f>V122*AU122</f>
        <v>273083.69999999995</v>
      </c>
      <c r="X122" s="41">
        <v>482160</v>
      </c>
      <c r="Y122" s="41">
        <v>482160</v>
      </c>
      <c r="Z122" s="41">
        <v>0</v>
      </c>
      <c r="AA122" s="41">
        <v>0</v>
      </c>
      <c r="AB122" s="41">
        <v>275430</v>
      </c>
      <c r="AC122" s="41">
        <f t="shared" si="8"/>
        <v>2507181449.6999998</v>
      </c>
      <c r="AD122" s="41">
        <v>206730</v>
      </c>
      <c r="AE122" s="41">
        <f t="shared" si="9"/>
        <v>1881819776.6999998</v>
      </c>
      <c r="AF122" s="41">
        <f>X122/AU122</f>
        <v>16072</v>
      </c>
      <c r="AG122" s="41">
        <f t="shared" si="15"/>
        <v>16072</v>
      </c>
      <c r="AH122" s="36">
        <v>45381</v>
      </c>
      <c r="AI122" s="36"/>
      <c r="AJ122" s="36"/>
      <c r="AK122" s="36">
        <v>45413</v>
      </c>
      <c r="AL122" s="36"/>
      <c r="AM122" s="46"/>
      <c r="AN122" s="40" t="s">
        <v>919</v>
      </c>
      <c r="AO122" s="40" t="s">
        <v>920</v>
      </c>
      <c r="AP122" s="40" t="s">
        <v>921</v>
      </c>
      <c r="AQ122" s="40" t="s">
        <v>80</v>
      </c>
      <c r="AR122" s="48">
        <v>100</v>
      </c>
      <c r="AS122" s="37">
        <v>0</v>
      </c>
      <c r="AT122" s="37" t="s">
        <v>81</v>
      </c>
      <c r="AU122" s="47">
        <v>30</v>
      </c>
      <c r="AV122" s="37" t="s">
        <v>60</v>
      </c>
      <c r="AW122" s="37">
        <v>10</v>
      </c>
      <c r="AX122" s="30">
        <f>(J122*10)/100</f>
        <v>438900122.63999999</v>
      </c>
      <c r="AY122" s="40" t="s">
        <v>402</v>
      </c>
    </row>
    <row r="123" spans="1:51" ht="75" x14ac:dyDescent="0.25">
      <c r="A123" s="44" t="s">
        <v>922</v>
      </c>
      <c r="B123" s="46">
        <v>45268</v>
      </c>
      <c r="C123" s="40">
        <v>1416</v>
      </c>
      <c r="D123" s="35" t="s">
        <v>923</v>
      </c>
      <c r="E123" s="39" t="s">
        <v>924</v>
      </c>
      <c r="F123" s="36">
        <v>45300</v>
      </c>
      <c r="G123" s="37" t="s">
        <v>925</v>
      </c>
      <c r="H123" s="40" t="s">
        <v>213</v>
      </c>
      <c r="I123" s="40" t="s">
        <v>926</v>
      </c>
      <c r="J123" s="54">
        <v>14067507.300000001</v>
      </c>
      <c r="K123" s="54">
        <v>14067507.300000001</v>
      </c>
      <c r="L123" s="54">
        <v>0</v>
      </c>
      <c r="M123" s="54">
        <v>0</v>
      </c>
      <c r="N123" s="42">
        <f t="shared" si="16"/>
        <v>95.026197711658554</v>
      </c>
      <c r="O123" s="43">
        <f t="shared" si="11"/>
        <v>13367817.300000001</v>
      </c>
      <c r="P123" s="41">
        <v>699690</v>
      </c>
      <c r="Q123" s="43">
        <f t="shared" si="21"/>
        <v>13367817.300000001</v>
      </c>
      <c r="R123" s="41">
        <v>699690</v>
      </c>
      <c r="S123" s="30">
        <v>699649.44</v>
      </c>
      <c r="T123" s="30">
        <f>S123</f>
        <v>699649.44</v>
      </c>
      <c r="U123" s="30">
        <f>T123/X123</f>
        <v>220.64</v>
      </c>
      <c r="V123" s="41">
        <f>T123/X123</f>
        <v>220.64</v>
      </c>
      <c r="W123" s="41">
        <f>V123*AU123</f>
        <v>4633.4399999999996</v>
      </c>
      <c r="X123" s="41">
        <v>3171</v>
      </c>
      <c r="Y123" s="41">
        <v>3171</v>
      </c>
      <c r="Z123" s="41">
        <v>0</v>
      </c>
      <c r="AA123" s="41">
        <v>0</v>
      </c>
      <c r="AB123" s="41">
        <v>0</v>
      </c>
      <c r="AC123" s="41">
        <f t="shared" si="8"/>
        <v>0</v>
      </c>
      <c r="AD123" s="41">
        <v>3171</v>
      </c>
      <c r="AE123" s="41">
        <f t="shared" si="9"/>
        <v>699649.44</v>
      </c>
      <c r="AF123" s="41">
        <f>X123/AU123</f>
        <v>151</v>
      </c>
      <c r="AG123" s="41">
        <f t="shared" si="15"/>
        <v>151</v>
      </c>
      <c r="AH123" s="36">
        <v>45383</v>
      </c>
      <c r="AI123" s="36"/>
      <c r="AJ123" s="36"/>
      <c r="AK123" s="36">
        <v>45413</v>
      </c>
      <c r="AL123" s="36"/>
      <c r="AM123" s="46"/>
      <c r="AN123" s="40" t="s">
        <v>216</v>
      </c>
      <c r="AO123" s="40" t="s">
        <v>236</v>
      </c>
      <c r="AP123" s="40" t="s">
        <v>218</v>
      </c>
      <c r="AQ123" s="40" t="s">
        <v>80</v>
      </c>
      <c r="AR123" s="48">
        <v>100</v>
      </c>
      <c r="AS123" s="37">
        <v>0</v>
      </c>
      <c r="AT123" s="37" t="s">
        <v>386</v>
      </c>
      <c r="AU123" s="47">
        <v>21</v>
      </c>
      <c r="AV123" s="37" t="s">
        <v>219</v>
      </c>
      <c r="AW123" s="37">
        <v>10</v>
      </c>
      <c r="AX123" s="30">
        <f>(J123*10)/100</f>
        <v>1406750.73</v>
      </c>
      <c r="AY123" s="40" t="s">
        <v>402</v>
      </c>
    </row>
    <row r="124" spans="1:51" ht="108" customHeight="1" x14ac:dyDescent="0.25">
      <c r="A124" s="44" t="s">
        <v>927</v>
      </c>
      <c r="B124" s="46">
        <v>45268</v>
      </c>
      <c r="C124" s="40">
        <v>1416</v>
      </c>
      <c r="D124" s="35" t="s">
        <v>928</v>
      </c>
      <c r="E124" s="39" t="s">
        <v>929</v>
      </c>
      <c r="F124" s="36">
        <v>45289</v>
      </c>
      <c r="G124" s="37" t="s">
        <v>930</v>
      </c>
      <c r="H124" s="40" t="s">
        <v>86</v>
      </c>
      <c r="I124" s="40" t="s">
        <v>931</v>
      </c>
      <c r="J124" s="54">
        <v>41731032</v>
      </c>
      <c r="K124" s="54">
        <v>41731032</v>
      </c>
      <c r="L124" s="54">
        <v>0</v>
      </c>
      <c r="M124" s="54">
        <v>0</v>
      </c>
      <c r="N124" s="42">
        <f t="shared" si="16"/>
        <v>0</v>
      </c>
      <c r="O124" s="43">
        <f t="shared" si="11"/>
        <v>0</v>
      </c>
      <c r="P124" s="41">
        <v>41731032</v>
      </c>
      <c r="Q124" s="43">
        <f t="shared" si="21"/>
        <v>0</v>
      </c>
      <c r="R124" s="41">
        <v>41731032</v>
      </c>
      <c r="S124" s="30">
        <f t="shared" ref="S124:T146" si="22">R124</f>
        <v>41731032</v>
      </c>
      <c r="T124" s="30">
        <f>S124</f>
        <v>41731032</v>
      </c>
      <c r="U124" s="30">
        <f>T124/X124</f>
        <v>24.92</v>
      </c>
      <c r="V124" s="41">
        <f>T124/X124</f>
        <v>24.92</v>
      </c>
      <c r="W124" s="41">
        <f>V124*AU124</f>
        <v>14952.000000000002</v>
      </c>
      <c r="X124" s="41">
        <f>Y124+Z124+AA124</f>
        <v>1674600</v>
      </c>
      <c r="Y124" s="41">
        <v>1134600</v>
      </c>
      <c r="Z124" s="41">
        <v>540000</v>
      </c>
      <c r="AA124" s="41">
        <v>0</v>
      </c>
      <c r="AB124" s="41">
        <v>0</v>
      </c>
      <c r="AC124" s="41">
        <f t="shared" si="8"/>
        <v>0</v>
      </c>
      <c r="AD124" s="41">
        <f>1134600+540000</f>
        <v>1674600</v>
      </c>
      <c r="AE124" s="41">
        <f t="shared" si="9"/>
        <v>41731032</v>
      </c>
      <c r="AF124" s="41">
        <f>X124/AU124</f>
        <v>2791</v>
      </c>
      <c r="AG124" s="41">
        <f t="shared" si="15"/>
        <v>2791</v>
      </c>
      <c r="AH124" s="36">
        <v>45323</v>
      </c>
      <c r="AI124" s="36">
        <v>45412</v>
      </c>
      <c r="AJ124" s="36"/>
      <c r="AK124" s="36">
        <v>45352</v>
      </c>
      <c r="AL124" s="36">
        <v>45444</v>
      </c>
      <c r="AM124" s="46"/>
      <c r="AN124" s="40" t="s">
        <v>677</v>
      </c>
      <c r="AO124" s="40" t="s">
        <v>932</v>
      </c>
      <c r="AP124" s="40" t="s">
        <v>679</v>
      </c>
      <c r="AQ124" s="40" t="s">
        <v>92</v>
      </c>
      <c r="AR124" s="48">
        <v>0</v>
      </c>
      <c r="AS124" s="37">
        <v>100</v>
      </c>
      <c r="AT124" s="37" t="s">
        <v>93</v>
      </c>
      <c r="AU124" s="47">
        <v>600</v>
      </c>
      <c r="AV124" s="37" t="s">
        <v>60</v>
      </c>
      <c r="AW124" s="37">
        <v>10</v>
      </c>
      <c r="AX124" s="30">
        <f>(J124*10)/100</f>
        <v>4173103.2</v>
      </c>
      <c r="AY124" s="40" t="s">
        <v>325</v>
      </c>
    </row>
    <row r="125" spans="1:51" ht="75" x14ac:dyDescent="0.25">
      <c r="A125" s="44" t="s">
        <v>933</v>
      </c>
      <c r="B125" s="46">
        <v>45268</v>
      </c>
      <c r="C125" s="40">
        <v>1416</v>
      </c>
      <c r="D125" s="37" t="s">
        <v>493</v>
      </c>
      <c r="E125" s="39" t="s">
        <v>934</v>
      </c>
      <c r="F125" s="37" t="s">
        <v>493</v>
      </c>
      <c r="G125" s="37" t="s">
        <v>493</v>
      </c>
      <c r="H125" s="37" t="s">
        <v>493</v>
      </c>
      <c r="I125" s="40" t="s">
        <v>935</v>
      </c>
      <c r="J125" s="54">
        <v>468865320</v>
      </c>
      <c r="K125" s="54">
        <v>468865320</v>
      </c>
      <c r="L125" s="54"/>
      <c r="M125" s="54"/>
      <c r="N125" s="42">
        <f t="shared" si="16"/>
        <v>100</v>
      </c>
      <c r="O125" s="43">
        <f t="shared" si="11"/>
        <v>468865320</v>
      </c>
      <c r="P125" s="41"/>
      <c r="Q125" s="43">
        <f t="shared" si="21"/>
        <v>468865320</v>
      </c>
      <c r="R125" s="41">
        <v>0</v>
      </c>
      <c r="S125" s="30">
        <f t="shared" si="22"/>
        <v>0</v>
      </c>
      <c r="T125" s="30">
        <f>S125</f>
        <v>0</v>
      </c>
      <c r="U125" s="30" t="e">
        <f>T125/X125</f>
        <v>#DIV/0!</v>
      </c>
      <c r="V125" s="41" t="e">
        <f>T125/X125</f>
        <v>#DIV/0!</v>
      </c>
      <c r="W125" s="41" t="e">
        <f>V125*AU125</f>
        <v>#DIV/0!</v>
      </c>
      <c r="X125" s="41">
        <v>0</v>
      </c>
      <c r="Y125" s="41">
        <v>0</v>
      </c>
      <c r="Z125" s="41">
        <v>0</v>
      </c>
      <c r="AA125" s="41">
        <v>0</v>
      </c>
      <c r="AB125" s="41"/>
      <c r="AC125" s="41" t="e">
        <f t="shared" si="8"/>
        <v>#DIV/0!</v>
      </c>
      <c r="AD125" s="41"/>
      <c r="AE125" s="41" t="e">
        <f t="shared" si="9"/>
        <v>#DIV/0!</v>
      </c>
      <c r="AF125" s="41" t="e">
        <f>X125/AU125</f>
        <v>#DIV/0!</v>
      </c>
      <c r="AG125" s="41" t="e">
        <f t="shared" si="15"/>
        <v>#DIV/0!</v>
      </c>
      <c r="AH125" s="36">
        <v>45352</v>
      </c>
      <c r="AI125" s="36">
        <v>45565</v>
      </c>
      <c r="AJ125" s="36">
        <v>45717</v>
      </c>
      <c r="AK125" s="36"/>
      <c r="AL125" s="36"/>
      <c r="AM125" s="46"/>
      <c r="AN125" s="40"/>
      <c r="AO125" s="40"/>
      <c r="AP125" s="40"/>
      <c r="AQ125" s="40"/>
      <c r="AR125" s="48"/>
      <c r="AS125" s="37"/>
      <c r="AT125" s="37"/>
      <c r="AU125" s="47"/>
      <c r="AV125" s="37"/>
      <c r="AW125" s="37">
        <v>10</v>
      </c>
      <c r="AX125" s="30">
        <f>(J125*10)/100</f>
        <v>46886532</v>
      </c>
      <c r="AY125" s="40" t="s">
        <v>431</v>
      </c>
    </row>
    <row r="126" spans="1:51" ht="114.75" customHeight="1" x14ac:dyDescent="0.25">
      <c r="A126" s="44" t="s">
        <v>936</v>
      </c>
      <c r="B126" s="46">
        <v>45268</v>
      </c>
      <c r="C126" s="40">
        <v>1416</v>
      </c>
      <c r="D126" s="35" t="s">
        <v>937</v>
      </c>
      <c r="E126" s="39" t="s">
        <v>938</v>
      </c>
      <c r="F126" s="36">
        <v>45289</v>
      </c>
      <c r="G126" s="37" t="s">
        <v>939</v>
      </c>
      <c r="H126" s="40" t="s">
        <v>139</v>
      </c>
      <c r="I126" s="40" t="s">
        <v>940</v>
      </c>
      <c r="J126" s="54">
        <v>85205610</v>
      </c>
      <c r="K126" s="54">
        <v>85205610</v>
      </c>
      <c r="L126" s="54">
        <v>0</v>
      </c>
      <c r="M126" s="54">
        <v>0</v>
      </c>
      <c r="N126" s="42">
        <f t="shared" si="16"/>
        <v>0</v>
      </c>
      <c r="O126" s="43">
        <f t="shared" si="11"/>
        <v>0</v>
      </c>
      <c r="P126" s="41">
        <v>85205610</v>
      </c>
      <c r="Q126" s="43">
        <f t="shared" si="21"/>
        <v>0</v>
      </c>
      <c r="R126" s="41">
        <v>85205610</v>
      </c>
      <c r="S126" s="30">
        <f t="shared" si="22"/>
        <v>85205610</v>
      </c>
      <c r="T126" s="30">
        <f>S126</f>
        <v>85205610</v>
      </c>
      <c r="U126" s="30">
        <f>T126/X126</f>
        <v>12.51</v>
      </c>
      <c r="V126" s="41">
        <f>T126/X126</f>
        <v>12.51</v>
      </c>
      <c r="W126" s="41">
        <f>V126*AU126</f>
        <v>6255</v>
      </c>
      <c r="X126" s="41">
        <v>6811000</v>
      </c>
      <c r="Y126" s="41">
        <f>6551000+260000</f>
        <v>6811000</v>
      </c>
      <c r="Z126" s="41">
        <v>0</v>
      </c>
      <c r="AA126" s="41">
        <v>0</v>
      </c>
      <c r="AB126" s="41">
        <v>260000</v>
      </c>
      <c r="AC126" s="41">
        <f t="shared" si="8"/>
        <v>3252600</v>
      </c>
      <c r="AD126" s="41">
        <v>6551000</v>
      </c>
      <c r="AE126" s="41">
        <f t="shared" si="9"/>
        <v>81953010</v>
      </c>
      <c r="AF126" s="41">
        <f>X126/AU126</f>
        <v>13622</v>
      </c>
      <c r="AG126" s="41">
        <f t="shared" si="15"/>
        <v>13622</v>
      </c>
      <c r="AH126" s="36">
        <v>45381</v>
      </c>
      <c r="AI126" s="36"/>
      <c r="AJ126" s="36"/>
      <c r="AK126" s="36">
        <v>45413</v>
      </c>
      <c r="AL126" s="36"/>
      <c r="AM126" s="46"/>
      <c r="AN126" s="40" t="s">
        <v>941</v>
      </c>
      <c r="AO126" s="40" t="s">
        <v>942</v>
      </c>
      <c r="AP126" s="40" t="s">
        <v>943</v>
      </c>
      <c r="AQ126" s="40" t="s">
        <v>80</v>
      </c>
      <c r="AR126" s="48">
        <v>100</v>
      </c>
      <c r="AS126" s="37">
        <v>0</v>
      </c>
      <c r="AT126" s="37" t="s">
        <v>93</v>
      </c>
      <c r="AU126" s="47">
        <v>500</v>
      </c>
      <c r="AV126" s="37" t="s">
        <v>60</v>
      </c>
      <c r="AW126" s="37">
        <v>10</v>
      </c>
      <c r="AX126" s="30">
        <f>(J126*10)/100</f>
        <v>8520561</v>
      </c>
      <c r="AY126" s="40" t="s">
        <v>402</v>
      </c>
    </row>
    <row r="127" spans="1:51" ht="75" x14ac:dyDescent="0.25">
      <c r="A127" s="44" t="s">
        <v>944</v>
      </c>
      <c r="B127" s="46">
        <v>45268</v>
      </c>
      <c r="C127" s="40">
        <v>1416</v>
      </c>
      <c r="D127" s="35" t="s">
        <v>945</v>
      </c>
      <c r="E127" s="39" t="s">
        <v>946</v>
      </c>
      <c r="F127" s="36">
        <v>45310</v>
      </c>
      <c r="G127" s="37" t="s">
        <v>947</v>
      </c>
      <c r="H127" s="40" t="s">
        <v>139</v>
      </c>
      <c r="I127" s="40" t="s">
        <v>948</v>
      </c>
      <c r="J127" s="54">
        <v>6881444100</v>
      </c>
      <c r="K127" s="54">
        <v>3440722050</v>
      </c>
      <c r="L127" s="54">
        <v>3440722050</v>
      </c>
      <c r="M127" s="54">
        <v>0</v>
      </c>
      <c r="N127" s="42">
        <f t="shared" si="16"/>
        <v>0</v>
      </c>
      <c r="O127" s="43">
        <f t="shared" si="11"/>
        <v>0</v>
      </c>
      <c r="P127" s="41">
        <v>6881444100</v>
      </c>
      <c r="Q127" s="43">
        <f t="shared" si="21"/>
        <v>3440722050</v>
      </c>
      <c r="R127" s="41">
        <v>3440722050</v>
      </c>
      <c r="S127" s="30">
        <f t="shared" si="22"/>
        <v>3440722050</v>
      </c>
      <c r="T127" s="30">
        <v>6881444100</v>
      </c>
      <c r="U127" s="30">
        <f>T127/X127</f>
        <v>5594.67</v>
      </c>
      <c r="V127" s="41">
        <f>T127/X127</f>
        <v>5594.67</v>
      </c>
      <c r="W127" s="41">
        <f>V127*AU127</f>
        <v>83920.05</v>
      </c>
      <c r="X127" s="41">
        <v>1230000</v>
      </c>
      <c r="Y127" s="41">
        <f>1660+377840</f>
        <v>379500</v>
      </c>
      <c r="Z127" s="41">
        <v>235500</v>
      </c>
      <c r="AA127" s="41">
        <v>0</v>
      </c>
      <c r="AB127" s="41">
        <v>1660</v>
      </c>
      <c r="AC127" s="41">
        <f t="shared" si="8"/>
        <v>9287152.1999999993</v>
      </c>
      <c r="AD127" s="41">
        <f>377840+235500</f>
        <v>613340</v>
      </c>
      <c r="AE127" s="41">
        <f t="shared" si="9"/>
        <v>3431434897.8000002</v>
      </c>
      <c r="AF127" s="41">
        <f>X127/AU127</f>
        <v>82000</v>
      </c>
      <c r="AG127" s="41">
        <f t="shared" si="15"/>
        <v>82000</v>
      </c>
      <c r="AH127" s="36">
        <v>45397</v>
      </c>
      <c r="AI127" s="36">
        <v>45474</v>
      </c>
      <c r="AJ127" s="36" t="s">
        <v>949</v>
      </c>
      <c r="AK127" s="36">
        <v>45427</v>
      </c>
      <c r="AL127" s="36">
        <v>45505</v>
      </c>
      <c r="AM127" s="46" t="s">
        <v>950</v>
      </c>
      <c r="AN127" s="40" t="s">
        <v>951</v>
      </c>
      <c r="AO127" s="40" t="s">
        <v>952</v>
      </c>
      <c r="AP127" s="40" t="s">
        <v>953</v>
      </c>
      <c r="AQ127" s="40" t="s">
        <v>92</v>
      </c>
      <c r="AR127" s="48">
        <v>0</v>
      </c>
      <c r="AS127" s="37">
        <v>100</v>
      </c>
      <c r="AT127" s="37" t="s">
        <v>81</v>
      </c>
      <c r="AU127" s="47">
        <v>15</v>
      </c>
      <c r="AV127" s="37" t="s">
        <v>60</v>
      </c>
      <c r="AW127" s="37">
        <v>10</v>
      </c>
      <c r="AX127" s="30">
        <f>(J127*10)/100</f>
        <v>688144410</v>
      </c>
      <c r="AY127" s="40" t="s">
        <v>402</v>
      </c>
    </row>
    <row r="128" spans="1:51" ht="75" x14ac:dyDescent="0.25">
      <c r="A128" s="44" t="s">
        <v>954</v>
      </c>
      <c r="B128" s="46">
        <v>45268</v>
      </c>
      <c r="C128" s="40">
        <v>1416</v>
      </c>
      <c r="D128" s="35" t="s">
        <v>955</v>
      </c>
      <c r="E128" s="39" t="s">
        <v>956</v>
      </c>
      <c r="F128" s="36">
        <v>45289</v>
      </c>
      <c r="G128" s="37" t="s">
        <v>957</v>
      </c>
      <c r="H128" s="40" t="s">
        <v>319</v>
      </c>
      <c r="I128" s="40" t="s">
        <v>958</v>
      </c>
      <c r="J128" s="54">
        <v>41597582.399999999</v>
      </c>
      <c r="K128" s="54">
        <v>41597582.399999999</v>
      </c>
      <c r="L128" s="54">
        <v>0</v>
      </c>
      <c r="M128" s="54">
        <v>0</v>
      </c>
      <c r="N128" s="42">
        <f t="shared" si="16"/>
        <v>0</v>
      </c>
      <c r="O128" s="43">
        <f t="shared" si="11"/>
        <v>0</v>
      </c>
      <c r="P128" s="41">
        <v>41597582.399999999</v>
      </c>
      <c r="Q128" s="43">
        <f t="shared" si="21"/>
        <v>0</v>
      </c>
      <c r="R128" s="41">
        <v>41597582.399999999</v>
      </c>
      <c r="S128" s="30">
        <f t="shared" si="22"/>
        <v>41597582.399999999</v>
      </c>
      <c r="T128" s="30">
        <f t="shared" si="22"/>
        <v>41597582.399999999</v>
      </c>
      <c r="U128" s="30">
        <f>T128/X128</f>
        <v>16048.449999999999</v>
      </c>
      <c r="V128" s="41">
        <f>T128/X128</f>
        <v>16048.449999999999</v>
      </c>
      <c r="W128" s="41">
        <f>V128*AU128</f>
        <v>57774.42</v>
      </c>
      <c r="X128" s="41">
        <v>2592</v>
      </c>
      <c r="Y128" s="41">
        <v>2592</v>
      </c>
      <c r="Z128" s="41">
        <v>0</v>
      </c>
      <c r="AA128" s="41">
        <v>0</v>
      </c>
      <c r="AB128" s="41">
        <v>1976.4</v>
      </c>
      <c r="AC128" s="41">
        <f t="shared" si="8"/>
        <v>31718156.579999998</v>
      </c>
      <c r="AD128" s="41">
        <v>615.6</v>
      </c>
      <c r="AE128" s="41">
        <f t="shared" si="9"/>
        <v>9879425.8200000003</v>
      </c>
      <c r="AF128" s="41">
        <f>X128/AU128</f>
        <v>720</v>
      </c>
      <c r="AG128" s="41">
        <f t="shared" si="15"/>
        <v>720</v>
      </c>
      <c r="AH128" s="36">
        <v>45323</v>
      </c>
      <c r="AI128" s="36"/>
      <c r="AJ128" s="36"/>
      <c r="AK128" s="36">
        <v>45352</v>
      </c>
      <c r="AL128" s="36"/>
      <c r="AM128" s="46"/>
      <c r="AN128" s="40" t="s">
        <v>261</v>
      </c>
      <c r="AO128" s="40" t="s">
        <v>959</v>
      </c>
      <c r="AP128" s="40" t="s">
        <v>960</v>
      </c>
      <c r="AQ128" s="40" t="s">
        <v>92</v>
      </c>
      <c r="AR128" s="48">
        <v>0</v>
      </c>
      <c r="AS128" s="37">
        <v>100</v>
      </c>
      <c r="AT128" s="37">
        <v>100</v>
      </c>
      <c r="AU128" s="52">
        <v>3.6</v>
      </c>
      <c r="AV128" s="37" t="s">
        <v>60</v>
      </c>
      <c r="AW128" s="37">
        <v>10</v>
      </c>
      <c r="AX128" s="30">
        <f>(J128*10)/100</f>
        <v>4159758.24</v>
      </c>
      <c r="AY128" s="40" t="s">
        <v>402</v>
      </c>
    </row>
    <row r="129" spans="1:51" ht="75" x14ac:dyDescent="0.25">
      <c r="A129" s="44" t="s">
        <v>961</v>
      </c>
      <c r="B129" s="46">
        <v>45268</v>
      </c>
      <c r="C129" s="40">
        <v>1416</v>
      </c>
      <c r="D129" s="35"/>
      <c r="E129" s="39" t="s">
        <v>962</v>
      </c>
      <c r="F129" s="36"/>
      <c r="G129" s="37"/>
      <c r="H129" s="40"/>
      <c r="I129" s="40" t="s">
        <v>710</v>
      </c>
      <c r="J129" s="54">
        <v>2676317280</v>
      </c>
      <c r="K129" s="54">
        <v>2676317280</v>
      </c>
      <c r="L129" s="54"/>
      <c r="M129" s="54"/>
      <c r="N129" s="42">
        <f t="shared" si="16"/>
        <v>100</v>
      </c>
      <c r="O129" s="43">
        <f t="shared" si="11"/>
        <v>2676317280</v>
      </c>
      <c r="P129" s="41"/>
      <c r="Q129" s="43">
        <f t="shared" si="21"/>
        <v>2676317280</v>
      </c>
      <c r="R129" s="41">
        <v>0</v>
      </c>
      <c r="S129" s="30">
        <f t="shared" si="22"/>
        <v>0</v>
      </c>
      <c r="T129" s="30">
        <f t="shared" si="22"/>
        <v>0</v>
      </c>
      <c r="U129" s="30" t="e">
        <f>T129/X129</f>
        <v>#DIV/0!</v>
      </c>
      <c r="V129" s="41" t="e">
        <f>T129/X129</f>
        <v>#DIV/0!</v>
      </c>
      <c r="W129" s="41" t="e">
        <f>V129*AU129</f>
        <v>#DIV/0!</v>
      </c>
      <c r="X129" s="41">
        <v>0</v>
      </c>
      <c r="Y129" s="41">
        <v>0</v>
      </c>
      <c r="Z129" s="41">
        <v>0</v>
      </c>
      <c r="AA129" s="41">
        <v>0</v>
      </c>
      <c r="AB129" s="41"/>
      <c r="AC129" s="41" t="e">
        <f t="shared" si="8"/>
        <v>#DIV/0!</v>
      </c>
      <c r="AD129" s="41"/>
      <c r="AE129" s="41" t="e">
        <f t="shared" si="9"/>
        <v>#DIV/0!</v>
      </c>
      <c r="AF129" s="41" t="e">
        <f>X129/AU129</f>
        <v>#DIV/0!</v>
      </c>
      <c r="AG129" s="41" t="e">
        <f t="shared" si="15"/>
        <v>#DIV/0!</v>
      </c>
      <c r="AH129" s="36">
        <v>45352</v>
      </c>
      <c r="AI129" s="36">
        <v>45504</v>
      </c>
      <c r="AJ129" s="36">
        <v>45717</v>
      </c>
      <c r="AK129" s="36"/>
      <c r="AL129" s="36"/>
      <c r="AM129" s="46"/>
      <c r="AN129" s="40"/>
      <c r="AO129" s="40"/>
      <c r="AP129" s="40"/>
      <c r="AQ129" s="40"/>
      <c r="AR129" s="48"/>
      <c r="AS129" s="37"/>
      <c r="AT129" s="37"/>
      <c r="AU129" s="47"/>
      <c r="AV129" s="37"/>
      <c r="AW129" s="37">
        <v>10</v>
      </c>
      <c r="AX129" s="30">
        <f>(J129*10)/100</f>
        <v>267631728</v>
      </c>
      <c r="AY129" s="40" t="s">
        <v>431</v>
      </c>
    </row>
    <row r="130" spans="1:51" ht="75" x14ac:dyDescent="0.25">
      <c r="A130" s="44" t="s">
        <v>963</v>
      </c>
      <c r="B130" s="46">
        <v>45268</v>
      </c>
      <c r="C130" s="40">
        <v>1416</v>
      </c>
      <c r="D130" s="35"/>
      <c r="E130" s="39" t="s">
        <v>964</v>
      </c>
      <c r="F130" s="36"/>
      <c r="G130" s="37"/>
      <c r="H130" s="40"/>
      <c r="I130" s="40" t="s">
        <v>965</v>
      </c>
      <c r="J130" s="54">
        <v>13163854000</v>
      </c>
      <c r="K130" s="54">
        <v>13163854000</v>
      </c>
      <c r="L130" s="54"/>
      <c r="M130" s="54"/>
      <c r="N130" s="42">
        <f t="shared" si="16"/>
        <v>100</v>
      </c>
      <c r="O130" s="43">
        <f t="shared" si="11"/>
        <v>13163854000</v>
      </c>
      <c r="P130" s="41"/>
      <c r="Q130" s="43">
        <f t="shared" si="21"/>
        <v>13163854000</v>
      </c>
      <c r="R130" s="41">
        <v>0</v>
      </c>
      <c r="S130" s="30">
        <f t="shared" si="22"/>
        <v>0</v>
      </c>
      <c r="T130" s="30">
        <f t="shared" si="22"/>
        <v>0</v>
      </c>
      <c r="U130" s="30" t="e">
        <f>T130/X130</f>
        <v>#DIV/0!</v>
      </c>
      <c r="V130" s="41" t="e">
        <f>T130/X130</f>
        <v>#DIV/0!</v>
      </c>
      <c r="W130" s="41" t="e">
        <f>V130*AU130</f>
        <v>#DIV/0!</v>
      </c>
      <c r="X130" s="41">
        <v>0</v>
      </c>
      <c r="Y130" s="41">
        <v>0</v>
      </c>
      <c r="Z130" s="41">
        <v>0</v>
      </c>
      <c r="AA130" s="41">
        <v>0</v>
      </c>
      <c r="AB130" s="41"/>
      <c r="AC130" s="41" t="e">
        <f t="shared" si="8"/>
        <v>#DIV/0!</v>
      </c>
      <c r="AD130" s="41"/>
      <c r="AE130" s="41" t="e">
        <f t="shared" si="9"/>
        <v>#DIV/0!</v>
      </c>
      <c r="AF130" s="41" t="e">
        <f>X130/AU130</f>
        <v>#DIV/0!</v>
      </c>
      <c r="AG130" s="41" t="e">
        <f t="shared" si="15"/>
        <v>#DIV/0!</v>
      </c>
      <c r="AH130" s="36">
        <v>45352</v>
      </c>
      <c r="AI130" s="36">
        <v>45717</v>
      </c>
      <c r="AJ130" s="36"/>
      <c r="AK130" s="36"/>
      <c r="AL130" s="36"/>
      <c r="AM130" s="46"/>
      <c r="AN130" s="40"/>
      <c r="AO130" s="40"/>
      <c r="AP130" s="40"/>
      <c r="AQ130" s="40"/>
      <c r="AR130" s="48"/>
      <c r="AS130" s="37"/>
      <c r="AT130" s="37"/>
      <c r="AU130" s="47"/>
      <c r="AV130" s="37"/>
      <c r="AW130" s="37">
        <v>10</v>
      </c>
      <c r="AX130" s="30">
        <f>(J130*10)/100</f>
        <v>1316385400</v>
      </c>
      <c r="AY130" s="40" t="s">
        <v>431</v>
      </c>
    </row>
    <row r="131" spans="1:51" ht="93" customHeight="1" x14ac:dyDescent="0.25">
      <c r="A131" s="44" t="s">
        <v>966</v>
      </c>
      <c r="B131" s="46">
        <v>45271</v>
      </c>
      <c r="C131" s="40">
        <v>1416</v>
      </c>
      <c r="D131" s="35" t="s">
        <v>967</v>
      </c>
      <c r="E131" s="39" t="s">
        <v>968</v>
      </c>
      <c r="F131" s="36">
        <v>45307</v>
      </c>
      <c r="G131" s="37" t="s">
        <v>969</v>
      </c>
      <c r="H131" s="40" t="s">
        <v>139</v>
      </c>
      <c r="I131" s="40" t="s">
        <v>970</v>
      </c>
      <c r="J131" s="54">
        <v>522671220</v>
      </c>
      <c r="K131" s="54">
        <v>522671220</v>
      </c>
      <c r="L131" s="54">
        <v>0</v>
      </c>
      <c r="M131" s="54">
        <v>0</v>
      </c>
      <c r="N131" s="42">
        <f t="shared" si="16"/>
        <v>0</v>
      </c>
      <c r="O131" s="43">
        <f t="shared" si="11"/>
        <v>0</v>
      </c>
      <c r="P131" s="54">
        <v>522671220</v>
      </c>
      <c r="Q131" s="43">
        <f t="shared" si="21"/>
        <v>0</v>
      </c>
      <c r="R131" s="54">
        <v>522671220</v>
      </c>
      <c r="S131" s="30">
        <f t="shared" si="22"/>
        <v>522671220</v>
      </c>
      <c r="T131" s="30">
        <f t="shared" si="22"/>
        <v>522671220</v>
      </c>
      <c r="U131" s="30">
        <f>T131/X131</f>
        <v>12.38</v>
      </c>
      <c r="V131" s="41">
        <f>T131/X131</f>
        <v>12.38</v>
      </c>
      <c r="W131" s="41">
        <f>V131*AU131</f>
        <v>12380</v>
      </c>
      <c r="X131" s="41">
        <v>42219000</v>
      </c>
      <c r="Y131" s="41">
        <v>42219000</v>
      </c>
      <c r="Z131" s="41">
        <v>0</v>
      </c>
      <c r="AA131" s="41">
        <v>0</v>
      </c>
      <c r="AB131" s="41">
        <v>1393000</v>
      </c>
      <c r="AC131" s="41">
        <f t="shared" si="8"/>
        <v>17245340</v>
      </c>
      <c r="AD131" s="41">
        <v>40826000</v>
      </c>
      <c r="AE131" s="41">
        <f t="shared" si="9"/>
        <v>505425880.00000006</v>
      </c>
      <c r="AF131" s="41">
        <f>X131/AU131</f>
        <v>42219</v>
      </c>
      <c r="AG131" s="41">
        <f t="shared" si="15"/>
        <v>42219</v>
      </c>
      <c r="AH131" s="36">
        <v>45381</v>
      </c>
      <c r="AI131" s="36"/>
      <c r="AJ131" s="36"/>
      <c r="AK131" s="36">
        <v>45413</v>
      </c>
      <c r="AL131" s="36"/>
      <c r="AM131" s="46"/>
      <c r="AN131" s="40" t="s">
        <v>971</v>
      </c>
      <c r="AO131" s="40" t="s">
        <v>972</v>
      </c>
      <c r="AP131" s="40" t="s">
        <v>973</v>
      </c>
      <c r="AQ131" s="40" t="s">
        <v>80</v>
      </c>
      <c r="AR131" s="48">
        <v>100</v>
      </c>
      <c r="AS131" s="37">
        <v>0</v>
      </c>
      <c r="AT131" s="37" t="s">
        <v>93</v>
      </c>
      <c r="AU131" s="47">
        <v>1000</v>
      </c>
      <c r="AV131" s="37" t="s">
        <v>60</v>
      </c>
      <c r="AW131" s="37">
        <v>10</v>
      </c>
      <c r="AX131" s="30">
        <f>(J131*10)/100</f>
        <v>52267122</v>
      </c>
      <c r="AY131" s="40" t="s">
        <v>402</v>
      </c>
    </row>
    <row r="132" spans="1:51" ht="102.75" customHeight="1" x14ac:dyDescent="0.25">
      <c r="A132" s="44" t="s">
        <v>974</v>
      </c>
      <c r="B132" s="46">
        <v>45271</v>
      </c>
      <c r="C132" s="40">
        <v>1416</v>
      </c>
      <c r="D132" s="35" t="s">
        <v>975</v>
      </c>
      <c r="E132" s="39" t="s">
        <v>976</v>
      </c>
      <c r="F132" s="36">
        <v>45300</v>
      </c>
      <c r="G132" s="37" t="s">
        <v>977</v>
      </c>
      <c r="H132" s="40" t="s">
        <v>224</v>
      </c>
      <c r="I132" s="40" t="s">
        <v>978</v>
      </c>
      <c r="J132" s="54">
        <v>220214728.80000001</v>
      </c>
      <c r="K132" s="54">
        <v>220214728.80000001</v>
      </c>
      <c r="L132" s="54">
        <v>0</v>
      </c>
      <c r="M132" s="54">
        <v>0</v>
      </c>
      <c r="N132" s="42">
        <f t="shared" si="16"/>
        <v>0.50007063832690279</v>
      </c>
      <c r="O132" s="43">
        <f t="shared" si="11"/>
        <v>1101229.2000000179</v>
      </c>
      <c r="P132" s="41">
        <v>219113499.59999999</v>
      </c>
      <c r="Q132" s="43">
        <f t="shared" si="21"/>
        <v>1101229.2000000179</v>
      </c>
      <c r="R132" s="41">
        <v>219113499.59999999</v>
      </c>
      <c r="S132" s="30">
        <f t="shared" si="22"/>
        <v>219113499.59999999</v>
      </c>
      <c r="T132" s="30">
        <f t="shared" si="22"/>
        <v>219113499.59999999</v>
      </c>
      <c r="U132" s="30">
        <f>T132/X132</f>
        <v>4084.89</v>
      </c>
      <c r="V132" s="41">
        <f>T132/X132</f>
        <v>4084.89</v>
      </c>
      <c r="W132" s="41">
        <f>V132*AU132</f>
        <v>4084.89</v>
      </c>
      <c r="X132" s="41">
        <v>53640</v>
      </c>
      <c r="Y132" s="41">
        <v>53640</v>
      </c>
      <c r="Z132" s="41">
        <v>0</v>
      </c>
      <c r="AA132" s="41">
        <v>0</v>
      </c>
      <c r="AB132" s="41">
        <v>0</v>
      </c>
      <c r="AC132" s="41">
        <f t="shared" ref="AC132:AC195" si="23">AB132*V132</f>
        <v>0</v>
      </c>
      <c r="AD132" s="41">
        <v>53640</v>
      </c>
      <c r="AE132" s="41">
        <f t="shared" ref="AE132:AE195" si="24">AD132*V132</f>
        <v>219113499.59999999</v>
      </c>
      <c r="AF132" s="41">
        <f>X132/AU132</f>
        <v>53640</v>
      </c>
      <c r="AG132" s="41">
        <f t="shared" si="15"/>
        <v>53640</v>
      </c>
      <c r="AH132" s="36">
        <v>45352</v>
      </c>
      <c r="AI132" s="36"/>
      <c r="AJ132" s="36"/>
      <c r="AK132" s="36">
        <v>45383</v>
      </c>
      <c r="AL132" s="36"/>
      <c r="AM132" s="46"/>
      <c r="AN132" s="40" t="s">
        <v>979</v>
      </c>
      <c r="AO132" s="40" t="s">
        <v>980</v>
      </c>
      <c r="AP132" s="40" t="s">
        <v>981</v>
      </c>
      <c r="AQ132" s="40" t="s">
        <v>80</v>
      </c>
      <c r="AR132" s="48">
        <v>100</v>
      </c>
      <c r="AS132" s="37">
        <v>0</v>
      </c>
      <c r="AT132" s="37" t="s">
        <v>386</v>
      </c>
      <c r="AU132" s="47">
        <v>1</v>
      </c>
      <c r="AV132" s="37" t="s">
        <v>60</v>
      </c>
      <c r="AW132" s="37">
        <v>10</v>
      </c>
      <c r="AX132" s="30">
        <f>(J132*10)/100</f>
        <v>22021472.879999999</v>
      </c>
      <c r="AY132" s="40" t="s">
        <v>402</v>
      </c>
    </row>
    <row r="133" spans="1:51" ht="116.25" customHeight="1" x14ac:dyDescent="0.25">
      <c r="A133" s="44" t="s">
        <v>982</v>
      </c>
      <c r="B133" s="46">
        <v>45273</v>
      </c>
      <c r="C133" s="40">
        <v>1416</v>
      </c>
      <c r="D133" s="35" t="s">
        <v>983</v>
      </c>
      <c r="E133" s="39" t="s">
        <v>984</v>
      </c>
      <c r="F133" s="36">
        <v>45303</v>
      </c>
      <c r="G133" s="37" t="s">
        <v>985</v>
      </c>
      <c r="H133" s="40" t="s">
        <v>139</v>
      </c>
      <c r="I133" s="40" t="s">
        <v>986</v>
      </c>
      <c r="J133" s="54">
        <v>158125500</v>
      </c>
      <c r="K133" s="54">
        <v>158125500</v>
      </c>
      <c r="L133" s="54">
        <v>0</v>
      </c>
      <c r="M133" s="54">
        <v>0</v>
      </c>
      <c r="N133" s="42">
        <f t="shared" si="16"/>
        <v>0</v>
      </c>
      <c r="O133" s="43">
        <f t="shared" si="11"/>
        <v>0</v>
      </c>
      <c r="P133" s="41">
        <v>158125500</v>
      </c>
      <c r="Q133" s="43">
        <f t="shared" si="21"/>
        <v>0</v>
      </c>
      <c r="R133" s="41">
        <v>158125500</v>
      </c>
      <c r="S133" s="30">
        <f t="shared" si="22"/>
        <v>158125500</v>
      </c>
      <c r="T133" s="30">
        <f t="shared" si="22"/>
        <v>158125500</v>
      </c>
      <c r="U133" s="30">
        <f>T133/X133</f>
        <v>11.05</v>
      </c>
      <c r="V133" s="41">
        <f>T133/X133</f>
        <v>11.05</v>
      </c>
      <c r="W133" s="41">
        <f>V133*AU133</f>
        <v>22100</v>
      </c>
      <c r="X133" s="41">
        <v>14310000</v>
      </c>
      <c r="Y133" s="41">
        <v>14310000</v>
      </c>
      <c r="Z133" s="41">
        <v>0</v>
      </c>
      <c r="AA133" s="41">
        <v>0</v>
      </c>
      <c r="AB133" s="41">
        <v>216000</v>
      </c>
      <c r="AC133" s="41">
        <f t="shared" si="23"/>
        <v>2386800</v>
      </c>
      <c r="AD133" s="41">
        <v>14094000</v>
      </c>
      <c r="AE133" s="41">
        <f t="shared" si="24"/>
        <v>155738700</v>
      </c>
      <c r="AF133" s="41">
        <f>X133/AU133</f>
        <v>7155</v>
      </c>
      <c r="AG133" s="41">
        <f t="shared" si="15"/>
        <v>7155</v>
      </c>
      <c r="AH133" s="36">
        <v>45381</v>
      </c>
      <c r="AI133" s="36"/>
      <c r="AJ133" s="36"/>
      <c r="AK133" s="36">
        <v>45413</v>
      </c>
      <c r="AL133" s="36"/>
      <c r="AM133" s="46"/>
      <c r="AN133" s="40" t="s">
        <v>987</v>
      </c>
      <c r="AO133" s="40" t="s">
        <v>988</v>
      </c>
      <c r="AP133" s="40" t="s">
        <v>989</v>
      </c>
      <c r="AQ133" s="40" t="s">
        <v>80</v>
      </c>
      <c r="AR133" s="48">
        <v>100</v>
      </c>
      <c r="AS133" s="37">
        <v>0</v>
      </c>
      <c r="AT133" s="37" t="s">
        <v>93</v>
      </c>
      <c r="AU133" s="47">
        <v>2000</v>
      </c>
      <c r="AV133" s="37" t="s">
        <v>60</v>
      </c>
      <c r="AW133" s="37">
        <v>10</v>
      </c>
      <c r="AX133" s="30">
        <f>(J133*10)/100</f>
        <v>15812550</v>
      </c>
      <c r="AY133" s="40" t="s">
        <v>402</v>
      </c>
    </row>
    <row r="134" spans="1:51" ht="75" x14ac:dyDescent="0.25">
      <c r="A134" s="44" t="s">
        <v>990</v>
      </c>
      <c r="B134" s="46">
        <v>45273</v>
      </c>
      <c r="C134" s="40">
        <v>1416</v>
      </c>
      <c r="D134" s="35" t="s">
        <v>991</v>
      </c>
      <c r="E134" s="39" t="s">
        <v>992</v>
      </c>
      <c r="F134" s="36">
        <v>45300</v>
      </c>
      <c r="G134" s="37" t="s">
        <v>993</v>
      </c>
      <c r="H134" s="40" t="s">
        <v>356</v>
      </c>
      <c r="I134" s="40" t="s">
        <v>994</v>
      </c>
      <c r="J134" s="54">
        <v>206377759.94</v>
      </c>
      <c r="K134" s="54">
        <v>206377759.94</v>
      </c>
      <c r="L134" s="54">
        <v>0</v>
      </c>
      <c r="M134" s="54">
        <v>0</v>
      </c>
      <c r="N134" s="42">
        <f t="shared" si="16"/>
        <v>0</v>
      </c>
      <c r="O134" s="43">
        <f t="shared" si="11"/>
        <v>0</v>
      </c>
      <c r="P134" s="41">
        <v>206377759.94</v>
      </c>
      <c r="Q134" s="43">
        <f t="shared" si="21"/>
        <v>0</v>
      </c>
      <c r="R134" s="41">
        <v>206377759.94</v>
      </c>
      <c r="S134" s="30">
        <f t="shared" si="22"/>
        <v>206377759.94</v>
      </c>
      <c r="T134" s="30">
        <f t="shared" si="22"/>
        <v>206377759.94</v>
      </c>
      <c r="U134" s="30">
        <f>T134/X134</f>
        <v>52768.54</v>
      </c>
      <c r="V134" s="41">
        <f>T134/X134</f>
        <v>52768.54</v>
      </c>
      <c r="W134" s="41">
        <f>V134*AU134</f>
        <v>52768.54</v>
      </c>
      <c r="X134" s="41">
        <v>3911</v>
      </c>
      <c r="Y134" s="41">
        <v>1326</v>
      </c>
      <c r="Z134" s="41">
        <v>2585</v>
      </c>
      <c r="AA134" s="41">
        <v>0</v>
      </c>
      <c r="AB134" s="41">
        <f>1174+2290</f>
        <v>3464</v>
      </c>
      <c r="AC134" s="41">
        <f t="shared" si="23"/>
        <v>182790222.56</v>
      </c>
      <c r="AD134" s="41">
        <f>152+295</f>
        <v>447</v>
      </c>
      <c r="AE134" s="41">
        <f t="shared" si="24"/>
        <v>23587537.379999999</v>
      </c>
      <c r="AF134" s="41">
        <f>X134/AU134</f>
        <v>3911</v>
      </c>
      <c r="AG134" s="41">
        <f t="shared" si="15"/>
        <v>3911</v>
      </c>
      <c r="AH134" s="36">
        <v>45366</v>
      </c>
      <c r="AI134" s="36">
        <v>45413</v>
      </c>
      <c r="AJ134" s="36"/>
      <c r="AK134" s="36">
        <v>45397</v>
      </c>
      <c r="AL134" s="36">
        <v>45458</v>
      </c>
      <c r="AM134" s="46"/>
      <c r="AN134" s="40" t="s">
        <v>732</v>
      </c>
      <c r="AO134" s="40" t="s">
        <v>995</v>
      </c>
      <c r="AP134" s="40" t="s">
        <v>734</v>
      </c>
      <c r="AQ134" s="40" t="s">
        <v>264</v>
      </c>
      <c r="AR134" s="48">
        <v>0</v>
      </c>
      <c r="AS134" s="37">
        <v>100</v>
      </c>
      <c r="AT134" s="37" t="s">
        <v>81</v>
      </c>
      <c r="AU134" s="47">
        <v>1</v>
      </c>
      <c r="AV134" s="37" t="s">
        <v>60</v>
      </c>
      <c r="AW134" s="37">
        <v>10</v>
      </c>
      <c r="AX134" s="30">
        <f>(J134*10)/100</f>
        <v>20637775.994000003</v>
      </c>
      <c r="AY134" s="40" t="s">
        <v>325</v>
      </c>
    </row>
    <row r="135" spans="1:51" ht="69" customHeight="1" x14ac:dyDescent="0.25">
      <c r="A135" s="44" t="s">
        <v>996</v>
      </c>
      <c r="B135" s="46">
        <v>45273</v>
      </c>
      <c r="C135" s="40" t="s">
        <v>432</v>
      </c>
      <c r="D135" s="35" t="s">
        <v>997</v>
      </c>
      <c r="E135" s="39" t="s">
        <v>998</v>
      </c>
      <c r="F135" s="36">
        <v>45310</v>
      </c>
      <c r="G135" s="37" t="s">
        <v>999</v>
      </c>
      <c r="H135" s="40" t="s">
        <v>139</v>
      </c>
      <c r="I135" s="40" t="s">
        <v>1000</v>
      </c>
      <c r="J135" s="54">
        <v>997835333.39999998</v>
      </c>
      <c r="K135" s="54">
        <v>997835333.39999998</v>
      </c>
      <c r="L135" s="54">
        <v>0</v>
      </c>
      <c r="M135" s="54">
        <v>0</v>
      </c>
      <c r="N135" s="42">
        <f t="shared" si="16"/>
        <v>0</v>
      </c>
      <c r="O135" s="43">
        <f t="shared" si="11"/>
        <v>0</v>
      </c>
      <c r="P135" s="41">
        <v>997835333.39999998</v>
      </c>
      <c r="Q135" s="43">
        <f t="shared" si="21"/>
        <v>0</v>
      </c>
      <c r="R135" s="41">
        <v>997835333.39999998</v>
      </c>
      <c r="S135" s="30">
        <f t="shared" si="22"/>
        <v>997835333.39999998</v>
      </c>
      <c r="T135" s="30">
        <f t="shared" si="22"/>
        <v>997835333.39999998</v>
      </c>
      <c r="U135" s="30">
        <f>T135/X135</f>
        <v>524.30999999999995</v>
      </c>
      <c r="V135" s="41">
        <f>T135/X135</f>
        <v>524.30999999999995</v>
      </c>
      <c r="W135" s="41">
        <f>V135*AU135</f>
        <v>15729.3</v>
      </c>
      <c r="X135" s="41">
        <f t="shared" ref="X135:X198" si="25">Y135+Z135+AA135</f>
        <v>1903140</v>
      </c>
      <c r="Y135" s="41">
        <v>1903140</v>
      </c>
      <c r="Z135" s="41">
        <v>0</v>
      </c>
      <c r="AA135" s="41">
        <v>0</v>
      </c>
      <c r="AB135" s="41"/>
      <c r="AC135" s="41">
        <f t="shared" si="23"/>
        <v>0</v>
      </c>
      <c r="AD135" s="41"/>
      <c r="AE135" s="41">
        <f t="shared" si="24"/>
        <v>0</v>
      </c>
      <c r="AF135" s="41">
        <f>X135/AU135</f>
        <v>63438</v>
      </c>
      <c r="AG135" s="41">
        <f t="shared" si="15"/>
        <v>63438</v>
      </c>
      <c r="AH135" s="36">
        <v>45397</v>
      </c>
      <c r="AI135" s="36"/>
      <c r="AJ135" s="36"/>
      <c r="AK135" s="36">
        <v>45427</v>
      </c>
      <c r="AL135" s="36"/>
      <c r="AM135" s="46"/>
      <c r="AN135" s="40" t="s">
        <v>1001</v>
      </c>
      <c r="AO135" s="40" t="s">
        <v>1002</v>
      </c>
      <c r="AP135" s="40" t="s">
        <v>1003</v>
      </c>
      <c r="AQ135" s="40" t="s">
        <v>58</v>
      </c>
      <c r="AR135" s="48">
        <v>0</v>
      </c>
      <c r="AS135" s="37">
        <v>100</v>
      </c>
      <c r="AT135" s="37" t="s">
        <v>386</v>
      </c>
      <c r="AU135" s="47">
        <v>30</v>
      </c>
      <c r="AV135" s="37" t="s">
        <v>60</v>
      </c>
      <c r="AW135" s="37">
        <v>10</v>
      </c>
      <c r="AX135" s="30">
        <f>(J135*10)/100</f>
        <v>99783533.340000004</v>
      </c>
      <c r="AY135" s="40" t="s">
        <v>402</v>
      </c>
    </row>
    <row r="136" spans="1:51" ht="69.75" customHeight="1" x14ac:dyDescent="0.25">
      <c r="A136" s="44" t="s">
        <v>1004</v>
      </c>
      <c r="B136" s="46">
        <v>45273</v>
      </c>
      <c r="C136" s="40" t="s">
        <v>432</v>
      </c>
      <c r="D136" s="35" t="s">
        <v>1005</v>
      </c>
      <c r="E136" s="39" t="s">
        <v>1006</v>
      </c>
      <c r="F136" s="36">
        <v>45309</v>
      </c>
      <c r="G136" s="37" t="s">
        <v>1007</v>
      </c>
      <c r="H136" s="40" t="s">
        <v>139</v>
      </c>
      <c r="I136" s="40" t="s">
        <v>1008</v>
      </c>
      <c r="J136" s="54">
        <v>433303291.19999999</v>
      </c>
      <c r="K136" s="54">
        <v>433303291.19999999</v>
      </c>
      <c r="L136" s="54">
        <v>0</v>
      </c>
      <c r="M136" s="54">
        <v>0</v>
      </c>
      <c r="N136" s="42">
        <f t="shared" si="16"/>
        <v>0</v>
      </c>
      <c r="O136" s="43">
        <f t="shared" ref="O136:O199" si="26">J136-P136</f>
        <v>0</v>
      </c>
      <c r="P136" s="41">
        <v>433303291.19999999</v>
      </c>
      <c r="Q136" s="43">
        <f t="shared" si="21"/>
        <v>0</v>
      </c>
      <c r="R136" s="41">
        <v>433303291.19999999</v>
      </c>
      <c r="S136" s="30">
        <f t="shared" si="22"/>
        <v>433303291.19999999</v>
      </c>
      <c r="T136" s="30">
        <f t="shared" si="22"/>
        <v>433303291.19999999</v>
      </c>
      <c r="U136" s="30">
        <f>T136/X136</f>
        <v>524.31999999999994</v>
      </c>
      <c r="V136" s="41">
        <f>T136/X136</f>
        <v>524.31999999999994</v>
      </c>
      <c r="W136" s="41">
        <f>V136*AU136</f>
        <v>15729.599999999999</v>
      </c>
      <c r="X136" s="41">
        <f t="shared" si="25"/>
        <v>826410</v>
      </c>
      <c r="Y136" s="41">
        <v>826410</v>
      </c>
      <c r="Z136" s="41">
        <v>0</v>
      </c>
      <c r="AA136" s="41">
        <v>0</v>
      </c>
      <c r="AB136" s="41"/>
      <c r="AC136" s="41">
        <f t="shared" si="23"/>
        <v>0</v>
      </c>
      <c r="AD136" s="41"/>
      <c r="AE136" s="41">
        <f t="shared" si="24"/>
        <v>0</v>
      </c>
      <c r="AF136" s="41">
        <f>X136/AU136</f>
        <v>27547</v>
      </c>
      <c r="AG136" s="41">
        <f t="shared" si="15"/>
        <v>27547</v>
      </c>
      <c r="AH136" s="36">
        <v>45397</v>
      </c>
      <c r="AI136" s="36"/>
      <c r="AJ136" s="36"/>
      <c r="AK136" s="36">
        <v>45427</v>
      </c>
      <c r="AL136" s="36"/>
      <c r="AM136" s="46"/>
      <c r="AN136" s="40" t="s">
        <v>1009</v>
      </c>
      <c r="AO136" s="40" t="s">
        <v>1010</v>
      </c>
      <c r="AP136" s="40" t="s">
        <v>1011</v>
      </c>
      <c r="AQ136" s="40" t="s">
        <v>58</v>
      </c>
      <c r="AR136" s="48">
        <v>0</v>
      </c>
      <c r="AS136" s="37">
        <v>100</v>
      </c>
      <c r="AT136" s="37" t="s">
        <v>386</v>
      </c>
      <c r="AU136" s="47">
        <v>30</v>
      </c>
      <c r="AV136" s="37" t="s">
        <v>60</v>
      </c>
      <c r="AW136" s="37">
        <v>10</v>
      </c>
      <c r="AX136" s="30">
        <f>(J136*10)/100</f>
        <v>43330329.119999997</v>
      </c>
      <c r="AY136" s="40" t="s">
        <v>402</v>
      </c>
    </row>
    <row r="137" spans="1:51" ht="117.75" customHeight="1" x14ac:dyDescent="0.25">
      <c r="A137" s="44" t="s">
        <v>1012</v>
      </c>
      <c r="B137" s="46">
        <v>45273</v>
      </c>
      <c r="C137" s="40">
        <v>1416</v>
      </c>
      <c r="D137" s="35" t="s">
        <v>1013</v>
      </c>
      <c r="E137" s="39" t="s">
        <v>1014</v>
      </c>
      <c r="F137" s="36">
        <v>45310</v>
      </c>
      <c r="G137" s="37" t="s">
        <v>1015</v>
      </c>
      <c r="H137" s="40" t="s">
        <v>1016</v>
      </c>
      <c r="I137" s="40" t="s">
        <v>1017</v>
      </c>
      <c r="J137" s="54">
        <v>1174571925</v>
      </c>
      <c r="K137" s="54">
        <v>1174571925</v>
      </c>
      <c r="L137" s="54">
        <v>0</v>
      </c>
      <c r="M137" s="54">
        <v>0</v>
      </c>
      <c r="N137" s="42">
        <f t="shared" si="16"/>
        <v>0</v>
      </c>
      <c r="O137" s="43">
        <f t="shared" si="26"/>
        <v>0</v>
      </c>
      <c r="P137" s="41">
        <v>1174571925</v>
      </c>
      <c r="Q137" s="43">
        <f t="shared" si="21"/>
        <v>0</v>
      </c>
      <c r="R137" s="41">
        <v>1174571925</v>
      </c>
      <c r="S137" s="30">
        <f t="shared" si="22"/>
        <v>1174571925</v>
      </c>
      <c r="T137" s="30">
        <f t="shared" si="22"/>
        <v>1174571925</v>
      </c>
      <c r="U137" s="30">
        <f>T137/X137</f>
        <v>18607.080000000002</v>
      </c>
      <c r="V137" s="41">
        <f>T137/X137</f>
        <v>18607.080000000002</v>
      </c>
      <c r="W137" s="41">
        <f>V137*AU137</f>
        <v>93035.400000000009</v>
      </c>
      <c r="X137" s="41">
        <f t="shared" si="25"/>
        <v>63125</v>
      </c>
      <c r="Y137" s="41">
        <f>11310+8690</f>
        <v>20000</v>
      </c>
      <c r="Z137" s="41">
        <f>24390+18735</f>
        <v>43125</v>
      </c>
      <c r="AA137" s="41">
        <v>0</v>
      </c>
      <c r="AB137" s="41">
        <f>11310+24390</f>
        <v>35700</v>
      </c>
      <c r="AC137" s="41">
        <f t="shared" si="23"/>
        <v>664272756.00000012</v>
      </c>
      <c r="AD137" s="41">
        <f>8690+18735</f>
        <v>27425</v>
      </c>
      <c r="AE137" s="41">
        <f t="shared" si="24"/>
        <v>510299169.00000006</v>
      </c>
      <c r="AF137" s="41">
        <f>X137/AU137</f>
        <v>12625</v>
      </c>
      <c r="AG137" s="41">
        <f t="shared" si="15"/>
        <v>12625</v>
      </c>
      <c r="AH137" s="36">
        <v>45443</v>
      </c>
      <c r="AI137" s="36">
        <v>45596</v>
      </c>
      <c r="AJ137" s="36"/>
      <c r="AK137" s="36">
        <v>45474</v>
      </c>
      <c r="AL137" s="36">
        <v>45627</v>
      </c>
      <c r="AM137" s="46"/>
      <c r="AN137" s="40" t="s">
        <v>1018</v>
      </c>
      <c r="AO137" s="40" t="s">
        <v>1019</v>
      </c>
      <c r="AP137" s="40" t="s">
        <v>1020</v>
      </c>
      <c r="AQ137" s="40" t="s">
        <v>92</v>
      </c>
      <c r="AR137" s="48">
        <v>0</v>
      </c>
      <c r="AS137" s="37">
        <v>100</v>
      </c>
      <c r="AT137" s="37" t="s">
        <v>81</v>
      </c>
      <c r="AU137" s="47">
        <v>5</v>
      </c>
      <c r="AV137" s="37" t="s">
        <v>60</v>
      </c>
      <c r="AW137" s="37">
        <v>10</v>
      </c>
      <c r="AX137" s="30">
        <f>(J137*10)/100</f>
        <v>117457192.5</v>
      </c>
      <c r="AY137" s="40" t="s">
        <v>402</v>
      </c>
    </row>
    <row r="138" spans="1:51" ht="94.5" x14ac:dyDescent="0.25">
      <c r="A138" s="44" t="s">
        <v>1021</v>
      </c>
      <c r="B138" s="46">
        <v>45274</v>
      </c>
      <c r="C138" s="40">
        <v>545</v>
      </c>
      <c r="D138" s="35" t="s">
        <v>1022</v>
      </c>
      <c r="E138" s="39" t="s">
        <v>1023</v>
      </c>
      <c r="F138" s="36">
        <v>45313</v>
      </c>
      <c r="G138" s="37" t="s">
        <v>1024</v>
      </c>
      <c r="H138" s="40" t="s">
        <v>319</v>
      </c>
      <c r="I138" s="40" t="s">
        <v>320</v>
      </c>
      <c r="J138" s="54">
        <v>675266099.20000005</v>
      </c>
      <c r="K138" s="54">
        <v>675266099.20000005</v>
      </c>
      <c r="L138" s="54">
        <v>0</v>
      </c>
      <c r="M138" s="54">
        <v>0</v>
      </c>
      <c r="N138" s="42">
        <f t="shared" si="16"/>
        <v>0</v>
      </c>
      <c r="O138" s="43">
        <f t="shared" si="26"/>
        <v>0</v>
      </c>
      <c r="P138" s="41">
        <v>675266099.20000005</v>
      </c>
      <c r="Q138" s="43">
        <f t="shared" si="21"/>
        <v>0</v>
      </c>
      <c r="R138" s="41">
        <v>675266099.20000005</v>
      </c>
      <c r="S138" s="30">
        <v>813936816</v>
      </c>
      <c r="T138" s="30">
        <f t="shared" si="22"/>
        <v>813936816</v>
      </c>
      <c r="U138" s="30">
        <f>T138/X138</f>
        <v>10766.36</v>
      </c>
      <c r="V138" s="41">
        <f>T138/X138</f>
        <v>10766.36</v>
      </c>
      <c r="W138" s="41">
        <f>V138*AU138</f>
        <v>1507290.4000000001</v>
      </c>
      <c r="X138" s="41">
        <f t="shared" si="25"/>
        <v>75600</v>
      </c>
      <c r="Y138" s="41">
        <v>43400</v>
      </c>
      <c r="Z138" s="41">
        <v>32200</v>
      </c>
      <c r="AA138" s="41">
        <v>0</v>
      </c>
      <c r="AB138" s="41">
        <v>0</v>
      </c>
      <c r="AC138" s="41">
        <f t="shared" si="23"/>
        <v>0</v>
      </c>
      <c r="AD138" s="41">
        <v>0</v>
      </c>
      <c r="AE138" s="41">
        <f t="shared" si="24"/>
        <v>0</v>
      </c>
      <c r="AF138" s="41">
        <f>X138/AU138</f>
        <v>540</v>
      </c>
      <c r="AG138" s="41">
        <f t="shared" si="15"/>
        <v>540</v>
      </c>
      <c r="AH138" s="36">
        <v>45444</v>
      </c>
      <c r="AI138" s="36">
        <v>45505</v>
      </c>
      <c r="AJ138" s="36"/>
      <c r="AK138" s="36">
        <v>45474</v>
      </c>
      <c r="AL138" s="36">
        <v>45536</v>
      </c>
      <c r="AM138" s="46"/>
      <c r="AN138" s="40" t="s">
        <v>321</v>
      </c>
      <c r="AO138" s="40" t="s">
        <v>322</v>
      </c>
      <c r="AP138" s="40" t="s">
        <v>323</v>
      </c>
      <c r="AQ138" s="40" t="s">
        <v>146</v>
      </c>
      <c r="AR138" s="48">
        <v>0</v>
      </c>
      <c r="AS138" s="37">
        <v>100</v>
      </c>
      <c r="AT138" s="37" t="s">
        <v>324</v>
      </c>
      <c r="AU138" s="47">
        <v>140</v>
      </c>
      <c r="AV138" s="37" t="s">
        <v>60</v>
      </c>
      <c r="AW138" s="37">
        <v>10</v>
      </c>
      <c r="AX138" s="30">
        <f>(J138*10)/100</f>
        <v>67526609.920000002</v>
      </c>
      <c r="AY138" s="40" t="s">
        <v>402</v>
      </c>
    </row>
    <row r="139" spans="1:51" ht="66" customHeight="1" x14ac:dyDescent="0.25">
      <c r="A139" s="44" t="s">
        <v>1025</v>
      </c>
      <c r="B139" s="46">
        <v>45274</v>
      </c>
      <c r="C139" s="40">
        <v>1416</v>
      </c>
      <c r="D139" s="35" t="s">
        <v>431</v>
      </c>
      <c r="E139" s="39" t="s">
        <v>1026</v>
      </c>
      <c r="F139" s="36" t="s">
        <v>431</v>
      </c>
      <c r="G139" s="37" t="s">
        <v>431</v>
      </c>
      <c r="H139" s="40" t="s">
        <v>431</v>
      </c>
      <c r="I139" s="40" t="s">
        <v>1027</v>
      </c>
      <c r="J139" s="54">
        <v>1379400</v>
      </c>
      <c r="K139" s="54">
        <v>1379400</v>
      </c>
      <c r="L139" s="54"/>
      <c r="M139" s="54"/>
      <c r="N139" s="42">
        <f t="shared" si="16"/>
        <v>100</v>
      </c>
      <c r="O139" s="43">
        <f t="shared" si="26"/>
        <v>1379400</v>
      </c>
      <c r="P139" s="41"/>
      <c r="Q139" s="43">
        <f t="shared" si="21"/>
        <v>1379400</v>
      </c>
      <c r="R139" s="41">
        <v>0</v>
      </c>
      <c r="S139" s="30">
        <f t="shared" si="22"/>
        <v>0</v>
      </c>
      <c r="T139" s="30">
        <f t="shared" si="22"/>
        <v>0</v>
      </c>
      <c r="U139" s="30" t="e">
        <f>T139/X139</f>
        <v>#DIV/0!</v>
      </c>
      <c r="V139" s="41" t="e">
        <f>T139/X139</f>
        <v>#DIV/0!</v>
      </c>
      <c r="W139" s="41" t="e">
        <f>V139*AU139</f>
        <v>#DIV/0!</v>
      </c>
      <c r="X139" s="41">
        <f t="shared" si="25"/>
        <v>0</v>
      </c>
      <c r="Y139" s="41">
        <v>0</v>
      </c>
      <c r="Z139" s="41">
        <v>0</v>
      </c>
      <c r="AA139" s="41">
        <v>0</v>
      </c>
      <c r="AB139" s="41"/>
      <c r="AC139" s="41" t="e">
        <f t="shared" si="23"/>
        <v>#DIV/0!</v>
      </c>
      <c r="AD139" s="41"/>
      <c r="AE139" s="41" t="e">
        <f t="shared" si="24"/>
        <v>#DIV/0!</v>
      </c>
      <c r="AF139" s="41" t="e">
        <f>X139/AU139</f>
        <v>#DIV/0!</v>
      </c>
      <c r="AG139" s="41" t="e">
        <f t="shared" si="15"/>
        <v>#DIV/0!</v>
      </c>
      <c r="AH139" s="36">
        <v>45352</v>
      </c>
      <c r="AI139" s="36"/>
      <c r="AJ139" s="36"/>
      <c r="AK139" s="36"/>
      <c r="AL139" s="36"/>
      <c r="AM139" s="46"/>
      <c r="AN139" s="40"/>
      <c r="AO139" s="40"/>
      <c r="AP139" s="40"/>
      <c r="AQ139" s="40"/>
      <c r="AR139" s="48"/>
      <c r="AS139" s="37"/>
      <c r="AT139" s="37"/>
      <c r="AU139" s="47"/>
      <c r="AV139" s="37"/>
      <c r="AW139" s="37">
        <v>10</v>
      </c>
      <c r="AX139" s="30">
        <f>(J139*10)/100</f>
        <v>137940</v>
      </c>
      <c r="AY139" s="40" t="s">
        <v>431</v>
      </c>
    </row>
    <row r="140" spans="1:51" ht="66" customHeight="1" x14ac:dyDescent="0.25">
      <c r="A140" s="44" t="s">
        <v>1028</v>
      </c>
      <c r="B140" s="46">
        <v>45275</v>
      </c>
      <c r="C140" s="40" t="s">
        <v>432</v>
      </c>
      <c r="D140" s="35" t="s">
        <v>1029</v>
      </c>
      <c r="E140" s="39" t="s">
        <v>1030</v>
      </c>
      <c r="F140" s="36">
        <v>45314</v>
      </c>
      <c r="G140" s="37" t="s">
        <v>1031</v>
      </c>
      <c r="H140" s="40" t="s">
        <v>810</v>
      </c>
      <c r="I140" s="40" t="s">
        <v>811</v>
      </c>
      <c r="J140" s="54">
        <v>1526748762</v>
      </c>
      <c r="K140" s="54">
        <v>1526748762</v>
      </c>
      <c r="L140" s="54">
        <v>0</v>
      </c>
      <c r="M140" s="54">
        <v>0</v>
      </c>
      <c r="N140" s="42">
        <f t="shared" si="16"/>
        <v>0</v>
      </c>
      <c r="O140" s="43">
        <f t="shared" si="26"/>
        <v>0</v>
      </c>
      <c r="P140" s="41">
        <v>1526748762</v>
      </c>
      <c r="Q140" s="43">
        <f t="shared" si="21"/>
        <v>0</v>
      </c>
      <c r="R140" s="41">
        <v>1526748762</v>
      </c>
      <c r="S140" s="30">
        <f t="shared" si="22"/>
        <v>1526748762</v>
      </c>
      <c r="T140" s="30">
        <f t="shared" si="22"/>
        <v>1526748762</v>
      </c>
      <c r="U140" s="30">
        <f>T140/X140</f>
        <v>204.82</v>
      </c>
      <c r="V140" s="41">
        <f>T140/X140</f>
        <v>204.82</v>
      </c>
      <c r="W140" s="41">
        <f>V140*AU140</f>
        <v>6144.5999999999995</v>
      </c>
      <c r="X140" s="41">
        <f t="shared" si="25"/>
        <v>7454100</v>
      </c>
      <c r="Y140" s="41">
        <v>7454100</v>
      </c>
      <c r="Z140" s="41">
        <v>0</v>
      </c>
      <c r="AA140" s="41">
        <v>0</v>
      </c>
      <c r="AB140" s="41"/>
      <c r="AC140" s="41">
        <f t="shared" si="23"/>
        <v>0</v>
      </c>
      <c r="AD140" s="41"/>
      <c r="AE140" s="41">
        <f t="shared" si="24"/>
        <v>0</v>
      </c>
      <c r="AF140" s="41">
        <f>X140/AU140</f>
        <v>248470</v>
      </c>
      <c r="AG140" s="41">
        <f t="shared" si="15"/>
        <v>248470</v>
      </c>
      <c r="AH140" s="36">
        <v>45383</v>
      </c>
      <c r="AI140" s="36"/>
      <c r="AJ140" s="36"/>
      <c r="AK140" s="36">
        <v>45413</v>
      </c>
      <c r="AL140" s="36"/>
      <c r="AM140" s="46"/>
      <c r="AN140" s="40" t="s">
        <v>1032</v>
      </c>
      <c r="AO140" s="40" t="s">
        <v>1033</v>
      </c>
      <c r="AP140" s="40" t="s">
        <v>1034</v>
      </c>
      <c r="AQ140" s="40" t="s">
        <v>80</v>
      </c>
      <c r="AR140" s="48">
        <v>100</v>
      </c>
      <c r="AS140" s="37">
        <v>0</v>
      </c>
      <c r="AT140" s="37" t="s">
        <v>386</v>
      </c>
      <c r="AU140" s="47">
        <v>30</v>
      </c>
      <c r="AV140" s="37" t="s">
        <v>60</v>
      </c>
      <c r="AW140" s="37">
        <v>10</v>
      </c>
      <c r="AX140" s="30">
        <f>(J140*10)/100</f>
        <v>152674876.19999999</v>
      </c>
      <c r="AY140" s="40" t="s">
        <v>402</v>
      </c>
    </row>
    <row r="141" spans="1:51" s="58" customFormat="1" ht="66" customHeight="1" x14ac:dyDescent="0.25">
      <c r="A141" s="44" t="s">
        <v>1035</v>
      </c>
      <c r="B141" s="46">
        <v>45275</v>
      </c>
      <c r="C141" s="40" t="s">
        <v>432</v>
      </c>
      <c r="D141" s="35" t="s">
        <v>1036</v>
      </c>
      <c r="E141" s="39" t="s">
        <v>1037</v>
      </c>
      <c r="F141" s="36">
        <v>45314</v>
      </c>
      <c r="G141" s="37" t="s">
        <v>1038</v>
      </c>
      <c r="H141" s="40" t="s">
        <v>810</v>
      </c>
      <c r="I141" s="40" t="s">
        <v>811</v>
      </c>
      <c r="J141" s="54">
        <v>1140112096.2</v>
      </c>
      <c r="K141" s="54">
        <v>1140112096.2</v>
      </c>
      <c r="L141" s="54">
        <v>0</v>
      </c>
      <c r="M141" s="54">
        <v>0</v>
      </c>
      <c r="N141" s="42">
        <f t="shared" si="16"/>
        <v>0</v>
      </c>
      <c r="O141" s="43">
        <f t="shared" si="26"/>
        <v>0</v>
      </c>
      <c r="P141" s="41">
        <v>1140112096.2</v>
      </c>
      <c r="Q141" s="43">
        <f t="shared" si="21"/>
        <v>0</v>
      </c>
      <c r="R141" s="41">
        <v>1140112096.2</v>
      </c>
      <c r="S141" s="30">
        <f t="shared" si="22"/>
        <v>1140112096.2</v>
      </c>
      <c r="T141" s="30">
        <f t="shared" si="22"/>
        <v>1140112096.2</v>
      </c>
      <c r="U141" s="30">
        <f>T141/X141</f>
        <v>204.82000000000002</v>
      </c>
      <c r="V141" s="41">
        <f>T141/X141</f>
        <v>204.82000000000002</v>
      </c>
      <c r="W141" s="41">
        <f>V141*AU141</f>
        <v>6144.6</v>
      </c>
      <c r="X141" s="41">
        <f t="shared" si="25"/>
        <v>5566410</v>
      </c>
      <c r="Y141" s="41">
        <v>5566410</v>
      </c>
      <c r="Z141" s="41">
        <v>0</v>
      </c>
      <c r="AA141" s="41">
        <v>0</v>
      </c>
      <c r="AB141" s="41">
        <v>0</v>
      </c>
      <c r="AC141" s="41">
        <f t="shared" si="23"/>
        <v>0</v>
      </c>
      <c r="AD141" s="41">
        <v>0</v>
      </c>
      <c r="AE141" s="41">
        <f t="shared" si="24"/>
        <v>0</v>
      </c>
      <c r="AF141" s="41">
        <f>X141/AU141</f>
        <v>185547</v>
      </c>
      <c r="AG141" s="41">
        <f t="shared" si="15"/>
        <v>185547</v>
      </c>
      <c r="AH141" s="36">
        <v>45352</v>
      </c>
      <c r="AI141" s="36"/>
      <c r="AJ141" s="36"/>
      <c r="AK141" s="36">
        <v>45383</v>
      </c>
      <c r="AL141" s="36"/>
      <c r="AM141" s="46"/>
      <c r="AN141" s="40" t="s">
        <v>812</v>
      </c>
      <c r="AO141" s="40" t="s">
        <v>813</v>
      </c>
      <c r="AP141" s="40" t="s">
        <v>814</v>
      </c>
      <c r="AQ141" s="40" t="s">
        <v>80</v>
      </c>
      <c r="AR141" s="48">
        <v>100</v>
      </c>
      <c r="AS141" s="37">
        <v>0</v>
      </c>
      <c r="AT141" s="37" t="s">
        <v>386</v>
      </c>
      <c r="AU141" s="47">
        <v>30</v>
      </c>
      <c r="AV141" s="37" t="s">
        <v>219</v>
      </c>
      <c r="AW141" s="37">
        <v>10</v>
      </c>
      <c r="AX141" s="30">
        <f>(J141*10)/100</f>
        <v>114011209.62</v>
      </c>
      <c r="AY141" s="40" t="s">
        <v>402</v>
      </c>
    </row>
    <row r="142" spans="1:51" s="58" customFormat="1" ht="66" customHeight="1" x14ac:dyDescent="0.25">
      <c r="A142" s="44" t="s">
        <v>1039</v>
      </c>
      <c r="B142" s="46">
        <v>45275</v>
      </c>
      <c r="C142" s="40">
        <v>1416</v>
      </c>
      <c r="D142" s="35" t="s">
        <v>1040</v>
      </c>
      <c r="E142" s="39" t="s">
        <v>1041</v>
      </c>
      <c r="F142" s="36">
        <v>45313</v>
      </c>
      <c r="G142" s="37" t="s">
        <v>1042</v>
      </c>
      <c r="H142" s="40" t="s">
        <v>86</v>
      </c>
      <c r="I142" s="40" t="s">
        <v>702</v>
      </c>
      <c r="J142" s="54">
        <v>421756960</v>
      </c>
      <c r="K142" s="54">
        <v>210878480</v>
      </c>
      <c r="L142" s="54">
        <v>210878480</v>
      </c>
      <c r="M142" s="54">
        <v>0</v>
      </c>
      <c r="N142" s="42">
        <f t="shared" si="16"/>
        <v>0</v>
      </c>
      <c r="O142" s="43">
        <f t="shared" si="26"/>
        <v>0</v>
      </c>
      <c r="P142" s="41">
        <v>421756960</v>
      </c>
      <c r="Q142" s="43">
        <f t="shared" si="21"/>
        <v>210878480</v>
      </c>
      <c r="R142" s="41">
        <v>210878480</v>
      </c>
      <c r="S142" s="30">
        <f t="shared" si="22"/>
        <v>210878480</v>
      </c>
      <c r="T142" s="30">
        <v>421756960</v>
      </c>
      <c r="U142" s="30">
        <f>T142/X142</f>
        <v>10.72</v>
      </c>
      <c r="V142" s="41">
        <f>T142/X142</f>
        <v>10.72</v>
      </c>
      <c r="W142" s="41" t="e">
        <f>V142*AU142</f>
        <v>#VALUE!</v>
      </c>
      <c r="X142" s="41">
        <v>39343000</v>
      </c>
      <c r="Y142" s="41">
        <f>6456500+3381500</f>
        <v>9838000</v>
      </c>
      <c r="Z142" s="41">
        <f>6456500+3377000</f>
        <v>9833500</v>
      </c>
      <c r="AA142" s="41">
        <v>0</v>
      </c>
      <c r="AB142" s="41">
        <f>6456500+6456500</f>
        <v>12913000</v>
      </c>
      <c r="AC142" s="41">
        <f t="shared" si="23"/>
        <v>138427360</v>
      </c>
      <c r="AD142" s="41">
        <f>3381500+3377000</f>
        <v>6758500</v>
      </c>
      <c r="AE142" s="41">
        <f t="shared" si="24"/>
        <v>72451120</v>
      </c>
      <c r="AF142" s="41" t="s">
        <v>1043</v>
      </c>
      <c r="AG142" s="54" t="s">
        <v>1044</v>
      </c>
      <c r="AH142" s="36">
        <v>45352</v>
      </c>
      <c r="AI142" s="36">
        <v>45504</v>
      </c>
      <c r="AJ142" s="36">
        <v>45717</v>
      </c>
      <c r="AK142" s="36">
        <v>45383</v>
      </c>
      <c r="AL142" s="36">
        <v>45536</v>
      </c>
      <c r="AM142" s="46">
        <v>45748</v>
      </c>
      <c r="AN142" s="40" t="s">
        <v>1045</v>
      </c>
      <c r="AO142" s="40" t="s">
        <v>1046</v>
      </c>
      <c r="AP142" s="40" t="s">
        <v>1047</v>
      </c>
      <c r="AQ142" s="40" t="s">
        <v>1048</v>
      </c>
      <c r="AR142" s="48">
        <v>0</v>
      </c>
      <c r="AS142" s="37">
        <v>100</v>
      </c>
      <c r="AT142" s="37" t="s">
        <v>93</v>
      </c>
      <c r="AU142" s="51" t="s">
        <v>1049</v>
      </c>
      <c r="AV142" s="37" t="s">
        <v>60</v>
      </c>
      <c r="AW142" s="37">
        <v>10</v>
      </c>
      <c r="AX142" s="30">
        <f>(J142*10)/100</f>
        <v>42175696</v>
      </c>
      <c r="AY142" s="40" t="s">
        <v>402</v>
      </c>
    </row>
    <row r="143" spans="1:51" ht="66" customHeight="1" x14ac:dyDescent="0.25">
      <c r="A143" s="44" t="s">
        <v>1050</v>
      </c>
      <c r="B143" s="46">
        <v>45275</v>
      </c>
      <c r="C143" s="40">
        <v>1416</v>
      </c>
      <c r="D143" s="35" t="s">
        <v>1051</v>
      </c>
      <c r="E143" s="39" t="s">
        <v>1052</v>
      </c>
      <c r="F143" s="36">
        <v>45314</v>
      </c>
      <c r="G143" s="37" t="s">
        <v>1053</v>
      </c>
      <c r="H143" s="40" t="s">
        <v>356</v>
      </c>
      <c r="I143" s="40" t="s">
        <v>1054</v>
      </c>
      <c r="J143" s="54">
        <v>1696403023.9200001</v>
      </c>
      <c r="K143" s="54">
        <v>1696403023.9200001</v>
      </c>
      <c r="L143" s="54">
        <v>0</v>
      </c>
      <c r="M143" s="54">
        <v>0</v>
      </c>
      <c r="N143" s="42">
        <f t="shared" si="16"/>
        <v>0</v>
      </c>
      <c r="O143" s="43">
        <f t="shared" si="26"/>
        <v>0</v>
      </c>
      <c r="P143" s="41">
        <v>1696403023.9200001</v>
      </c>
      <c r="Q143" s="43">
        <f t="shared" si="21"/>
        <v>0</v>
      </c>
      <c r="R143" s="41">
        <v>1696403023.9200001</v>
      </c>
      <c r="S143" s="30">
        <f t="shared" si="22"/>
        <v>1696403023.9200001</v>
      </c>
      <c r="T143" s="30">
        <f t="shared" si="22"/>
        <v>1696403023.9200001</v>
      </c>
      <c r="U143" s="30">
        <f>T143/X143</f>
        <v>263842.7</v>
      </c>
      <c r="V143" s="41">
        <f>T143/X143</f>
        <v>263842.7</v>
      </c>
      <c r="W143" s="41">
        <f>V143*AU143</f>
        <v>105537.08000000002</v>
      </c>
      <c r="X143" s="41">
        <f t="shared" si="25"/>
        <v>6429.6</v>
      </c>
      <c r="Y143" s="41">
        <f>1141.6+186.8</f>
        <v>1328.3999999999999</v>
      </c>
      <c r="Z143" s="41">
        <f>4385.6+715.6</f>
        <v>5101.2000000000007</v>
      </c>
      <c r="AA143" s="41">
        <v>0</v>
      </c>
      <c r="AB143" s="41">
        <f>1141.6+4385.6</f>
        <v>5527.2000000000007</v>
      </c>
      <c r="AC143" s="41">
        <f t="shared" si="23"/>
        <v>1458311371.4400003</v>
      </c>
      <c r="AD143" s="41">
        <f>186.8+715.6</f>
        <v>902.40000000000009</v>
      </c>
      <c r="AE143" s="41">
        <f t="shared" si="24"/>
        <v>238091652.48000005</v>
      </c>
      <c r="AF143" s="41">
        <f>X143/AU143</f>
        <v>16074</v>
      </c>
      <c r="AG143" s="41">
        <f t="shared" ref="AG143:AG206" si="27">_xlfn.CEILING.MATH(AF143)</f>
        <v>16074</v>
      </c>
      <c r="AH143" s="36">
        <v>45366</v>
      </c>
      <c r="AI143" s="36">
        <v>45412</v>
      </c>
      <c r="AJ143" s="36"/>
      <c r="AK143" s="36">
        <v>45397</v>
      </c>
      <c r="AL143" s="36">
        <v>45444</v>
      </c>
      <c r="AM143" s="46"/>
      <c r="AN143" s="40" t="s">
        <v>732</v>
      </c>
      <c r="AO143" s="40" t="s">
        <v>1055</v>
      </c>
      <c r="AP143" s="40" t="s">
        <v>734</v>
      </c>
      <c r="AQ143" s="40" t="s">
        <v>264</v>
      </c>
      <c r="AR143" s="48">
        <v>0</v>
      </c>
      <c r="AS143" s="37">
        <v>100</v>
      </c>
      <c r="AT143" s="37" t="s">
        <v>81</v>
      </c>
      <c r="AU143" s="52">
        <v>0.4</v>
      </c>
      <c r="AV143" s="37" t="s">
        <v>60</v>
      </c>
      <c r="AW143" s="37">
        <v>10</v>
      </c>
      <c r="AX143" s="30">
        <f>(J143*10)/100</f>
        <v>169640302.39200002</v>
      </c>
      <c r="AY143" s="40" t="s">
        <v>402</v>
      </c>
    </row>
    <row r="144" spans="1:51" ht="66" customHeight="1" x14ac:dyDescent="0.25">
      <c r="A144" s="44" t="s">
        <v>1056</v>
      </c>
      <c r="B144" s="46">
        <v>45275</v>
      </c>
      <c r="C144" s="40">
        <v>1416</v>
      </c>
      <c r="D144" s="35" t="s">
        <v>431</v>
      </c>
      <c r="E144" s="39" t="s">
        <v>1057</v>
      </c>
      <c r="F144" s="36" t="s">
        <v>431</v>
      </c>
      <c r="G144" s="37" t="s">
        <v>431</v>
      </c>
      <c r="H144" s="40" t="s">
        <v>431</v>
      </c>
      <c r="I144" s="40" t="s">
        <v>1058</v>
      </c>
      <c r="J144" s="54">
        <v>63181752.479999997</v>
      </c>
      <c r="K144" s="54">
        <v>63181752.479999997</v>
      </c>
      <c r="L144" s="54"/>
      <c r="M144" s="54"/>
      <c r="N144" s="42">
        <f t="shared" si="16"/>
        <v>100</v>
      </c>
      <c r="O144" s="43">
        <f t="shared" si="26"/>
        <v>63181752.479999997</v>
      </c>
      <c r="P144" s="41"/>
      <c r="Q144" s="43">
        <f t="shared" si="21"/>
        <v>63181752.479999997</v>
      </c>
      <c r="R144" s="41">
        <v>0</v>
      </c>
      <c r="S144" s="30">
        <f t="shared" si="22"/>
        <v>0</v>
      </c>
      <c r="T144" s="30">
        <f t="shared" si="22"/>
        <v>0</v>
      </c>
      <c r="U144" s="30" t="e">
        <f>T144/X144</f>
        <v>#DIV/0!</v>
      </c>
      <c r="V144" s="41" t="e">
        <f>T144/X144</f>
        <v>#DIV/0!</v>
      </c>
      <c r="W144" s="41" t="e">
        <f>V144*AU144</f>
        <v>#DIV/0!</v>
      </c>
      <c r="X144" s="41">
        <f t="shared" si="25"/>
        <v>0</v>
      </c>
      <c r="Y144" s="41">
        <v>0</v>
      </c>
      <c r="Z144" s="41">
        <v>0</v>
      </c>
      <c r="AA144" s="41">
        <v>0</v>
      </c>
      <c r="AB144" s="41"/>
      <c r="AC144" s="41" t="e">
        <f t="shared" si="23"/>
        <v>#DIV/0!</v>
      </c>
      <c r="AD144" s="41"/>
      <c r="AE144" s="41" t="e">
        <f t="shared" si="24"/>
        <v>#DIV/0!</v>
      </c>
      <c r="AF144" s="41" t="e">
        <f>X144/AU144</f>
        <v>#DIV/0!</v>
      </c>
      <c r="AG144" s="41" t="e">
        <f t="shared" si="27"/>
        <v>#DIV/0!</v>
      </c>
      <c r="AH144" s="36">
        <v>45352</v>
      </c>
      <c r="AI144" s="36"/>
      <c r="AJ144" s="36"/>
      <c r="AK144" s="36"/>
      <c r="AL144" s="36"/>
      <c r="AM144" s="46"/>
      <c r="AN144" s="40"/>
      <c r="AO144" s="40"/>
      <c r="AP144" s="40"/>
      <c r="AQ144" s="40"/>
      <c r="AR144" s="48"/>
      <c r="AS144" s="37"/>
      <c r="AT144" s="37"/>
      <c r="AU144" s="47"/>
      <c r="AV144" s="37"/>
      <c r="AW144" s="37">
        <v>10</v>
      </c>
      <c r="AX144" s="30">
        <f>(J144*10)/100</f>
        <v>6318175.2479999997</v>
      </c>
      <c r="AY144" s="40" t="s">
        <v>431</v>
      </c>
    </row>
    <row r="145" spans="1:51" ht="66" customHeight="1" x14ac:dyDescent="0.25">
      <c r="A145" s="44" t="s">
        <v>1059</v>
      </c>
      <c r="B145" s="46">
        <v>45275</v>
      </c>
      <c r="C145" s="40">
        <v>1416</v>
      </c>
      <c r="D145" s="35" t="s">
        <v>1060</v>
      </c>
      <c r="E145" s="39" t="s">
        <v>1061</v>
      </c>
      <c r="F145" s="36">
        <v>45313</v>
      </c>
      <c r="G145" s="37" t="s">
        <v>1062</v>
      </c>
      <c r="H145" s="40" t="s">
        <v>86</v>
      </c>
      <c r="I145" s="40" t="s">
        <v>1063</v>
      </c>
      <c r="J145" s="54">
        <v>360340176</v>
      </c>
      <c r="K145" s="54">
        <v>360340176</v>
      </c>
      <c r="L145" s="54">
        <v>0</v>
      </c>
      <c r="M145" s="54">
        <v>0</v>
      </c>
      <c r="N145" s="42">
        <f t="shared" si="16"/>
        <v>0</v>
      </c>
      <c r="O145" s="43">
        <f t="shared" si="26"/>
        <v>0</v>
      </c>
      <c r="P145" s="41">
        <v>360340176</v>
      </c>
      <c r="Q145" s="43">
        <f t="shared" si="21"/>
        <v>0</v>
      </c>
      <c r="R145" s="41">
        <v>360340176</v>
      </c>
      <c r="S145" s="30">
        <f t="shared" si="22"/>
        <v>360340176</v>
      </c>
      <c r="T145" s="30">
        <f t="shared" si="22"/>
        <v>360340176</v>
      </c>
      <c r="U145" s="30">
        <f>T145/X145</f>
        <v>175.81</v>
      </c>
      <c r="V145" s="41">
        <f>T145/X145</f>
        <v>175.81</v>
      </c>
      <c r="W145" s="41">
        <f>V145*AU145</f>
        <v>70324</v>
      </c>
      <c r="X145" s="41">
        <f t="shared" si="25"/>
        <v>2049600</v>
      </c>
      <c r="Y145" s="41">
        <f>1444800+604800</f>
        <v>2049600</v>
      </c>
      <c r="Z145" s="41">
        <v>0</v>
      </c>
      <c r="AA145" s="41">
        <v>0</v>
      </c>
      <c r="AB145" s="41">
        <v>1444800</v>
      </c>
      <c r="AC145" s="41">
        <f t="shared" si="23"/>
        <v>254010288</v>
      </c>
      <c r="AD145" s="41">
        <v>604800</v>
      </c>
      <c r="AE145" s="41">
        <f t="shared" si="24"/>
        <v>106329888</v>
      </c>
      <c r="AF145" s="41">
        <f>X145/AU145</f>
        <v>5124</v>
      </c>
      <c r="AG145" s="41">
        <f t="shared" si="27"/>
        <v>5124</v>
      </c>
      <c r="AH145" s="36">
        <v>45352</v>
      </c>
      <c r="AI145" s="36"/>
      <c r="AJ145" s="36"/>
      <c r="AK145" s="36">
        <v>45383</v>
      </c>
      <c r="AL145" s="36"/>
      <c r="AM145" s="46"/>
      <c r="AN145" s="40" t="s">
        <v>1064</v>
      </c>
      <c r="AO145" s="40" t="s">
        <v>1065</v>
      </c>
      <c r="AP145" s="40" t="s">
        <v>1066</v>
      </c>
      <c r="AQ145" s="40" t="s">
        <v>92</v>
      </c>
      <c r="AR145" s="48">
        <v>0</v>
      </c>
      <c r="AS145" s="37">
        <v>100</v>
      </c>
      <c r="AT145" s="37" t="s">
        <v>1067</v>
      </c>
      <c r="AU145" s="47">
        <v>400</v>
      </c>
      <c r="AV145" s="37" t="s">
        <v>60</v>
      </c>
      <c r="AW145" s="37">
        <v>10</v>
      </c>
      <c r="AX145" s="30">
        <f>(J145*10)/100</f>
        <v>36034017.600000001</v>
      </c>
      <c r="AY145" s="40" t="s">
        <v>95</v>
      </c>
    </row>
    <row r="146" spans="1:51" ht="66" customHeight="1" x14ac:dyDescent="0.25">
      <c r="A146" s="44" t="s">
        <v>1068</v>
      </c>
      <c r="B146" s="46">
        <v>45278</v>
      </c>
      <c r="C146" s="40">
        <v>1416</v>
      </c>
      <c r="D146" s="35" t="s">
        <v>431</v>
      </c>
      <c r="E146" s="39" t="s">
        <v>1069</v>
      </c>
      <c r="F146" s="36" t="s">
        <v>431</v>
      </c>
      <c r="G146" s="37" t="s">
        <v>431</v>
      </c>
      <c r="H146" s="40" t="s">
        <v>431</v>
      </c>
      <c r="I146" s="40" t="s">
        <v>1070</v>
      </c>
      <c r="J146" s="54">
        <v>455563001.51999998</v>
      </c>
      <c r="K146" s="54">
        <v>455563001.51999998</v>
      </c>
      <c r="L146" s="54"/>
      <c r="M146" s="54"/>
      <c r="N146" s="42">
        <f t="shared" si="16"/>
        <v>100</v>
      </c>
      <c r="O146" s="43">
        <f t="shared" si="26"/>
        <v>455563001.51999998</v>
      </c>
      <c r="P146" s="41"/>
      <c r="Q146" s="43">
        <f t="shared" si="21"/>
        <v>455563001.51999998</v>
      </c>
      <c r="R146" s="41">
        <v>0</v>
      </c>
      <c r="S146" s="30">
        <f t="shared" si="22"/>
        <v>0</v>
      </c>
      <c r="T146" s="30">
        <f t="shared" si="22"/>
        <v>0</v>
      </c>
      <c r="U146" s="30" t="e">
        <f>T146/X146</f>
        <v>#DIV/0!</v>
      </c>
      <c r="V146" s="41" t="e">
        <f>T146/X146</f>
        <v>#DIV/0!</v>
      </c>
      <c r="W146" s="41" t="e">
        <f>V146*AU146</f>
        <v>#DIV/0!</v>
      </c>
      <c r="X146" s="41">
        <f t="shared" si="25"/>
        <v>0</v>
      </c>
      <c r="Y146" s="41">
        <v>0</v>
      </c>
      <c r="Z146" s="41">
        <v>0</v>
      </c>
      <c r="AA146" s="41">
        <v>0</v>
      </c>
      <c r="AB146" s="41"/>
      <c r="AC146" s="41" t="e">
        <f t="shared" si="23"/>
        <v>#DIV/0!</v>
      </c>
      <c r="AD146" s="41"/>
      <c r="AE146" s="41" t="e">
        <f t="shared" si="24"/>
        <v>#DIV/0!</v>
      </c>
      <c r="AF146" s="41" t="e">
        <f>X146/AU146</f>
        <v>#DIV/0!</v>
      </c>
      <c r="AG146" s="41" t="e">
        <f t="shared" si="27"/>
        <v>#DIV/0!</v>
      </c>
      <c r="AH146" s="36">
        <v>45352</v>
      </c>
      <c r="AI146" s="36"/>
      <c r="AJ146" s="36"/>
      <c r="AK146" s="36"/>
      <c r="AL146" s="36"/>
      <c r="AM146" s="46"/>
      <c r="AN146" s="40"/>
      <c r="AO146" s="40"/>
      <c r="AP146" s="40"/>
      <c r="AQ146" s="40"/>
      <c r="AR146" s="48"/>
      <c r="AS146" s="37"/>
      <c r="AT146" s="37"/>
      <c r="AU146" s="47"/>
      <c r="AV146" s="37"/>
      <c r="AW146" s="37">
        <v>10</v>
      </c>
      <c r="AX146" s="30">
        <f>(J146*10)/100</f>
        <v>45556300.151999995</v>
      </c>
      <c r="AY146" s="40" t="s">
        <v>431</v>
      </c>
    </row>
    <row r="147" spans="1:51" ht="66" customHeight="1" x14ac:dyDescent="0.25">
      <c r="A147" s="44" t="s">
        <v>1071</v>
      </c>
      <c r="B147" s="46">
        <v>45278</v>
      </c>
      <c r="C147" s="40">
        <v>545</v>
      </c>
      <c r="D147" s="35" t="s">
        <v>1072</v>
      </c>
      <c r="E147" s="39" t="s">
        <v>1073</v>
      </c>
      <c r="F147" s="36">
        <v>45307</v>
      </c>
      <c r="G147" s="37" t="s">
        <v>1074</v>
      </c>
      <c r="H147" s="40" t="s">
        <v>139</v>
      </c>
      <c r="I147" s="40" t="s">
        <v>1075</v>
      </c>
      <c r="J147" s="54">
        <v>3719931.6</v>
      </c>
      <c r="K147" s="54">
        <v>3719931.6</v>
      </c>
      <c r="L147" s="54">
        <v>0</v>
      </c>
      <c r="M147" s="54">
        <v>0</v>
      </c>
      <c r="N147" s="42">
        <f t="shared" si="16"/>
        <v>0</v>
      </c>
      <c r="O147" s="43">
        <f t="shared" si="26"/>
        <v>0</v>
      </c>
      <c r="P147" s="54">
        <v>3719931.6</v>
      </c>
      <c r="Q147" s="43">
        <f t="shared" si="21"/>
        <v>0</v>
      </c>
      <c r="R147" s="54">
        <v>3719931.6</v>
      </c>
      <c r="S147" s="30">
        <v>4835911.08</v>
      </c>
      <c r="T147" s="30">
        <f t="shared" ref="T147:T155" si="28">S147</f>
        <v>4835911.08</v>
      </c>
      <c r="U147" s="30">
        <f>T147/X147</f>
        <v>4428.49</v>
      </c>
      <c r="V147" s="41">
        <f>T147/X147</f>
        <v>4428.49</v>
      </c>
      <c r="W147" s="41">
        <f>V147*AU147</f>
        <v>123997.72</v>
      </c>
      <c r="X147" s="41">
        <f t="shared" si="25"/>
        <v>1092</v>
      </c>
      <c r="Y147" s="41">
        <v>1092</v>
      </c>
      <c r="Z147" s="41">
        <v>0</v>
      </c>
      <c r="AA147" s="41">
        <v>0</v>
      </c>
      <c r="AB147" s="41"/>
      <c r="AC147" s="41">
        <f t="shared" si="23"/>
        <v>0</v>
      </c>
      <c r="AD147" s="41"/>
      <c r="AE147" s="41">
        <f t="shared" si="24"/>
        <v>0</v>
      </c>
      <c r="AF147" s="41">
        <f>X147/AU147</f>
        <v>39</v>
      </c>
      <c r="AG147" s="41">
        <f t="shared" si="27"/>
        <v>39</v>
      </c>
      <c r="AH147" s="36">
        <v>45337</v>
      </c>
      <c r="AI147" s="36"/>
      <c r="AJ147" s="36"/>
      <c r="AK147" s="36">
        <v>45366</v>
      </c>
      <c r="AL147" s="36"/>
      <c r="AM147" s="46"/>
      <c r="AN147" s="40" t="s">
        <v>1076</v>
      </c>
      <c r="AO147" s="40" t="s">
        <v>1077</v>
      </c>
      <c r="AP147" s="40" t="s">
        <v>1078</v>
      </c>
      <c r="AQ147" s="40" t="s">
        <v>58</v>
      </c>
      <c r="AR147" s="48">
        <v>0</v>
      </c>
      <c r="AS147" s="37">
        <v>100</v>
      </c>
      <c r="AT147" s="37" t="s">
        <v>386</v>
      </c>
      <c r="AU147" s="47">
        <v>28</v>
      </c>
      <c r="AV147" s="37" t="s">
        <v>60</v>
      </c>
      <c r="AW147" s="37">
        <v>10</v>
      </c>
      <c r="AX147" s="30">
        <f>(J147*10)/100</f>
        <v>371993.16</v>
      </c>
      <c r="AY147" s="40" t="s">
        <v>402</v>
      </c>
    </row>
    <row r="148" spans="1:51" ht="66" customHeight="1" x14ac:dyDescent="0.25">
      <c r="A148" s="44" t="s">
        <v>1079</v>
      </c>
      <c r="B148" s="46">
        <v>45280</v>
      </c>
      <c r="C148" s="40">
        <v>1416</v>
      </c>
      <c r="D148" s="35" t="s">
        <v>1080</v>
      </c>
      <c r="E148" s="39" t="s">
        <v>1081</v>
      </c>
      <c r="F148" s="36">
        <v>45314</v>
      </c>
      <c r="G148" s="37" t="s">
        <v>1082</v>
      </c>
      <c r="H148" s="40" t="s">
        <v>139</v>
      </c>
      <c r="I148" s="40" t="s">
        <v>1083</v>
      </c>
      <c r="J148" s="54">
        <v>466054680</v>
      </c>
      <c r="K148" s="54">
        <v>466054680</v>
      </c>
      <c r="L148" s="54">
        <v>0</v>
      </c>
      <c r="M148" s="54">
        <v>0</v>
      </c>
      <c r="N148" s="42">
        <f t="shared" si="16"/>
        <v>0</v>
      </c>
      <c r="O148" s="43">
        <f t="shared" si="26"/>
        <v>0</v>
      </c>
      <c r="P148" s="41">
        <v>466054680</v>
      </c>
      <c r="Q148" s="43">
        <f t="shared" si="21"/>
        <v>0</v>
      </c>
      <c r="R148" s="41">
        <v>466054680</v>
      </c>
      <c r="S148" s="30">
        <f t="shared" ref="S148:T172" si="29">R148</f>
        <v>466054680</v>
      </c>
      <c r="T148" s="30">
        <f t="shared" si="28"/>
        <v>466054680</v>
      </c>
      <c r="U148" s="30">
        <f>T148/X148</f>
        <v>164.15</v>
      </c>
      <c r="V148" s="41">
        <f>T148/X148</f>
        <v>164.15</v>
      </c>
      <c r="W148" s="41">
        <f>V148*AU148</f>
        <v>65660</v>
      </c>
      <c r="X148" s="41">
        <f t="shared" si="25"/>
        <v>2839200</v>
      </c>
      <c r="Y148" s="41">
        <f>1603600+1235600</f>
        <v>2839200</v>
      </c>
      <c r="Z148" s="41">
        <v>0</v>
      </c>
      <c r="AA148" s="41">
        <v>0</v>
      </c>
      <c r="AB148" s="41">
        <v>1536400</v>
      </c>
      <c r="AC148" s="41">
        <f t="shared" si="23"/>
        <v>252200060</v>
      </c>
      <c r="AD148" s="41">
        <v>1302800</v>
      </c>
      <c r="AE148" s="41">
        <f t="shared" si="24"/>
        <v>213854620</v>
      </c>
      <c r="AF148" s="41">
        <f>X148/AU148</f>
        <v>7098</v>
      </c>
      <c r="AG148" s="41">
        <f t="shared" si="27"/>
        <v>7098</v>
      </c>
      <c r="AH148" s="36">
        <v>45383</v>
      </c>
      <c r="AI148" s="36"/>
      <c r="AJ148" s="36"/>
      <c r="AK148" s="36">
        <v>45413</v>
      </c>
      <c r="AL148" s="36"/>
      <c r="AM148" s="46"/>
      <c r="AN148" s="40" t="s">
        <v>1084</v>
      </c>
      <c r="AO148" s="40" t="s">
        <v>1065</v>
      </c>
      <c r="AP148" s="40" t="s">
        <v>1085</v>
      </c>
      <c r="AQ148" s="40" t="s">
        <v>80</v>
      </c>
      <c r="AR148" s="48">
        <v>100</v>
      </c>
      <c r="AS148" s="37">
        <v>0</v>
      </c>
      <c r="AT148" s="37" t="s">
        <v>1067</v>
      </c>
      <c r="AU148" s="47">
        <v>400</v>
      </c>
      <c r="AV148" s="37" t="s">
        <v>60</v>
      </c>
      <c r="AW148" s="37">
        <v>10</v>
      </c>
      <c r="AX148" s="30">
        <f>(J148*10)/100</f>
        <v>46605468</v>
      </c>
      <c r="AY148" s="40" t="s">
        <v>402</v>
      </c>
    </row>
    <row r="149" spans="1:51" ht="66" customHeight="1" x14ac:dyDescent="0.25">
      <c r="A149" s="44" t="s">
        <v>1086</v>
      </c>
      <c r="B149" s="46">
        <v>45280</v>
      </c>
      <c r="C149" s="40">
        <v>1416</v>
      </c>
      <c r="D149" s="35" t="s">
        <v>1087</v>
      </c>
      <c r="E149" s="39" t="s">
        <v>1088</v>
      </c>
      <c r="F149" s="36">
        <v>45313</v>
      </c>
      <c r="G149" s="37" t="s">
        <v>1089</v>
      </c>
      <c r="H149" s="40" t="s">
        <v>502</v>
      </c>
      <c r="I149" s="40" t="s">
        <v>1090</v>
      </c>
      <c r="J149" s="54">
        <v>380020516</v>
      </c>
      <c r="K149" s="54">
        <v>380020516</v>
      </c>
      <c r="L149" s="54">
        <v>0</v>
      </c>
      <c r="M149" s="54">
        <v>0</v>
      </c>
      <c r="N149" s="42">
        <f t="shared" si="16"/>
        <v>0</v>
      </c>
      <c r="O149" s="43">
        <f t="shared" si="26"/>
        <v>0</v>
      </c>
      <c r="P149" s="41">
        <v>380020516</v>
      </c>
      <c r="Q149" s="43">
        <f t="shared" si="21"/>
        <v>0</v>
      </c>
      <c r="R149" s="41">
        <v>380020516</v>
      </c>
      <c r="S149" s="30">
        <f t="shared" si="29"/>
        <v>380020516</v>
      </c>
      <c r="T149" s="30">
        <f t="shared" si="28"/>
        <v>380020516</v>
      </c>
      <c r="U149" s="30">
        <f>T149/X149</f>
        <v>7950.22</v>
      </c>
      <c r="V149" s="41">
        <f>T149/X149</f>
        <v>7950.22</v>
      </c>
      <c r="W149" s="41">
        <f>V149*AU149</f>
        <v>39751.1</v>
      </c>
      <c r="X149" s="41">
        <f t="shared" si="25"/>
        <v>47800</v>
      </c>
      <c r="Y149" s="41">
        <f>38070+9730</f>
        <v>47800</v>
      </c>
      <c r="Z149" s="41">
        <v>0</v>
      </c>
      <c r="AA149" s="41">
        <v>0</v>
      </c>
      <c r="AB149" s="41">
        <v>38160</v>
      </c>
      <c r="AC149" s="41">
        <f t="shared" si="23"/>
        <v>303380395.19999999</v>
      </c>
      <c r="AD149" s="41">
        <v>9640</v>
      </c>
      <c r="AE149" s="41">
        <f t="shared" si="24"/>
        <v>76640120.799999997</v>
      </c>
      <c r="AF149" s="41">
        <f>X149/AU149</f>
        <v>9560</v>
      </c>
      <c r="AG149" s="41">
        <f t="shared" si="27"/>
        <v>9560</v>
      </c>
      <c r="AH149" s="36">
        <v>45352</v>
      </c>
      <c r="AI149" s="36"/>
      <c r="AJ149" s="36"/>
      <c r="AK149" s="36">
        <v>45383</v>
      </c>
      <c r="AL149" s="36"/>
      <c r="AM149" s="46"/>
      <c r="AN149" s="40" t="s">
        <v>1091</v>
      </c>
      <c r="AO149" s="40" t="s">
        <v>1092</v>
      </c>
      <c r="AP149" s="40" t="s">
        <v>1093</v>
      </c>
      <c r="AQ149" s="40" t="s">
        <v>92</v>
      </c>
      <c r="AR149" s="48">
        <v>0</v>
      </c>
      <c r="AS149" s="37">
        <v>100</v>
      </c>
      <c r="AT149" s="37" t="s">
        <v>81</v>
      </c>
      <c r="AU149" s="47">
        <v>5</v>
      </c>
      <c r="AV149" s="37" t="s">
        <v>219</v>
      </c>
      <c r="AW149" s="37">
        <v>10</v>
      </c>
      <c r="AX149" s="30">
        <f>(J149*10)/100</f>
        <v>38002051.600000001</v>
      </c>
      <c r="AY149" s="40" t="s">
        <v>402</v>
      </c>
    </row>
    <row r="150" spans="1:51" ht="66" customHeight="1" x14ac:dyDescent="0.25">
      <c r="A150" s="44" t="s">
        <v>1094</v>
      </c>
      <c r="B150" s="46">
        <v>45280</v>
      </c>
      <c r="C150" s="40">
        <v>1416</v>
      </c>
      <c r="D150" s="35" t="s">
        <v>1095</v>
      </c>
      <c r="E150" s="39" t="s">
        <v>1096</v>
      </c>
      <c r="F150" s="36">
        <v>45313</v>
      </c>
      <c r="G150" s="37" t="s">
        <v>1097</v>
      </c>
      <c r="H150" s="40" t="s">
        <v>1098</v>
      </c>
      <c r="I150" s="40" t="s">
        <v>1099</v>
      </c>
      <c r="J150" s="54">
        <v>379881680.63999999</v>
      </c>
      <c r="K150" s="54">
        <v>379881680.63999999</v>
      </c>
      <c r="L150" s="54">
        <v>0</v>
      </c>
      <c r="M150" s="54">
        <v>0</v>
      </c>
      <c r="N150" s="42">
        <f t="shared" si="16"/>
        <v>0</v>
      </c>
      <c r="O150" s="43">
        <f t="shared" si="26"/>
        <v>0</v>
      </c>
      <c r="P150" s="41">
        <v>379881680.63999999</v>
      </c>
      <c r="Q150" s="43">
        <f t="shared" si="21"/>
        <v>0</v>
      </c>
      <c r="R150" s="41">
        <v>379881680.63999999</v>
      </c>
      <c r="S150" s="30">
        <f t="shared" si="29"/>
        <v>379881680.63999999</v>
      </c>
      <c r="T150" s="30">
        <f t="shared" si="28"/>
        <v>379881680.63999999</v>
      </c>
      <c r="U150" s="30">
        <f>T150/X150</f>
        <v>13332.55</v>
      </c>
      <c r="V150" s="41">
        <f>T150/X150</f>
        <v>13332.55</v>
      </c>
      <c r="W150" s="41">
        <f>V150*AU150</f>
        <v>63996.239999999991</v>
      </c>
      <c r="X150" s="41">
        <f t="shared" si="25"/>
        <v>28492.799999999999</v>
      </c>
      <c r="Y150" s="41">
        <f>17664+10828.8</f>
        <v>28492.799999999999</v>
      </c>
      <c r="Z150" s="41">
        <v>0</v>
      </c>
      <c r="AA150" s="41">
        <v>0</v>
      </c>
      <c r="AB150" s="41">
        <v>17664</v>
      </c>
      <c r="AC150" s="41">
        <f t="shared" si="23"/>
        <v>235506163.19999999</v>
      </c>
      <c r="AD150" s="41">
        <v>10828.8</v>
      </c>
      <c r="AE150" s="41">
        <f t="shared" si="24"/>
        <v>144375517.43999997</v>
      </c>
      <c r="AF150" s="41">
        <f>X150/AU150</f>
        <v>5936</v>
      </c>
      <c r="AG150" s="41">
        <f t="shared" si="27"/>
        <v>5936</v>
      </c>
      <c r="AH150" s="36">
        <v>45352</v>
      </c>
      <c r="AI150" s="36"/>
      <c r="AJ150" s="36"/>
      <c r="AK150" s="36">
        <v>45383</v>
      </c>
      <c r="AL150" s="36"/>
      <c r="AM150" s="46"/>
      <c r="AN150" s="40" t="s">
        <v>1100</v>
      </c>
      <c r="AO150" s="40" t="s">
        <v>1101</v>
      </c>
      <c r="AP150" s="40" t="s">
        <v>1102</v>
      </c>
      <c r="AQ150" s="40" t="s">
        <v>275</v>
      </c>
      <c r="AR150" s="48">
        <v>0</v>
      </c>
      <c r="AS150" s="37">
        <v>100</v>
      </c>
      <c r="AT150" s="37" t="s">
        <v>324</v>
      </c>
      <c r="AU150" s="52">
        <v>4.8</v>
      </c>
      <c r="AV150" s="37" t="s">
        <v>60</v>
      </c>
      <c r="AW150" s="37">
        <v>10</v>
      </c>
      <c r="AX150" s="30">
        <f>(J150*10)/100</f>
        <v>37988168.063999996</v>
      </c>
      <c r="AY150" s="40" t="s">
        <v>402</v>
      </c>
    </row>
    <row r="151" spans="1:51" ht="66" customHeight="1" x14ac:dyDescent="0.25">
      <c r="A151" s="44" t="s">
        <v>1103</v>
      </c>
      <c r="B151" s="46">
        <v>45280</v>
      </c>
      <c r="C151" s="40">
        <v>1416</v>
      </c>
      <c r="D151" s="35" t="s">
        <v>1104</v>
      </c>
      <c r="E151" s="39" t="s">
        <v>1105</v>
      </c>
      <c r="F151" s="36">
        <v>45314</v>
      </c>
      <c r="G151" s="37" t="s">
        <v>1106</v>
      </c>
      <c r="H151" s="40" t="s">
        <v>139</v>
      </c>
      <c r="I151" s="40" t="s">
        <v>1107</v>
      </c>
      <c r="J151" s="54">
        <v>712501307.10000002</v>
      </c>
      <c r="K151" s="54">
        <v>712501307.10000002</v>
      </c>
      <c r="L151" s="54">
        <v>0</v>
      </c>
      <c r="M151" s="54">
        <v>0</v>
      </c>
      <c r="N151" s="42">
        <f t="shared" si="16"/>
        <v>0</v>
      </c>
      <c r="O151" s="43">
        <f t="shared" si="26"/>
        <v>0</v>
      </c>
      <c r="P151" s="41">
        <v>712501307.10000002</v>
      </c>
      <c r="Q151" s="43">
        <f t="shared" si="21"/>
        <v>0</v>
      </c>
      <c r="R151" s="41">
        <v>712501307.10000002</v>
      </c>
      <c r="S151" s="30">
        <f t="shared" si="29"/>
        <v>712501307.10000002</v>
      </c>
      <c r="T151" s="30">
        <f t="shared" si="28"/>
        <v>712501307.10000002</v>
      </c>
      <c r="U151" s="30">
        <f>T151/X151</f>
        <v>401.58000000000004</v>
      </c>
      <c r="V151" s="41">
        <f>T151/X151</f>
        <v>401.58000000000004</v>
      </c>
      <c r="W151" s="41">
        <f>V151*AU151</f>
        <v>6023.7000000000007</v>
      </c>
      <c r="X151" s="41">
        <f t="shared" si="25"/>
        <v>1774245</v>
      </c>
      <c r="Y151" s="41">
        <f>1115040+9960</f>
        <v>1125000</v>
      </c>
      <c r="Z151" s="41">
        <f>557910+91335</f>
        <v>649245</v>
      </c>
      <c r="AA151" s="41">
        <v>0</v>
      </c>
      <c r="AB151" s="41">
        <f>1115040+557910</f>
        <v>1672950</v>
      </c>
      <c r="AC151" s="41">
        <f t="shared" si="23"/>
        <v>671823261.00000012</v>
      </c>
      <c r="AD151" s="41">
        <f>9960+91335</f>
        <v>101295</v>
      </c>
      <c r="AE151" s="41">
        <f t="shared" si="24"/>
        <v>40678046.100000001</v>
      </c>
      <c r="AF151" s="41">
        <f>X151/AU151</f>
        <v>118283</v>
      </c>
      <c r="AG151" s="41">
        <f t="shared" si="27"/>
        <v>118283</v>
      </c>
      <c r="AH151" s="36">
        <v>45352</v>
      </c>
      <c r="AI151" s="36">
        <v>45444</v>
      </c>
      <c r="AJ151" s="36"/>
      <c r="AK151" s="36">
        <v>45383</v>
      </c>
      <c r="AL151" s="36">
        <v>45474</v>
      </c>
      <c r="AM151" s="46"/>
      <c r="AN151" s="40" t="s">
        <v>1108</v>
      </c>
      <c r="AO151" s="40" t="s">
        <v>1109</v>
      </c>
      <c r="AP151" s="40" t="s">
        <v>1110</v>
      </c>
      <c r="AQ151" s="40" t="s">
        <v>80</v>
      </c>
      <c r="AR151" s="48">
        <v>100</v>
      </c>
      <c r="AS151" s="37">
        <v>0</v>
      </c>
      <c r="AT151" s="37" t="s">
        <v>81</v>
      </c>
      <c r="AU151" s="47">
        <v>15</v>
      </c>
      <c r="AV151" s="37" t="s">
        <v>60</v>
      </c>
      <c r="AW151" s="37">
        <v>10</v>
      </c>
      <c r="AX151" s="30">
        <f>(J151*10)/100</f>
        <v>71250130.709999993</v>
      </c>
      <c r="AY151" s="40" t="s">
        <v>402</v>
      </c>
    </row>
    <row r="152" spans="1:51" ht="66" customHeight="1" x14ac:dyDescent="0.25">
      <c r="A152" s="44" t="s">
        <v>1111</v>
      </c>
      <c r="B152" s="46">
        <v>45280</v>
      </c>
      <c r="C152" s="40">
        <v>1416</v>
      </c>
      <c r="D152" s="35" t="s">
        <v>1112</v>
      </c>
      <c r="E152" s="39" t="s">
        <v>1113</v>
      </c>
      <c r="F152" s="36">
        <v>45307</v>
      </c>
      <c r="G152" s="37" t="s">
        <v>1114</v>
      </c>
      <c r="H152" s="40" t="s">
        <v>1115</v>
      </c>
      <c r="I152" s="40" t="s">
        <v>1116</v>
      </c>
      <c r="J152" s="54">
        <v>27891956.399999999</v>
      </c>
      <c r="K152" s="54">
        <v>27891956.399999999</v>
      </c>
      <c r="L152" s="54">
        <v>0</v>
      </c>
      <c r="M152" s="54">
        <v>0</v>
      </c>
      <c r="N152" s="42">
        <f t="shared" si="16"/>
        <v>0.50089279502816453</v>
      </c>
      <c r="O152" s="43">
        <f t="shared" si="26"/>
        <v>139708.79999999702</v>
      </c>
      <c r="P152" s="41">
        <v>27752247.600000001</v>
      </c>
      <c r="Q152" s="43">
        <f t="shared" si="21"/>
        <v>139708.79999999702</v>
      </c>
      <c r="R152" s="41">
        <v>27752247.600000001</v>
      </c>
      <c r="S152" s="30">
        <f t="shared" si="29"/>
        <v>27752247.600000001</v>
      </c>
      <c r="T152" s="30">
        <f t="shared" si="28"/>
        <v>27752247.600000001</v>
      </c>
      <c r="U152" s="30">
        <f>T152/X152</f>
        <v>429.07000000000005</v>
      </c>
      <c r="V152" s="41">
        <f>T152/X152</f>
        <v>429.07000000000005</v>
      </c>
      <c r="W152" s="41">
        <f>V152*AU152</f>
        <v>8581.4000000000015</v>
      </c>
      <c r="X152" s="41">
        <f t="shared" si="25"/>
        <v>64680</v>
      </c>
      <c r="Y152" s="41">
        <v>64680</v>
      </c>
      <c r="Z152" s="41">
        <v>0</v>
      </c>
      <c r="AA152" s="41">
        <v>0</v>
      </c>
      <c r="AB152" s="41">
        <v>0</v>
      </c>
      <c r="AC152" s="41">
        <f t="shared" si="23"/>
        <v>0</v>
      </c>
      <c r="AD152" s="41">
        <v>64680</v>
      </c>
      <c r="AE152" s="41">
        <f t="shared" si="24"/>
        <v>27752247.600000001</v>
      </c>
      <c r="AF152" s="41">
        <f>X152/AU152</f>
        <v>3234</v>
      </c>
      <c r="AG152" s="41">
        <f t="shared" si="27"/>
        <v>3234</v>
      </c>
      <c r="AH152" s="36">
        <v>45352</v>
      </c>
      <c r="AI152" s="36"/>
      <c r="AJ152" s="36"/>
      <c r="AK152" s="36">
        <v>45383</v>
      </c>
      <c r="AL152" s="36"/>
      <c r="AM152" s="46"/>
      <c r="AN152" s="40" t="s">
        <v>1117</v>
      </c>
      <c r="AO152" s="40" t="s">
        <v>1118</v>
      </c>
      <c r="AP152" s="40" t="s">
        <v>1119</v>
      </c>
      <c r="AQ152" s="40" t="s">
        <v>80</v>
      </c>
      <c r="AR152" s="48">
        <v>100</v>
      </c>
      <c r="AS152" s="37">
        <v>0</v>
      </c>
      <c r="AT152" s="37" t="s">
        <v>386</v>
      </c>
      <c r="AU152" s="47">
        <v>20</v>
      </c>
      <c r="AV152" s="37" t="s">
        <v>60</v>
      </c>
      <c r="AW152" s="37">
        <v>10</v>
      </c>
      <c r="AX152" s="30">
        <f>(J152*10)/100</f>
        <v>2789195.64</v>
      </c>
      <c r="AY152" s="40" t="s">
        <v>402</v>
      </c>
    </row>
    <row r="153" spans="1:51" ht="66" customHeight="1" x14ac:dyDescent="0.25">
      <c r="A153" s="44" t="s">
        <v>1120</v>
      </c>
      <c r="B153" s="46">
        <v>45280</v>
      </c>
      <c r="C153" s="40">
        <v>1416</v>
      </c>
      <c r="D153" s="35" t="s">
        <v>1121</v>
      </c>
      <c r="E153" s="39" t="s">
        <v>1122</v>
      </c>
      <c r="F153" s="36">
        <v>45314</v>
      </c>
      <c r="G153" s="37" t="s">
        <v>1123</v>
      </c>
      <c r="H153" s="40" t="s">
        <v>139</v>
      </c>
      <c r="I153" s="40" t="s">
        <v>1124</v>
      </c>
      <c r="J153" s="54">
        <v>371696160</v>
      </c>
      <c r="K153" s="54">
        <v>371696160</v>
      </c>
      <c r="L153" s="54">
        <v>0</v>
      </c>
      <c r="M153" s="54">
        <v>0</v>
      </c>
      <c r="N153" s="42">
        <f t="shared" si="16"/>
        <v>0</v>
      </c>
      <c r="O153" s="43">
        <f t="shared" si="26"/>
        <v>0</v>
      </c>
      <c r="P153" s="41">
        <v>371696160</v>
      </c>
      <c r="Q153" s="43">
        <f t="shared" si="21"/>
        <v>0</v>
      </c>
      <c r="R153" s="41">
        <v>371696160</v>
      </c>
      <c r="S153" s="30">
        <f t="shared" si="29"/>
        <v>371696160</v>
      </c>
      <c r="T153" s="30">
        <f t="shared" si="28"/>
        <v>371696160</v>
      </c>
      <c r="U153" s="30">
        <f>T153/X153</f>
        <v>48.48</v>
      </c>
      <c r="V153" s="41">
        <f>T153/X153</f>
        <v>48.48</v>
      </c>
      <c r="W153" s="41">
        <f>V153*AU153</f>
        <v>48480</v>
      </c>
      <c r="X153" s="41">
        <f t="shared" si="25"/>
        <v>7667000</v>
      </c>
      <c r="Y153" s="41">
        <f>6190000+1477000</f>
        <v>7667000</v>
      </c>
      <c r="Z153" s="41">
        <v>0</v>
      </c>
      <c r="AA153" s="41">
        <v>0</v>
      </c>
      <c r="AB153" s="41">
        <v>6190000</v>
      </c>
      <c r="AC153" s="41">
        <f t="shared" si="23"/>
        <v>300091200</v>
      </c>
      <c r="AD153" s="41">
        <v>1477000</v>
      </c>
      <c r="AE153" s="41">
        <f t="shared" si="24"/>
        <v>71604960</v>
      </c>
      <c r="AF153" s="41">
        <f>X153/AU153</f>
        <v>7667</v>
      </c>
      <c r="AG153" s="41">
        <f t="shared" si="27"/>
        <v>7667</v>
      </c>
      <c r="AH153" s="36">
        <v>45381</v>
      </c>
      <c r="AI153" s="36"/>
      <c r="AJ153" s="36"/>
      <c r="AK153" s="36">
        <v>45413</v>
      </c>
      <c r="AL153" s="36"/>
      <c r="AM153" s="46"/>
      <c r="AN153" s="40" t="s">
        <v>1125</v>
      </c>
      <c r="AO153" s="40" t="s">
        <v>1126</v>
      </c>
      <c r="AP153" s="40" t="s">
        <v>1127</v>
      </c>
      <c r="AQ153" s="40" t="s">
        <v>774</v>
      </c>
      <c r="AR153" s="48">
        <v>0</v>
      </c>
      <c r="AS153" s="37">
        <v>100</v>
      </c>
      <c r="AT153" s="37" t="s">
        <v>1067</v>
      </c>
      <c r="AU153" s="47">
        <v>1000</v>
      </c>
      <c r="AV153" s="37" t="s">
        <v>60</v>
      </c>
      <c r="AW153" s="37">
        <v>10</v>
      </c>
      <c r="AX153" s="30">
        <f>(J153*10)/100</f>
        <v>37169616</v>
      </c>
      <c r="AY153" s="40" t="s">
        <v>402</v>
      </c>
    </row>
    <row r="154" spans="1:51" ht="66" customHeight="1" x14ac:dyDescent="0.25">
      <c r="A154" s="44" t="s">
        <v>1128</v>
      </c>
      <c r="B154" s="46">
        <v>45280</v>
      </c>
      <c r="C154" s="40">
        <v>1416</v>
      </c>
      <c r="D154" s="35" t="s">
        <v>1129</v>
      </c>
      <c r="E154" s="39" t="s">
        <v>1130</v>
      </c>
      <c r="F154" s="36">
        <v>45303</v>
      </c>
      <c r="G154" s="37" t="s">
        <v>1131</v>
      </c>
      <c r="H154" s="40" t="s">
        <v>224</v>
      </c>
      <c r="I154" s="40" t="s">
        <v>1132</v>
      </c>
      <c r="J154" s="54">
        <v>1135795.5</v>
      </c>
      <c r="K154" s="54">
        <v>1135795.5</v>
      </c>
      <c r="L154" s="54">
        <v>0</v>
      </c>
      <c r="M154" s="54">
        <v>0</v>
      </c>
      <c r="N154" s="42">
        <f t="shared" si="16"/>
        <v>0</v>
      </c>
      <c r="O154" s="43">
        <f t="shared" si="26"/>
        <v>0</v>
      </c>
      <c r="P154" s="41">
        <v>1135795.5</v>
      </c>
      <c r="Q154" s="43">
        <f t="shared" si="21"/>
        <v>0</v>
      </c>
      <c r="R154" s="41">
        <v>1135795.5</v>
      </c>
      <c r="S154" s="30">
        <f t="shared" si="29"/>
        <v>1135795.5</v>
      </c>
      <c r="T154" s="30">
        <f t="shared" si="28"/>
        <v>1135795.5</v>
      </c>
      <c r="U154" s="30">
        <f>T154/X154</f>
        <v>1802.85</v>
      </c>
      <c r="V154" s="41">
        <f>T154/X154</f>
        <v>1802.85</v>
      </c>
      <c r="W154" s="41">
        <f>V154*AU154</f>
        <v>37859.85</v>
      </c>
      <c r="X154" s="41">
        <f t="shared" si="25"/>
        <v>630</v>
      </c>
      <c r="Y154" s="41">
        <v>630</v>
      </c>
      <c r="Z154" s="41">
        <v>0</v>
      </c>
      <c r="AA154" s="41">
        <v>0</v>
      </c>
      <c r="AB154" s="41">
        <v>0</v>
      </c>
      <c r="AC154" s="41">
        <f t="shared" si="23"/>
        <v>0</v>
      </c>
      <c r="AD154" s="41">
        <v>630</v>
      </c>
      <c r="AE154" s="41">
        <f t="shared" si="24"/>
        <v>1135795.5</v>
      </c>
      <c r="AF154" s="41">
        <f>X154/AU154</f>
        <v>30</v>
      </c>
      <c r="AG154" s="41">
        <f t="shared" si="27"/>
        <v>30</v>
      </c>
      <c r="AH154" s="36">
        <v>45352</v>
      </c>
      <c r="AI154" s="36"/>
      <c r="AJ154" s="36"/>
      <c r="AK154" s="36">
        <v>45383</v>
      </c>
      <c r="AL154" s="36"/>
      <c r="AM154" s="46"/>
      <c r="AN154" s="40" t="s">
        <v>1133</v>
      </c>
      <c r="AO154" s="40" t="s">
        <v>1134</v>
      </c>
      <c r="AP154" s="40" t="s">
        <v>1135</v>
      </c>
      <c r="AQ154" s="40" t="s">
        <v>80</v>
      </c>
      <c r="AR154" s="48">
        <v>100</v>
      </c>
      <c r="AS154" s="37">
        <v>0</v>
      </c>
      <c r="AT154" s="37" t="s">
        <v>386</v>
      </c>
      <c r="AU154" s="47">
        <v>21</v>
      </c>
      <c r="AV154" s="37" t="s">
        <v>219</v>
      </c>
      <c r="AW154" s="37">
        <v>10</v>
      </c>
      <c r="AX154" s="30">
        <f>(J154*10)/100</f>
        <v>113579.55</v>
      </c>
      <c r="AY154" s="40" t="s">
        <v>402</v>
      </c>
    </row>
    <row r="155" spans="1:51" ht="66" customHeight="1" x14ac:dyDescent="0.25">
      <c r="A155" s="44" t="s">
        <v>1136</v>
      </c>
      <c r="B155" s="46">
        <v>45280</v>
      </c>
      <c r="C155" s="40">
        <v>1416</v>
      </c>
      <c r="D155" s="35" t="s">
        <v>1137</v>
      </c>
      <c r="E155" s="39" t="s">
        <v>1138</v>
      </c>
      <c r="F155" s="36">
        <v>45308</v>
      </c>
      <c r="G155" s="37" t="s">
        <v>1139</v>
      </c>
      <c r="H155" s="40" t="s">
        <v>139</v>
      </c>
      <c r="I155" s="40" t="s">
        <v>1140</v>
      </c>
      <c r="J155" s="54">
        <v>20722240</v>
      </c>
      <c r="K155" s="54">
        <v>20722240</v>
      </c>
      <c r="L155" s="54">
        <v>0</v>
      </c>
      <c r="M155" s="54">
        <v>0</v>
      </c>
      <c r="N155" s="42">
        <f t="shared" si="16"/>
        <v>0</v>
      </c>
      <c r="O155" s="43">
        <f t="shared" si="26"/>
        <v>0</v>
      </c>
      <c r="P155" s="41">
        <v>20722240</v>
      </c>
      <c r="Q155" s="43">
        <f t="shared" si="21"/>
        <v>0</v>
      </c>
      <c r="R155" s="41">
        <v>20722240</v>
      </c>
      <c r="S155" s="30">
        <f t="shared" si="29"/>
        <v>20722240</v>
      </c>
      <c r="T155" s="30">
        <f t="shared" si="28"/>
        <v>20722240</v>
      </c>
      <c r="U155" s="30">
        <f>T155/X155</f>
        <v>51.04</v>
      </c>
      <c r="V155" s="41">
        <f>T155/X155</f>
        <v>51.04</v>
      </c>
      <c r="W155" s="41">
        <f>V155*AU155</f>
        <v>25520</v>
      </c>
      <c r="X155" s="41">
        <f t="shared" si="25"/>
        <v>406000</v>
      </c>
      <c r="Y155" s="41">
        <v>406000</v>
      </c>
      <c r="Z155" s="41">
        <v>0</v>
      </c>
      <c r="AA155" s="41">
        <v>0</v>
      </c>
      <c r="AB155" s="41">
        <v>406000</v>
      </c>
      <c r="AC155" s="41">
        <f t="shared" si="23"/>
        <v>20722240</v>
      </c>
      <c r="AD155" s="41">
        <v>0</v>
      </c>
      <c r="AE155" s="41">
        <f t="shared" si="24"/>
        <v>0</v>
      </c>
      <c r="AF155" s="41">
        <f>X155/AU155</f>
        <v>812</v>
      </c>
      <c r="AG155" s="41">
        <f t="shared" si="27"/>
        <v>812</v>
      </c>
      <c r="AH155" s="36">
        <v>45381</v>
      </c>
      <c r="AI155" s="36"/>
      <c r="AJ155" s="36"/>
      <c r="AK155" s="36">
        <v>45413</v>
      </c>
      <c r="AL155" s="36"/>
      <c r="AM155" s="46"/>
      <c r="AN155" s="40" t="s">
        <v>1125</v>
      </c>
      <c r="AO155" s="40" t="s">
        <v>1141</v>
      </c>
      <c r="AP155" s="40" t="s">
        <v>1127</v>
      </c>
      <c r="AQ155" s="40" t="s">
        <v>774</v>
      </c>
      <c r="AR155" s="48">
        <v>0</v>
      </c>
      <c r="AS155" s="37">
        <v>100</v>
      </c>
      <c r="AT155" s="37" t="s">
        <v>1067</v>
      </c>
      <c r="AU155" s="47">
        <v>500</v>
      </c>
      <c r="AV155" s="37" t="s">
        <v>60</v>
      </c>
      <c r="AW155" s="37">
        <v>10</v>
      </c>
      <c r="AX155" s="30">
        <f>(J155*10)/100</f>
        <v>2072224</v>
      </c>
      <c r="AY155" s="40" t="s">
        <v>402</v>
      </c>
    </row>
    <row r="156" spans="1:51" ht="66" customHeight="1" x14ac:dyDescent="0.25">
      <c r="A156" s="44" t="s">
        <v>1142</v>
      </c>
      <c r="B156" s="46">
        <v>45280</v>
      </c>
      <c r="C156" s="40">
        <v>1416</v>
      </c>
      <c r="D156" s="35" t="s">
        <v>1143</v>
      </c>
      <c r="E156" s="39" t="s">
        <v>1144</v>
      </c>
      <c r="F156" s="36">
        <v>45314</v>
      </c>
      <c r="G156" s="37" t="s">
        <v>1145</v>
      </c>
      <c r="H156" s="40" t="s">
        <v>86</v>
      </c>
      <c r="I156" s="40" t="s">
        <v>666</v>
      </c>
      <c r="J156" s="54">
        <v>1441732800</v>
      </c>
      <c r="K156" s="54">
        <v>720866400</v>
      </c>
      <c r="L156" s="54">
        <v>720866400</v>
      </c>
      <c r="M156" s="54">
        <v>0</v>
      </c>
      <c r="N156" s="42">
        <f t="shared" si="16"/>
        <v>0</v>
      </c>
      <c r="O156" s="43">
        <f t="shared" si="26"/>
        <v>0</v>
      </c>
      <c r="P156" s="41">
        <v>1441732800</v>
      </c>
      <c r="Q156" s="43">
        <f t="shared" si="21"/>
        <v>720866400</v>
      </c>
      <c r="R156" s="41">
        <v>720866400</v>
      </c>
      <c r="S156" s="30">
        <f t="shared" si="29"/>
        <v>720866400</v>
      </c>
      <c r="T156" s="30">
        <v>1441732800</v>
      </c>
      <c r="U156" s="30">
        <f>T156/X156</f>
        <v>10.72</v>
      </c>
      <c r="V156" s="41">
        <f>T156/X156</f>
        <v>10.72</v>
      </c>
      <c r="W156" s="41" t="e">
        <f>V156*AU156</f>
        <v>#VALUE!</v>
      </c>
      <c r="X156" s="41">
        <v>134490000</v>
      </c>
      <c r="Y156" s="41">
        <f>14124000+32252000</f>
        <v>46376000</v>
      </c>
      <c r="Z156" s="41">
        <f>6354000+14515000</f>
        <v>20869000</v>
      </c>
      <c r="AA156" s="41">
        <v>0</v>
      </c>
      <c r="AB156" s="41">
        <f>14124000+6354000</f>
        <v>20478000</v>
      </c>
      <c r="AC156" s="41">
        <f t="shared" si="23"/>
        <v>219524160</v>
      </c>
      <c r="AD156" s="41">
        <f>32252000+14515000</f>
        <v>46767000</v>
      </c>
      <c r="AE156" s="41">
        <f t="shared" si="24"/>
        <v>501342240.00000006</v>
      </c>
      <c r="AF156" s="41" t="e">
        <f>X156/AU156</f>
        <v>#VALUE!</v>
      </c>
      <c r="AG156" s="41" t="e">
        <f t="shared" si="27"/>
        <v>#VALUE!</v>
      </c>
      <c r="AH156" s="36">
        <v>45352</v>
      </c>
      <c r="AI156" s="36">
        <v>45565</v>
      </c>
      <c r="AJ156" s="36" t="s">
        <v>1146</v>
      </c>
      <c r="AK156" s="36">
        <v>45383</v>
      </c>
      <c r="AL156" s="36">
        <v>45597</v>
      </c>
      <c r="AM156" s="46" t="s">
        <v>1147</v>
      </c>
      <c r="AN156" s="40" t="s">
        <v>1148</v>
      </c>
      <c r="AO156" s="40" t="s">
        <v>1149</v>
      </c>
      <c r="AP156" s="40" t="s">
        <v>1150</v>
      </c>
      <c r="AQ156" s="40" t="s">
        <v>1048</v>
      </c>
      <c r="AR156" s="48">
        <v>0</v>
      </c>
      <c r="AS156" s="37">
        <v>100</v>
      </c>
      <c r="AT156" s="37" t="s">
        <v>93</v>
      </c>
      <c r="AU156" s="51" t="s">
        <v>1151</v>
      </c>
      <c r="AV156" s="37" t="s">
        <v>60</v>
      </c>
      <c r="AW156" s="37">
        <v>10</v>
      </c>
      <c r="AX156" s="30">
        <f>(J156*10)/100</f>
        <v>144173280</v>
      </c>
      <c r="AY156" s="40" t="s">
        <v>402</v>
      </c>
    </row>
    <row r="157" spans="1:51" ht="66" customHeight="1" x14ac:dyDescent="0.25">
      <c r="A157" s="44" t="s">
        <v>1152</v>
      </c>
      <c r="B157" s="46">
        <v>45280</v>
      </c>
      <c r="C157" s="40">
        <v>1416</v>
      </c>
      <c r="D157" s="35" t="s">
        <v>431</v>
      </c>
      <c r="E157" s="39" t="s">
        <v>1153</v>
      </c>
      <c r="F157" s="36" t="s">
        <v>431</v>
      </c>
      <c r="G157" s="37" t="s">
        <v>431</v>
      </c>
      <c r="H157" s="40" t="s">
        <v>431</v>
      </c>
      <c r="I157" s="40" t="s">
        <v>1154</v>
      </c>
      <c r="J157" s="54">
        <v>239282920</v>
      </c>
      <c r="K157" s="54">
        <v>239282920</v>
      </c>
      <c r="L157" s="54"/>
      <c r="M157" s="54"/>
      <c r="N157" s="42">
        <f t="shared" si="16"/>
        <v>100</v>
      </c>
      <c r="O157" s="43">
        <f t="shared" si="26"/>
        <v>239282920</v>
      </c>
      <c r="P157" s="41"/>
      <c r="Q157" s="43">
        <f t="shared" si="21"/>
        <v>239282920</v>
      </c>
      <c r="R157" s="41">
        <v>0</v>
      </c>
      <c r="S157" s="30">
        <f t="shared" si="29"/>
        <v>0</v>
      </c>
      <c r="T157" s="30">
        <f t="shared" si="29"/>
        <v>0</v>
      </c>
      <c r="U157" s="30" t="e">
        <f>T157/X157</f>
        <v>#DIV/0!</v>
      </c>
      <c r="V157" s="41" t="e">
        <f>T157/X157</f>
        <v>#DIV/0!</v>
      </c>
      <c r="W157" s="41" t="e">
        <f>V157*AU157</f>
        <v>#DIV/0!</v>
      </c>
      <c r="X157" s="41">
        <f t="shared" si="25"/>
        <v>0</v>
      </c>
      <c r="Y157" s="41">
        <v>0</v>
      </c>
      <c r="Z157" s="41">
        <v>0</v>
      </c>
      <c r="AA157" s="41">
        <v>0</v>
      </c>
      <c r="AB157" s="41"/>
      <c r="AC157" s="41" t="e">
        <f t="shared" si="23"/>
        <v>#DIV/0!</v>
      </c>
      <c r="AD157" s="41"/>
      <c r="AE157" s="41" t="e">
        <f t="shared" si="24"/>
        <v>#DIV/0!</v>
      </c>
      <c r="AF157" s="41" t="e">
        <f>X157/AU157</f>
        <v>#DIV/0!</v>
      </c>
      <c r="AG157" s="41" t="e">
        <f t="shared" si="27"/>
        <v>#DIV/0!</v>
      </c>
      <c r="AH157" s="36">
        <v>45382</v>
      </c>
      <c r="AI157" s="36">
        <v>45483</v>
      </c>
      <c r="AJ157" s="36"/>
      <c r="AK157" s="36"/>
      <c r="AL157" s="36"/>
      <c r="AM157" s="46"/>
      <c r="AN157" s="40"/>
      <c r="AO157" s="40"/>
      <c r="AP157" s="40"/>
      <c r="AQ157" s="40"/>
      <c r="AR157" s="48"/>
      <c r="AS157" s="37"/>
      <c r="AT157" s="37"/>
      <c r="AU157" s="47"/>
      <c r="AV157" s="37"/>
      <c r="AW157" s="37">
        <v>10</v>
      </c>
      <c r="AX157" s="30">
        <f>(J157*10)/100</f>
        <v>23928292</v>
      </c>
      <c r="AY157" s="40" t="s">
        <v>402</v>
      </c>
    </row>
    <row r="158" spans="1:51" ht="58.5" customHeight="1" x14ac:dyDescent="0.25">
      <c r="A158" s="44" t="s">
        <v>1155</v>
      </c>
      <c r="B158" s="46">
        <v>45280</v>
      </c>
      <c r="C158" s="40">
        <v>545</v>
      </c>
      <c r="D158" s="35" t="s">
        <v>1156</v>
      </c>
      <c r="E158" s="39" t="s">
        <v>1157</v>
      </c>
      <c r="F158" s="36">
        <v>45313</v>
      </c>
      <c r="G158" s="37" t="s">
        <v>1158</v>
      </c>
      <c r="H158" s="40" t="s">
        <v>269</v>
      </c>
      <c r="I158" s="40" t="s">
        <v>1159</v>
      </c>
      <c r="J158" s="54">
        <v>293433282.44999999</v>
      </c>
      <c r="K158" s="54">
        <v>293433282.44999999</v>
      </c>
      <c r="L158" s="54">
        <v>0</v>
      </c>
      <c r="M158" s="54">
        <v>0</v>
      </c>
      <c r="N158" s="42">
        <f t="shared" si="16"/>
        <v>0</v>
      </c>
      <c r="O158" s="43">
        <f t="shared" si="26"/>
        <v>0</v>
      </c>
      <c r="P158" s="41">
        <v>293433282.44999999</v>
      </c>
      <c r="Q158" s="43">
        <f t="shared" si="21"/>
        <v>0</v>
      </c>
      <c r="R158" s="41">
        <v>293433282.44999999</v>
      </c>
      <c r="S158" s="30">
        <f t="shared" si="29"/>
        <v>293433282.44999999</v>
      </c>
      <c r="T158" s="30">
        <f t="shared" si="29"/>
        <v>293433282.44999999</v>
      </c>
      <c r="U158" s="30">
        <f>T158/X158</f>
        <v>204411.9</v>
      </c>
      <c r="V158" s="41">
        <f>T158/X158</f>
        <v>204411.9</v>
      </c>
      <c r="W158" s="41">
        <f>V158*AU158</f>
        <v>919853.54999999993</v>
      </c>
      <c r="X158" s="41">
        <f t="shared" si="25"/>
        <v>1435.5</v>
      </c>
      <c r="Y158" s="41">
        <v>1435.5</v>
      </c>
      <c r="Z158" s="41">
        <v>0</v>
      </c>
      <c r="AA158" s="41">
        <v>0</v>
      </c>
      <c r="AB158" s="41">
        <v>0</v>
      </c>
      <c r="AC158" s="41">
        <f t="shared" si="23"/>
        <v>0</v>
      </c>
      <c r="AD158" s="41">
        <v>0</v>
      </c>
      <c r="AE158" s="41">
        <f t="shared" si="24"/>
        <v>0</v>
      </c>
      <c r="AF158" s="41">
        <f>X158/AU158</f>
        <v>319</v>
      </c>
      <c r="AG158" s="41">
        <f t="shared" si="27"/>
        <v>319</v>
      </c>
      <c r="AH158" s="36">
        <v>45352</v>
      </c>
      <c r="AI158" s="36"/>
      <c r="AJ158" s="36"/>
      <c r="AK158" s="36">
        <v>45383</v>
      </c>
      <c r="AL158" s="36"/>
      <c r="AM158" s="46"/>
      <c r="AN158" s="40" t="s">
        <v>748</v>
      </c>
      <c r="AO158" s="40" t="s">
        <v>1160</v>
      </c>
      <c r="AP158" s="40" t="s">
        <v>750</v>
      </c>
      <c r="AQ158" s="40" t="s">
        <v>146</v>
      </c>
      <c r="AR158" s="48">
        <v>0</v>
      </c>
      <c r="AS158" s="37">
        <v>100</v>
      </c>
      <c r="AT158" s="37" t="s">
        <v>81</v>
      </c>
      <c r="AU158" s="52">
        <v>4.5</v>
      </c>
      <c r="AV158" s="37" t="s">
        <v>60</v>
      </c>
      <c r="AW158" s="37">
        <v>10</v>
      </c>
      <c r="AX158" s="30">
        <f>(J158*10)/100</f>
        <v>29343328.245000001</v>
      </c>
      <c r="AY158" s="40" t="s">
        <v>402</v>
      </c>
    </row>
    <row r="159" spans="1:51" ht="58.5" customHeight="1" x14ac:dyDescent="0.25">
      <c r="A159" s="44" t="s">
        <v>1161</v>
      </c>
      <c r="B159" s="46">
        <v>45287</v>
      </c>
      <c r="C159" s="40">
        <v>1416</v>
      </c>
      <c r="D159" s="35" t="s">
        <v>1162</v>
      </c>
      <c r="E159" s="39" t="s">
        <v>1163</v>
      </c>
      <c r="F159" s="36">
        <v>45320</v>
      </c>
      <c r="G159" s="37" t="s">
        <v>1164</v>
      </c>
      <c r="H159" s="40" t="s">
        <v>1165</v>
      </c>
      <c r="I159" s="40" t="s">
        <v>1166</v>
      </c>
      <c r="J159" s="54">
        <v>346834734.83999997</v>
      </c>
      <c r="K159" s="54">
        <v>346834734.83999997</v>
      </c>
      <c r="L159" s="54">
        <v>0</v>
      </c>
      <c r="M159" s="54">
        <v>0</v>
      </c>
      <c r="N159" s="42">
        <f t="shared" si="16"/>
        <v>0</v>
      </c>
      <c r="O159" s="43">
        <f t="shared" si="26"/>
        <v>0</v>
      </c>
      <c r="P159" s="41">
        <v>346834734.83999997</v>
      </c>
      <c r="Q159" s="43">
        <f t="shared" si="21"/>
        <v>0</v>
      </c>
      <c r="R159" s="41">
        <v>346834734.83999997</v>
      </c>
      <c r="S159" s="30">
        <f t="shared" si="29"/>
        <v>346834734.83999997</v>
      </c>
      <c r="T159" s="30">
        <f t="shared" si="29"/>
        <v>346834734.83999997</v>
      </c>
      <c r="U159" s="30">
        <f>T159/X159</f>
        <v>50773.64</v>
      </c>
      <c r="V159" s="41">
        <f>T159/X159</f>
        <v>50773.64</v>
      </c>
      <c r="W159" s="41">
        <f>V159*AU159</f>
        <v>152320.91999999998</v>
      </c>
      <c r="X159" s="41">
        <f t="shared" si="25"/>
        <v>6831</v>
      </c>
      <c r="Y159" s="41">
        <f>5037+1794</f>
        <v>6831</v>
      </c>
      <c r="Z159" s="41">
        <v>0</v>
      </c>
      <c r="AA159" s="41">
        <v>0</v>
      </c>
      <c r="AB159" s="41">
        <v>5037</v>
      </c>
      <c r="AC159" s="41">
        <f t="shared" si="23"/>
        <v>255746824.68000001</v>
      </c>
      <c r="AD159" s="41">
        <v>1794</v>
      </c>
      <c r="AE159" s="41">
        <f t="shared" si="24"/>
        <v>91087910.159999996</v>
      </c>
      <c r="AF159" s="41">
        <f>X159/AU159</f>
        <v>2277</v>
      </c>
      <c r="AG159" s="41">
        <f t="shared" si="27"/>
        <v>2277</v>
      </c>
      <c r="AH159" s="36">
        <v>45352</v>
      </c>
      <c r="AI159" s="36"/>
      <c r="AJ159" s="36"/>
      <c r="AK159" s="36">
        <v>45383</v>
      </c>
      <c r="AL159" s="36"/>
      <c r="AM159" s="46"/>
      <c r="AN159" s="40" t="s">
        <v>1167</v>
      </c>
      <c r="AO159" s="40" t="s">
        <v>1168</v>
      </c>
      <c r="AP159" s="40" t="s">
        <v>1169</v>
      </c>
      <c r="AQ159" s="40" t="s">
        <v>1170</v>
      </c>
      <c r="AR159" s="48">
        <v>0</v>
      </c>
      <c r="AS159" s="37">
        <v>100</v>
      </c>
      <c r="AT159" s="37" t="s">
        <v>81</v>
      </c>
      <c r="AU159" s="47">
        <v>3</v>
      </c>
      <c r="AV159" s="37" t="s">
        <v>60</v>
      </c>
      <c r="AW159" s="37">
        <v>10</v>
      </c>
      <c r="AX159" s="30">
        <f>(J159*10)/100</f>
        <v>34683473.483999997</v>
      </c>
      <c r="AY159" s="40" t="s">
        <v>402</v>
      </c>
    </row>
    <row r="160" spans="1:51" ht="58.5" customHeight="1" x14ac:dyDescent="0.25">
      <c r="A160" s="44" t="s">
        <v>1171</v>
      </c>
      <c r="B160" s="46">
        <v>45287</v>
      </c>
      <c r="C160" s="40">
        <v>1416</v>
      </c>
      <c r="D160" s="35" t="s">
        <v>1172</v>
      </c>
      <c r="E160" s="39" t="s">
        <v>1173</v>
      </c>
      <c r="F160" s="36">
        <v>45317</v>
      </c>
      <c r="G160" s="37" t="s">
        <v>1174</v>
      </c>
      <c r="H160" s="40" t="s">
        <v>139</v>
      </c>
      <c r="I160" s="40" t="s">
        <v>1175</v>
      </c>
      <c r="J160" s="54">
        <v>966903210</v>
      </c>
      <c r="K160" s="54">
        <v>966903210</v>
      </c>
      <c r="L160" s="54">
        <v>0</v>
      </c>
      <c r="M160" s="54">
        <v>0</v>
      </c>
      <c r="N160" s="42">
        <f t="shared" ref="N160:N223" si="30">((J160-P160)/J160)*100</f>
        <v>0</v>
      </c>
      <c r="O160" s="43">
        <f t="shared" si="26"/>
        <v>0</v>
      </c>
      <c r="P160" s="41">
        <v>966903210</v>
      </c>
      <c r="Q160" s="43">
        <f t="shared" si="21"/>
        <v>0</v>
      </c>
      <c r="R160" s="41">
        <v>966903210</v>
      </c>
      <c r="S160" s="30">
        <f t="shared" si="29"/>
        <v>966903210</v>
      </c>
      <c r="T160" s="30">
        <f t="shared" si="29"/>
        <v>966903210</v>
      </c>
      <c r="U160" s="30">
        <f>T160/X160</f>
        <v>12.39</v>
      </c>
      <c r="V160" s="41">
        <f>T160/X160</f>
        <v>12.39</v>
      </c>
      <c r="W160" s="41" t="e">
        <f>V160*AU160</f>
        <v>#VALUE!</v>
      </c>
      <c r="X160" s="41">
        <f t="shared" si="25"/>
        <v>78039000</v>
      </c>
      <c r="Y160" s="41">
        <f>23753000+16538000</f>
        <v>40291000</v>
      </c>
      <c r="Z160" s="41">
        <f>23739000+14009000</f>
        <v>37748000</v>
      </c>
      <c r="AA160" s="41">
        <v>0</v>
      </c>
      <c r="AB160" s="41">
        <f>23753000+23739000</f>
        <v>47492000</v>
      </c>
      <c r="AC160" s="41">
        <f t="shared" si="23"/>
        <v>588425880</v>
      </c>
      <c r="AD160" s="41">
        <f>16538000+14009000</f>
        <v>30547000</v>
      </c>
      <c r="AE160" s="41">
        <f t="shared" si="24"/>
        <v>378477330</v>
      </c>
      <c r="AF160" s="41" t="e">
        <f>X160/AU160</f>
        <v>#VALUE!</v>
      </c>
      <c r="AG160" s="41" t="e">
        <f t="shared" si="27"/>
        <v>#VALUE!</v>
      </c>
      <c r="AH160" s="36">
        <v>45383</v>
      </c>
      <c r="AI160" s="36">
        <v>45432</v>
      </c>
      <c r="AJ160" s="36"/>
      <c r="AK160" s="36">
        <v>45413</v>
      </c>
      <c r="AL160" s="36">
        <v>45463</v>
      </c>
      <c r="AM160" s="46"/>
      <c r="AN160" s="40" t="s">
        <v>1176</v>
      </c>
      <c r="AO160" s="40" t="s">
        <v>1177</v>
      </c>
      <c r="AP160" s="40" t="s">
        <v>1178</v>
      </c>
      <c r="AQ160" s="40" t="s">
        <v>1179</v>
      </c>
      <c r="AR160" s="48">
        <v>0</v>
      </c>
      <c r="AS160" s="37">
        <v>100</v>
      </c>
      <c r="AT160" s="37" t="s">
        <v>93</v>
      </c>
      <c r="AU160" s="51" t="s">
        <v>1180</v>
      </c>
      <c r="AV160" s="37" t="s">
        <v>60</v>
      </c>
      <c r="AW160" s="37">
        <v>10</v>
      </c>
      <c r="AX160" s="30">
        <f>(J160*10)/100</f>
        <v>96690321</v>
      </c>
      <c r="AY160" s="40" t="s">
        <v>402</v>
      </c>
    </row>
    <row r="161" spans="1:51" ht="58.5" customHeight="1" x14ac:dyDescent="0.25">
      <c r="A161" s="44" t="s">
        <v>1181</v>
      </c>
      <c r="B161" s="46">
        <v>45287</v>
      </c>
      <c r="C161" s="40">
        <v>1416</v>
      </c>
      <c r="D161" s="35" t="s">
        <v>1182</v>
      </c>
      <c r="E161" s="39" t="s">
        <v>1183</v>
      </c>
      <c r="F161" s="36">
        <v>45320</v>
      </c>
      <c r="G161" s="37" t="s">
        <v>1184</v>
      </c>
      <c r="H161" s="57" t="s">
        <v>1185</v>
      </c>
      <c r="I161" s="40" t="s">
        <v>1186</v>
      </c>
      <c r="J161" s="54">
        <v>41849051.399999999</v>
      </c>
      <c r="K161" s="54">
        <v>41849051.399999999</v>
      </c>
      <c r="L161" s="54">
        <v>0</v>
      </c>
      <c r="M161" s="54">
        <v>0</v>
      </c>
      <c r="N161" s="42">
        <f t="shared" si="30"/>
        <v>2.5000000358430996</v>
      </c>
      <c r="O161" s="43">
        <f t="shared" si="26"/>
        <v>1046226.299999997</v>
      </c>
      <c r="P161" s="41">
        <v>40802825.100000001</v>
      </c>
      <c r="Q161" s="43">
        <f t="shared" si="21"/>
        <v>8537716.1999999993</v>
      </c>
      <c r="R161" s="41">
        <v>33311335.199999999</v>
      </c>
      <c r="S161" s="30">
        <f t="shared" si="29"/>
        <v>33311335.199999999</v>
      </c>
      <c r="T161" s="30">
        <f t="shared" si="29"/>
        <v>33311335.199999999</v>
      </c>
      <c r="U161" s="30">
        <f>T161/X161</f>
        <v>44.44</v>
      </c>
      <c r="V161" s="41">
        <f>T161/X161</f>
        <v>44.44</v>
      </c>
      <c r="W161" s="41">
        <f>V161*AU161</f>
        <v>2666.3999999999996</v>
      </c>
      <c r="X161" s="41">
        <f t="shared" si="25"/>
        <v>749580</v>
      </c>
      <c r="Y161" s="41">
        <f>21060+194940</f>
        <v>216000</v>
      </c>
      <c r="Z161" s="41">
        <f>51720+481860</f>
        <v>533580</v>
      </c>
      <c r="AA161" s="41">
        <v>0</v>
      </c>
      <c r="AB161" s="41">
        <f>21060+51720</f>
        <v>72780</v>
      </c>
      <c r="AC161" s="41">
        <f t="shared" si="23"/>
        <v>3234343.1999999997</v>
      </c>
      <c r="AD161" s="41">
        <f>194940+481860</f>
        <v>676800</v>
      </c>
      <c r="AE161" s="41">
        <f t="shared" si="24"/>
        <v>30076992</v>
      </c>
      <c r="AF161" s="41">
        <f>X161/AU161</f>
        <v>12493</v>
      </c>
      <c r="AG161" s="41">
        <f t="shared" si="27"/>
        <v>12493</v>
      </c>
      <c r="AH161" s="36">
        <v>45352</v>
      </c>
      <c r="AI161" s="36">
        <v>45474</v>
      </c>
      <c r="AJ161" s="36"/>
      <c r="AK161" s="36">
        <v>45383</v>
      </c>
      <c r="AL161" s="36">
        <v>45505</v>
      </c>
      <c r="AM161" s="46"/>
      <c r="AN161" s="40" t="s">
        <v>1187</v>
      </c>
      <c r="AO161" s="40" t="s">
        <v>1188</v>
      </c>
      <c r="AP161" s="40" t="s">
        <v>1189</v>
      </c>
      <c r="AQ161" s="40" t="s">
        <v>80</v>
      </c>
      <c r="AR161" s="48">
        <v>100</v>
      </c>
      <c r="AS161" s="37">
        <v>0</v>
      </c>
      <c r="AT161" s="37" t="s">
        <v>386</v>
      </c>
      <c r="AU161" s="47">
        <v>60</v>
      </c>
      <c r="AV161" s="37" t="s">
        <v>60</v>
      </c>
      <c r="AW161" s="37">
        <v>10</v>
      </c>
      <c r="AX161" s="30">
        <f>(J161*10)/100</f>
        <v>4184905.14</v>
      </c>
      <c r="AY161" s="40" t="s">
        <v>402</v>
      </c>
    </row>
    <row r="162" spans="1:51" ht="58.5" customHeight="1" x14ac:dyDescent="0.25">
      <c r="A162" s="44" t="s">
        <v>1190</v>
      </c>
      <c r="B162" s="46">
        <v>45287</v>
      </c>
      <c r="C162" s="40">
        <v>1416</v>
      </c>
      <c r="D162" s="35" t="s">
        <v>1191</v>
      </c>
      <c r="E162" s="39" t="s">
        <v>1192</v>
      </c>
      <c r="F162" s="36">
        <v>45317</v>
      </c>
      <c r="G162" s="37" t="s">
        <v>1193</v>
      </c>
      <c r="H162" s="40" t="s">
        <v>139</v>
      </c>
      <c r="I162" s="40" t="s">
        <v>1194</v>
      </c>
      <c r="J162" s="54">
        <v>1312363937.5</v>
      </c>
      <c r="K162" s="54">
        <v>1312363937.5</v>
      </c>
      <c r="L162" s="54">
        <v>0</v>
      </c>
      <c r="M162" s="54">
        <v>0</v>
      </c>
      <c r="N162" s="42">
        <f t="shared" si="30"/>
        <v>0</v>
      </c>
      <c r="O162" s="43">
        <f t="shared" si="26"/>
        <v>0</v>
      </c>
      <c r="P162" s="41">
        <v>1312363937.5</v>
      </c>
      <c r="Q162" s="43">
        <f t="shared" si="21"/>
        <v>0</v>
      </c>
      <c r="R162" s="41">
        <v>1312363937.5</v>
      </c>
      <c r="S162" s="30">
        <f t="shared" si="29"/>
        <v>1312363937.5</v>
      </c>
      <c r="T162" s="30">
        <f t="shared" si="29"/>
        <v>1312363937.5</v>
      </c>
      <c r="U162" s="30">
        <f>T162/X162</f>
        <v>23003.75</v>
      </c>
      <c r="V162" s="41">
        <f>T162/X162</f>
        <v>23003.75</v>
      </c>
      <c r="W162" s="41">
        <f>V162*AU162</f>
        <v>23003.75</v>
      </c>
      <c r="X162" s="41">
        <f t="shared" si="25"/>
        <v>57050</v>
      </c>
      <c r="Y162" s="41">
        <f>310+56740</f>
        <v>57050</v>
      </c>
      <c r="Z162" s="41">
        <v>0</v>
      </c>
      <c r="AA162" s="41">
        <v>0</v>
      </c>
      <c r="AB162" s="41">
        <v>310</v>
      </c>
      <c r="AC162" s="41">
        <f t="shared" si="23"/>
        <v>7131162.5</v>
      </c>
      <c r="AD162" s="41">
        <v>56740</v>
      </c>
      <c r="AE162" s="41">
        <f t="shared" si="24"/>
        <v>1305232775</v>
      </c>
      <c r="AF162" s="41">
        <f>X162/AU162</f>
        <v>57050</v>
      </c>
      <c r="AG162" s="41">
        <f t="shared" si="27"/>
        <v>57050</v>
      </c>
      <c r="AH162" s="36">
        <v>45383</v>
      </c>
      <c r="AI162" s="36"/>
      <c r="AJ162" s="36"/>
      <c r="AK162" s="36">
        <v>45413</v>
      </c>
      <c r="AL162" s="36"/>
      <c r="AM162" s="46"/>
      <c r="AN162" s="40" t="s">
        <v>1195</v>
      </c>
      <c r="AO162" s="40" t="s">
        <v>1196</v>
      </c>
      <c r="AP162" s="40" t="s">
        <v>1197</v>
      </c>
      <c r="AQ162" s="40" t="s">
        <v>92</v>
      </c>
      <c r="AR162" s="48">
        <v>0</v>
      </c>
      <c r="AS162" s="37">
        <v>100</v>
      </c>
      <c r="AT162" s="37" t="s">
        <v>81</v>
      </c>
      <c r="AU162" s="47">
        <v>1</v>
      </c>
      <c r="AV162" s="37" t="s">
        <v>60</v>
      </c>
      <c r="AW162" s="37">
        <v>10</v>
      </c>
      <c r="AX162" s="30">
        <f>(J162*10)/100</f>
        <v>131236393.75</v>
      </c>
      <c r="AY162" s="40" t="s">
        <v>402</v>
      </c>
    </row>
    <row r="163" spans="1:51" ht="58.5" customHeight="1" x14ac:dyDescent="0.25">
      <c r="A163" s="44" t="s">
        <v>1198</v>
      </c>
      <c r="B163" s="46">
        <v>45287</v>
      </c>
      <c r="C163" s="40">
        <v>1416</v>
      </c>
      <c r="D163" s="35" t="s">
        <v>1199</v>
      </c>
      <c r="E163" s="39" t="s">
        <v>1200</v>
      </c>
      <c r="F163" s="36">
        <v>45317</v>
      </c>
      <c r="G163" s="37" t="s">
        <v>1201</v>
      </c>
      <c r="H163" s="40" t="s">
        <v>1202</v>
      </c>
      <c r="I163" s="40" t="s">
        <v>1203</v>
      </c>
      <c r="J163" s="54">
        <v>29904355.5</v>
      </c>
      <c r="K163" s="54">
        <v>29904355.5</v>
      </c>
      <c r="L163" s="54">
        <v>0</v>
      </c>
      <c r="M163" s="54">
        <v>0</v>
      </c>
      <c r="N163" s="42">
        <f t="shared" si="30"/>
        <v>0</v>
      </c>
      <c r="O163" s="43">
        <f t="shared" si="26"/>
        <v>0</v>
      </c>
      <c r="P163" s="41">
        <v>29904355.5</v>
      </c>
      <c r="Q163" s="43">
        <f t="shared" si="21"/>
        <v>0</v>
      </c>
      <c r="R163" s="41">
        <v>29904355.5</v>
      </c>
      <c r="S163" s="30">
        <f t="shared" si="29"/>
        <v>29904355.5</v>
      </c>
      <c r="T163" s="30">
        <f t="shared" si="29"/>
        <v>29904355.5</v>
      </c>
      <c r="U163" s="30">
        <f>T163/X163</f>
        <v>15.69</v>
      </c>
      <c r="V163" s="41">
        <f>T163/X163</f>
        <v>15.69</v>
      </c>
      <c r="W163" s="41" t="e">
        <f>V163*AU163</f>
        <v>#VALUE!</v>
      </c>
      <c r="X163" s="41">
        <f t="shared" si="25"/>
        <v>1905950</v>
      </c>
      <c r="Y163" s="41">
        <f>950150+955800</f>
        <v>1905950</v>
      </c>
      <c r="Z163" s="41">
        <v>0</v>
      </c>
      <c r="AA163" s="41">
        <v>0</v>
      </c>
      <c r="AB163" s="41">
        <v>950150</v>
      </c>
      <c r="AC163" s="41">
        <f t="shared" si="23"/>
        <v>14907853.5</v>
      </c>
      <c r="AD163" s="41">
        <v>955800</v>
      </c>
      <c r="AE163" s="41">
        <f t="shared" si="24"/>
        <v>14996502</v>
      </c>
      <c r="AF163" s="41" t="e">
        <f>X163/AU163</f>
        <v>#VALUE!</v>
      </c>
      <c r="AG163" s="41" t="e">
        <f t="shared" si="27"/>
        <v>#VALUE!</v>
      </c>
      <c r="AH163" s="36">
        <v>45352</v>
      </c>
      <c r="AI163" s="36"/>
      <c r="AJ163" s="36"/>
      <c r="AK163" s="36">
        <v>45383</v>
      </c>
      <c r="AL163" s="36"/>
      <c r="AM163" s="46"/>
      <c r="AN163" s="40" t="s">
        <v>1204</v>
      </c>
      <c r="AO163" s="40" t="s">
        <v>1205</v>
      </c>
      <c r="AP163" s="40" t="s">
        <v>1206</v>
      </c>
      <c r="AQ163" s="40" t="s">
        <v>80</v>
      </c>
      <c r="AR163" s="48">
        <v>100</v>
      </c>
      <c r="AS163" s="37">
        <v>0</v>
      </c>
      <c r="AT163" s="37" t="s">
        <v>386</v>
      </c>
      <c r="AU163" s="51" t="s">
        <v>1207</v>
      </c>
      <c r="AV163" s="37" t="s">
        <v>60</v>
      </c>
      <c r="AW163" s="37">
        <v>10</v>
      </c>
      <c r="AX163" s="30">
        <f>(J163*10)/100</f>
        <v>2990435.55</v>
      </c>
      <c r="AY163" s="40" t="s">
        <v>402</v>
      </c>
    </row>
    <row r="164" spans="1:51" ht="58.5" customHeight="1" x14ac:dyDescent="0.25">
      <c r="A164" s="44" t="s">
        <v>1208</v>
      </c>
      <c r="B164" s="46">
        <v>45287</v>
      </c>
      <c r="C164" s="40">
        <v>545</v>
      </c>
      <c r="D164" s="35" t="s">
        <v>1209</v>
      </c>
      <c r="E164" s="39" t="s">
        <v>1210</v>
      </c>
      <c r="F164" s="36">
        <v>45320</v>
      </c>
      <c r="G164" s="37" t="s">
        <v>1211</v>
      </c>
      <c r="H164" s="40" t="s">
        <v>86</v>
      </c>
      <c r="I164" s="40" t="s">
        <v>381</v>
      </c>
      <c r="J164" s="54">
        <v>445962000</v>
      </c>
      <c r="K164" s="54">
        <v>445962000</v>
      </c>
      <c r="L164" s="54">
        <v>0</v>
      </c>
      <c r="M164" s="54">
        <v>0</v>
      </c>
      <c r="N164" s="42">
        <f t="shared" si="30"/>
        <v>0</v>
      </c>
      <c r="O164" s="43">
        <f t="shared" si="26"/>
        <v>0</v>
      </c>
      <c r="P164" s="41">
        <v>445962000</v>
      </c>
      <c r="Q164" s="43">
        <f t="shared" si="21"/>
        <v>0</v>
      </c>
      <c r="R164" s="41">
        <v>445962000</v>
      </c>
      <c r="S164" s="30">
        <f t="shared" si="29"/>
        <v>445962000</v>
      </c>
      <c r="T164" s="30">
        <f t="shared" si="29"/>
        <v>445962000</v>
      </c>
      <c r="U164" s="30">
        <f>T164/X164</f>
        <v>15950</v>
      </c>
      <c r="V164" s="41">
        <f>T164/X164</f>
        <v>15950</v>
      </c>
      <c r="W164" s="41">
        <f>V164*AU164</f>
        <v>957000</v>
      </c>
      <c r="X164" s="41">
        <f t="shared" si="25"/>
        <v>27960</v>
      </c>
      <c r="Y164" s="41">
        <v>27960</v>
      </c>
      <c r="Z164" s="41">
        <v>0</v>
      </c>
      <c r="AA164" s="41">
        <v>0</v>
      </c>
      <c r="AB164" s="41"/>
      <c r="AC164" s="41">
        <f t="shared" si="23"/>
        <v>0</v>
      </c>
      <c r="AD164" s="41"/>
      <c r="AE164" s="41">
        <f t="shared" si="24"/>
        <v>0</v>
      </c>
      <c r="AF164" s="41">
        <f>X164/AU164</f>
        <v>466</v>
      </c>
      <c r="AG164" s="41">
        <f t="shared" si="27"/>
        <v>466</v>
      </c>
      <c r="AH164" s="36">
        <v>45352</v>
      </c>
      <c r="AI164" s="36"/>
      <c r="AJ164" s="36"/>
      <c r="AK164" s="36">
        <v>45383</v>
      </c>
      <c r="AL164" s="36"/>
      <c r="AM164" s="46"/>
      <c r="AN164" s="40" t="s">
        <v>382</v>
      </c>
      <c r="AO164" s="40" t="s">
        <v>1212</v>
      </c>
      <c r="AP164" s="40" t="s">
        <v>384</v>
      </c>
      <c r="AQ164" s="40" t="s">
        <v>385</v>
      </c>
      <c r="AR164" s="48">
        <v>100</v>
      </c>
      <c r="AS164" s="37">
        <v>0</v>
      </c>
      <c r="AT164" s="37" t="s">
        <v>386</v>
      </c>
      <c r="AU164" s="47">
        <v>60</v>
      </c>
      <c r="AV164" s="37" t="s">
        <v>60</v>
      </c>
      <c r="AW164" s="37">
        <v>10</v>
      </c>
      <c r="AX164" s="30">
        <f>(J164*10)/100</f>
        <v>44596200</v>
      </c>
      <c r="AY164" s="40" t="s">
        <v>402</v>
      </c>
    </row>
    <row r="165" spans="1:51" ht="58.5" customHeight="1" x14ac:dyDescent="0.25">
      <c r="A165" s="44" t="s">
        <v>1213</v>
      </c>
      <c r="B165" s="46">
        <v>45287</v>
      </c>
      <c r="C165" s="40">
        <v>1416</v>
      </c>
      <c r="D165" s="35" t="s">
        <v>1214</v>
      </c>
      <c r="E165" s="39" t="s">
        <v>1215</v>
      </c>
      <c r="F165" s="36">
        <v>45320</v>
      </c>
      <c r="G165" s="37" t="s">
        <v>1216</v>
      </c>
      <c r="H165" s="40" t="s">
        <v>1217</v>
      </c>
      <c r="I165" s="40" t="s">
        <v>1218</v>
      </c>
      <c r="J165" s="54">
        <v>33513232.5</v>
      </c>
      <c r="K165" s="54">
        <v>33513232.5</v>
      </c>
      <c r="L165" s="54">
        <v>0</v>
      </c>
      <c r="M165" s="54">
        <v>0</v>
      </c>
      <c r="N165" s="42">
        <f t="shared" si="30"/>
        <v>0</v>
      </c>
      <c r="O165" s="43">
        <f t="shared" si="26"/>
        <v>0</v>
      </c>
      <c r="P165" s="41">
        <v>33513232.5</v>
      </c>
      <c r="Q165" s="43">
        <f t="shared" si="21"/>
        <v>0</v>
      </c>
      <c r="R165" s="41">
        <v>33513232.5</v>
      </c>
      <c r="S165" s="30">
        <f t="shared" si="29"/>
        <v>33513232.5</v>
      </c>
      <c r="T165" s="30">
        <f t="shared" si="29"/>
        <v>33513232.5</v>
      </c>
      <c r="U165" s="30">
        <f>T165/X165</f>
        <v>22.11</v>
      </c>
      <c r="V165" s="41">
        <f>T165/X165</f>
        <v>22.11</v>
      </c>
      <c r="W165" s="41" t="e">
        <f>V165*AU165</f>
        <v>#VALUE!</v>
      </c>
      <c r="X165" s="41">
        <f t="shared" si="25"/>
        <v>1515750</v>
      </c>
      <c r="Y165" s="41">
        <f>281500+1234250</f>
        <v>1515750</v>
      </c>
      <c r="Z165" s="41">
        <v>0</v>
      </c>
      <c r="AA165" s="41">
        <v>0</v>
      </c>
      <c r="AB165" s="41">
        <v>281500</v>
      </c>
      <c r="AC165" s="41">
        <f t="shared" si="23"/>
        <v>6223965</v>
      </c>
      <c r="AD165" s="41">
        <v>1234250</v>
      </c>
      <c r="AE165" s="41">
        <f t="shared" si="24"/>
        <v>27289267.5</v>
      </c>
      <c r="AF165" s="41" t="e">
        <f>X165/AU165</f>
        <v>#VALUE!</v>
      </c>
      <c r="AG165" s="41" t="e">
        <f t="shared" si="27"/>
        <v>#VALUE!</v>
      </c>
      <c r="AH165" s="36">
        <v>45352</v>
      </c>
      <c r="AI165" s="36"/>
      <c r="AJ165" s="36"/>
      <c r="AK165" s="36">
        <v>45383</v>
      </c>
      <c r="AL165" s="36"/>
      <c r="AM165" s="46"/>
      <c r="AN165" s="40" t="s">
        <v>1219</v>
      </c>
      <c r="AO165" s="40" t="s">
        <v>1220</v>
      </c>
      <c r="AP165" s="40" t="s">
        <v>1221</v>
      </c>
      <c r="AQ165" s="40" t="s">
        <v>80</v>
      </c>
      <c r="AR165" s="48">
        <v>100</v>
      </c>
      <c r="AS165" s="37">
        <v>0</v>
      </c>
      <c r="AT165" s="37" t="s">
        <v>386</v>
      </c>
      <c r="AU165" s="51" t="s">
        <v>1207</v>
      </c>
      <c r="AV165" s="37" t="s">
        <v>60</v>
      </c>
      <c r="AW165" s="37">
        <v>10</v>
      </c>
      <c r="AX165" s="30">
        <f>(J165*10)/100</f>
        <v>3351323.25</v>
      </c>
      <c r="AY165" s="40" t="s">
        <v>402</v>
      </c>
    </row>
    <row r="166" spans="1:51" ht="58.5" customHeight="1" x14ac:dyDescent="0.25">
      <c r="A166" s="44" t="s">
        <v>1222</v>
      </c>
      <c r="B166" s="46">
        <v>45287</v>
      </c>
      <c r="C166" s="40">
        <v>1416</v>
      </c>
      <c r="D166" s="35" t="s">
        <v>1223</v>
      </c>
      <c r="E166" s="39" t="s">
        <v>1224</v>
      </c>
      <c r="F166" s="36">
        <v>45317</v>
      </c>
      <c r="G166" s="37" t="s">
        <v>1225</v>
      </c>
      <c r="H166" s="40" t="s">
        <v>139</v>
      </c>
      <c r="I166" s="40" t="s">
        <v>1226</v>
      </c>
      <c r="J166" s="54">
        <v>7338720.4000000004</v>
      </c>
      <c r="K166" s="54">
        <v>7338720.4000000004</v>
      </c>
      <c r="L166" s="54">
        <v>0</v>
      </c>
      <c r="M166" s="54">
        <v>0</v>
      </c>
      <c r="N166" s="42">
        <f t="shared" si="30"/>
        <v>0</v>
      </c>
      <c r="O166" s="43">
        <f t="shared" si="26"/>
        <v>0</v>
      </c>
      <c r="P166" s="41">
        <v>7338720.4000000004</v>
      </c>
      <c r="Q166" s="43">
        <f t="shared" si="21"/>
        <v>0</v>
      </c>
      <c r="R166" s="41">
        <v>7338720.4000000004</v>
      </c>
      <c r="S166" s="30">
        <f t="shared" si="29"/>
        <v>7338720.4000000004</v>
      </c>
      <c r="T166" s="30">
        <f t="shared" si="29"/>
        <v>7338720.4000000004</v>
      </c>
      <c r="U166" s="30">
        <f>T166/X166</f>
        <v>14446.300000000001</v>
      </c>
      <c r="V166" s="41">
        <f>T166/X166</f>
        <v>14446.300000000001</v>
      </c>
      <c r="W166" s="41">
        <f>V166*AU166</f>
        <v>14446.300000000001</v>
      </c>
      <c r="X166" s="41">
        <f t="shared" si="25"/>
        <v>508</v>
      </c>
      <c r="Y166" s="41">
        <f>4+504</f>
        <v>508</v>
      </c>
      <c r="Z166" s="41">
        <v>0</v>
      </c>
      <c r="AA166" s="41">
        <v>0</v>
      </c>
      <c r="AB166" s="41">
        <v>4</v>
      </c>
      <c r="AC166" s="41">
        <f t="shared" si="23"/>
        <v>57785.200000000004</v>
      </c>
      <c r="AD166" s="41">
        <v>504</v>
      </c>
      <c r="AE166" s="41">
        <f t="shared" si="24"/>
        <v>7280935.2000000002</v>
      </c>
      <c r="AF166" s="41">
        <f>X166/AU166</f>
        <v>508</v>
      </c>
      <c r="AG166" s="41">
        <f t="shared" si="27"/>
        <v>508</v>
      </c>
      <c r="AH166" s="36">
        <v>45383</v>
      </c>
      <c r="AI166" s="36"/>
      <c r="AJ166" s="36"/>
      <c r="AK166" s="36">
        <v>45413</v>
      </c>
      <c r="AL166" s="36"/>
      <c r="AM166" s="46"/>
      <c r="AN166" s="40" t="s">
        <v>1195</v>
      </c>
      <c r="AO166" s="40" t="s">
        <v>1227</v>
      </c>
      <c r="AP166" s="40" t="s">
        <v>1197</v>
      </c>
      <c r="AQ166" s="40" t="s">
        <v>92</v>
      </c>
      <c r="AR166" s="48">
        <v>0</v>
      </c>
      <c r="AS166" s="37">
        <v>100</v>
      </c>
      <c r="AT166" s="37" t="s">
        <v>386</v>
      </c>
      <c r="AU166" s="47">
        <v>1</v>
      </c>
      <c r="AV166" s="37" t="s">
        <v>60</v>
      </c>
      <c r="AW166" s="37">
        <v>10</v>
      </c>
      <c r="AX166" s="30">
        <f>(J166*10)/100</f>
        <v>733872.04</v>
      </c>
      <c r="AY166" s="40" t="s">
        <v>402</v>
      </c>
    </row>
    <row r="167" spans="1:51" ht="58.5" customHeight="1" x14ac:dyDescent="0.25">
      <c r="A167" s="44" t="s">
        <v>1228</v>
      </c>
      <c r="B167" s="46">
        <v>45287</v>
      </c>
      <c r="C167" s="40">
        <v>1416</v>
      </c>
      <c r="D167" s="35" t="s">
        <v>1229</v>
      </c>
      <c r="E167" s="39" t="s">
        <v>1230</v>
      </c>
      <c r="F167" s="36">
        <v>45320</v>
      </c>
      <c r="G167" s="37" t="s">
        <v>1231</v>
      </c>
      <c r="H167" s="40" t="s">
        <v>86</v>
      </c>
      <c r="I167" s="40" t="s">
        <v>1232</v>
      </c>
      <c r="J167" s="54">
        <v>28214993.25</v>
      </c>
      <c r="K167" s="54">
        <v>28214993.25</v>
      </c>
      <c r="L167" s="54">
        <v>0</v>
      </c>
      <c r="M167" s="54">
        <v>0</v>
      </c>
      <c r="N167" s="42">
        <f t="shared" si="30"/>
        <v>0</v>
      </c>
      <c r="O167" s="43">
        <f t="shared" si="26"/>
        <v>0</v>
      </c>
      <c r="P167" s="41">
        <v>28214993.25</v>
      </c>
      <c r="Q167" s="43">
        <f t="shared" si="21"/>
        <v>0</v>
      </c>
      <c r="R167" s="41">
        <v>28214993.25</v>
      </c>
      <c r="S167" s="30">
        <f t="shared" si="29"/>
        <v>28214993.25</v>
      </c>
      <c r="T167" s="30">
        <f t="shared" si="29"/>
        <v>28214993.25</v>
      </c>
      <c r="U167" s="30">
        <f>T167/X167</f>
        <v>69666.649999999994</v>
      </c>
      <c r="V167" s="41">
        <f>T167/X167</f>
        <v>69666.649999999994</v>
      </c>
      <c r="W167" s="41">
        <f>V167*AU167</f>
        <v>208999.94999999998</v>
      </c>
      <c r="X167" s="41">
        <f t="shared" si="25"/>
        <v>405</v>
      </c>
      <c r="Y167" s="41">
        <v>405</v>
      </c>
      <c r="Z167" s="41">
        <v>0</v>
      </c>
      <c r="AA167" s="41">
        <v>0</v>
      </c>
      <c r="AB167" s="41">
        <v>0</v>
      </c>
      <c r="AC167" s="41">
        <f t="shared" si="23"/>
        <v>0</v>
      </c>
      <c r="AD167" s="41">
        <v>405</v>
      </c>
      <c r="AE167" s="41">
        <f t="shared" si="24"/>
        <v>28214993.249999996</v>
      </c>
      <c r="AF167" s="41">
        <f>X167/AU167</f>
        <v>135</v>
      </c>
      <c r="AG167" s="41">
        <f t="shared" si="27"/>
        <v>135</v>
      </c>
      <c r="AH167" s="36">
        <v>45352</v>
      </c>
      <c r="AI167" s="36"/>
      <c r="AJ167" s="36"/>
      <c r="AK167" s="36">
        <v>45383</v>
      </c>
      <c r="AL167" s="36"/>
      <c r="AM167" s="46"/>
      <c r="AN167" s="40" t="s">
        <v>1233</v>
      </c>
      <c r="AO167" s="40" t="s">
        <v>1234</v>
      </c>
      <c r="AP167" s="40" t="s">
        <v>1235</v>
      </c>
      <c r="AQ167" s="40" t="s">
        <v>92</v>
      </c>
      <c r="AR167" s="48">
        <v>0</v>
      </c>
      <c r="AS167" s="37">
        <v>100</v>
      </c>
      <c r="AT167" s="37" t="s">
        <v>386</v>
      </c>
      <c r="AU167" s="47">
        <v>3</v>
      </c>
      <c r="AV167" s="37" t="s">
        <v>60</v>
      </c>
      <c r="AW167" s="37">
        <v>10</v>
      </c>
      <c r="AX167" s="30">
        <f>(J167*10)/100</f>
        <v>2821499.3250000002</v>
      </c>
      <c r="AY167" s="40" t="s">
        <v>95</v>
      </c>
    </row>
    <row r="168" spans="1:51" ht="58.5" customHeight="1" x14ac:dyDescent="0.25">
      <c r="A168" s="44" t="s">
        <v>1236</v>
      </c>
      <c r="B168" s="46">
        <v>45287</v>
      </c>
      <c r="C168" s="40">
        <v>1416</v>
      </c>
      <c r="D168" s="35" t="s">
        <v>431</v>
      </c>
      <c r="E168" s="39" t="s">
        <v>1237</v>
      </c>
      <c r="F168" s="36" t="s">
        <v>431</v>
      </c>
      <c r="G168" s="37" t="s">
        <v>431</v>
      </c>
      <c r="H168" s="40" t="s">
        <v>431</v>
      </c>
      <c r="I168" s="40" t="s">
        <v>1238</v>
      </c>
      <c r="J168" s="54">
        <v>5281557.5</v>
      </c>
      <c r="K168" s="54">
        <v>5281557.5</v>
      </c>
      <c r="L168" s="54"/>
      <c r="M168" s="54"/>
      <c r="N168" s="42">
        <f t="shared" si="30"/>
        <v>100</v>
      </c>
      <c r="O168" s="43">
        <f t="shared" si="26"/>
        <v>5281557.5</v>
      </c>
      <c r="P168" s="41"/>
      <c r="Q168" s="43">
        <f t="shared" si="21"/>
        <v>5281557.5</v>
      </c>
      <c r="R168" s="41">
        <v>0</v>
      </c>
      <c r="S168" s="30">
        <f t="shared" si="29"/>
        <v>0</v>
      </c>
      <c r="T168" s="30">
        <f t="shared" si="29"/>
        <v>0</v>
      </c>
      <c r="U168" s="30" t="e">
        <f>T168/X168</f>
        <v>#DIV/0!</v>
      </c>
      <c r="V168" s="41" t="e">
        <f>T168/X168</f>
        <v>#DIV/0!</v>
      </c>
      <c r="W168" s="41" t="e">
        <f>V168*AU168</f>
        <v>#DIV/0!</v>
      </c>
      <c r="X168" s="41">
        <f t="shared" si="25"/>
        <v>0</v>
      </c>
      <c r="Y168" s="41">
        <v>0</v>
      </c>
      <c r="Z168" s="41">
        <v>0</v>
      </c>
      <c r="AA168" s="41">
        <v>0</v>
      </c>
      <c r="AB168" s="41"/>
      <c r="AC168" s="41" t="e">
        <f t="shared" si="23"/>
        <v>#DIV/0!</v>
      </c>
      <c r="AD168" s="41"/>
      <c r="AE168" s="41" t="e">
        <f t="shared" si="24"/>
        <v>#DIV/0!</v>
      </c>
      <c r="AF168" s="41" t="e">
        <f>X168/AU168</f>
        <v>#DIV/0!</v>
      </c>
      <c r="AG168" s="41" t="e">
        <f t="shared" si="27"/>
        <v>#DIV/0!</v>
      </c>
      <c r="AH168" s="36">
        <v>45352</v>
      </c>
      <c r="AI168" s="36"/>
      <c r="AJ168" s="36"/>
      <c r="AK168" s="36"/>
      <c r="AL168" s="36"/>
      <c r="AM168" s="46"/>
      <c r="AN168" s="40"/>
      <c r="AO168" s="40"/>
      <c r="AP168" s="40"/>
      <c r="AQ168" s="40"/>
      <c r="AR168" s="48"/>
      <c r="AS168" s="37"/>
      <c r="AT168" s="37"/>
      <c r="AU168" s="47"/>
      <c r="AV168" s="37"/>
      <c r="AW168" s="37">
        <v>10</v>
      </c>
      <c r="AX168" s="30">
        <f>(J168*10)/100</f>
        <v>528155.75</v>
      </c>
      <c r="AY168" s="40" t="s">
        <v>431</v>
      </c>
    </row>
    <row r="169" spans="1:51" ht="58.5" customHeight="1" x14ac:dyDescent="0.25">
      <c r="A169" s="44" t="s">
        <v>1239</v>
      </c>
      <c r="B169" s="46">
        <v>45287</v>
      </c>
      <c r="C169" s="40" t="s">
        <v>432</v>
      </c>
      <c r="D169" s="35" t="s">
        <v>1240</v>
      </c>
      <c r="E169" s="39" t="s">
        <v>1241</v>
      </c>
      <c r="F169" s="36">
        <v>45317</v>
      </c>
      <c r="G169" s="37" t="s">
        <v>1242</v>
      </c>
      <c r="H169" s="40" t="s">
        <v>224</v>
      </c>
      <c r="I169" s="40" t="s">
        <v>491</v>
      </c>
      <c r="J169" s="54">
        <v>64380912</v>
      </c>
      <c r="K169" s="54">
        <v>64380912</v>
      </c>
      <c r="L169" s="54">
        <v>0</v>
      </c>
      <c r="M169" s="54">
        <v>0</v>
      </c>
      <c r="N169" s="42">
        <f t="shared" si="30"/>
        <v>0</v>
      </c>
      <c r="O169" s="43">
        <f t="shared" si="26"/>
        <v>0</v>
      </c>
      <c r="P169" s="41">
        <v>64380912</v>
      </c>
      <c r="Q169" s="43">
        <f t="shared" si="21"/>
        <v>0</v>
      </c>
      <c r="R169" s="41">
        <v>64380912</v>
      </c>
      <c r="S169" s="30">
        <f t="shared" si="29"/>
        <v>64380912</v>
      </c>
      <c r="T169" s="30">
        <f t="shared" si="29"/>
        <v>64380912</v>
      </c>
      <c r="U169" s="30">
        <f>T169/X169</f>
        <v>17.3</v>
      </c>
      <c r="V169" s="41">
        <f>T169/X169</f>
        <v>17.3</v>
      </c>
      <c r="W169" s="41">
        <f>V169*AU169</f>
        <v>1038</v>
      </c>
      <c r="X169" s="41">
        <f t="shared" si="25"/>
        <v>3721440</v>
      </c>
      <c r="Y169" s="41">
        <v>3721440</v>
      </c>
      <c r="Z169" s="41">
        <v>0</v>
      </c>
      <c r="AA169" s="41">
        <v>0</v>
      </c>
      <c r="AB169" s="41">
        <v>0</v>
      </c>
      <c r="AC169" s="41">
        <f t="shared" si="23"/>
        <v>0</v>
      </c>
      <c r="AD169" s="41">
        <v>0</v>
      </c>
      <c r="AE169" s="41">
        <f t="shared" si="24"/>
        <v>0</v>
      </c>
      <c r="AF169" s="41">
        <f>X169/AU169</f>
        <v>62024</v>
      </c>
      <c r="AG169" s="41">
        <f t="shared" si="27"/>
        <v>62024</v>
      </c>
      <c r="AH169" s="36">
        <v>45382</v>
      </c>
      <c r="AI169" s="36"/>
      <c r="AJ169" s="36"/>
      <c r="AK169" s="36">
        <v>45413</v>
      </c>
      <c r="AL169" s="36"/>
      <c r="AM169" s="46"/>
      <c r="AN169" s="40" t="s">
        <v>1243</v>
      </c>
      <c r="AO169" s="40" t="s">
        <v>1244</v>
      </c>
      <c r="AP169" s="40" t="s">
        <v>1245</v>
      </c>
      <c r="AQ169" s="40" t="s">
        <v>80</v>
      </c>
      <c r="AR169" s="48">
        <v>100</v>
      </c>
      <c r="AS169" s="37">
        <v>0</v>
      </c>
      <c r="AT169" s="37" t="s">
        <v>386</v>
      </c>
      <c r="AU169" s="47">
        <v>60</v>
      </c>
      <c r="AV169" s="37" t="s">
        <v>60</v>
      </c>
      <c r="AW169" s="37">
        <v>10</v>
      </c>
      <c r="AX169" s="30">
        <f>(J169*10)/100</f>
        <v>6438091.2000000002</v>
      </c>
      <c r="AY169" s="40" t="s">
        <v>402</v>
      </c>
    </row>
    <row r="170" spans="1:51" ht="58.5" customHeight="1" x14ac:dyDescent="0.25">
      <c r="A170" s="44" t="s">
        <v>1246</v>
      </c>
      <c r="B170" s="46">
        <v>45287</v>
      </c>
      <c r="C170" s="40" t="s">
        <v>432</v>
      </c>
      <c r="D170" s="35" t="s">
        <v>1247</v>
      </c>
      <c r="E170" s="39" t="s">
        <v>1248</v>
      </c>
      <c r="F170" s="36">
        <v>45317</v>
      </c>
      <c r="G170" s="37" t="s">
        <v>1249</v>
      </c>
      <c r="H170" s="40" t="s">
        <v>224</v>
      </c>
      <c r="I170" s="40" t="s">
        <v>1250</v>
      </c>
      <c r="J170" s="54">
        <v>18012532.800000001</v>
      </c>
      <c r="K170" s="54">
        <v>18012532.800000001</v>
      </c>
      <c r="L170" s="54">
        <v>0</v>
      </c>
      <c r="M170" s="54">
        <v>0</v>
      </c>
      <c r="N170" s="42">
        <f t="shared" si="30"/>
        <v>0</v>
      </c>
      <c r="O170" s="43">
        <f t="shared" si="26"/>
        <v>0</v>
      </c>
      <c r="P170" s="41">
        <v>18012532.800000001</v>
      </c>
      <c r="Q170" s="43">
        <f t="shared" si="21"/>
        <v>0</v>
      </c>
      <c r="R170" s="41">
        <v>18012532.800000001</v>
      </c>
      <c r="S170" s="30">
        <f t="shared" si="29"/>
        <v>18012532.800000001</v>
      </c>
      <c r="T170" s="30">
        <f t="shared" si="29"/>
        <v>18012532.800000001</v>
      </c>
      <c r="U170" s="30">
        <f>T170/X170</f>
        <v>110.86</v>
      </c>
      <c r="V170" s="41">
        <f>T170/X170</f>
        <v>110.86</v>
      </c>
      <c r="W170" s="41">
        <f>V170*AU170</f>
        <v>13303.2</v>
      </c>
      <c r="X170" s="41">
        <f t="shared" si="25"/>
        <v>162480</v>
      </c>
      <c r="Y170" s="41">
        <v>162480</v>
      </c>
      <c r="Z170" s="41">
        <v>0</v>
      </c>
      <c r="AA170" s="41">
        <v>0</v>
      </c>
      <c r="AB170" s="41">
        <v>0</v>
      </c>
      <c r="AC170" s="41">
        <f t="shared" si="23"/>
        <v>0</v>
      </c>
      <c r="AD170" s="41">
        <v>0</v>
      </c>
      <c r="AE170" s="41">
        <f t="shared" si="24"/>
        <v>0</v>
      </c>
      <c r="AF170" s="41">
        <f>X170/AU170</f>
        <v>1354</v>
      </c>
      <c r="AG170" s="41">
        <f t="shared" si="27"/>
        <v>1354</v>
      </c>
      <c r="AH170" s="36">
        <v>45383</v>
      </c>
      <c r="AI170" s="36"/>
      <c r="AJ170" s="36"/>
      <c r="AK170" s="36">
        <v>45413</v>
      </c>
      <c r="AL170" s="36"/>
      <c r="AM170" s="46"/>
      <c r="AN170" s="40" t="s">
        <v>1251</v>
      </c>
      <c r="AO170" s="40" t="s">
        <v>1252</v>
      </c>
      <c r="AP170" s="40" t="s">
        <v>1253</v>
      </c>
      <c r="AQ170" s="40" t="s">
        <v>80</v>
      </c>
      <c r="AR170" s="48">
        <v>100</v>
      </c>
      <c r="AS170" s="37">
        <v>0</v>
      </c>
      <c r="AT170" s="37" t="s">
        <v>386</v>
      </c>
      <c r="AU170" s="47">
        <v>120</v>
      </c>
      <c r="AV170" s="37" t="s">
        <v>60</v>
      </c>
      <c r="AW170" s="37">
        <v>10</v>
      </c>
      <c r="AX170" s="30">
        <f>(J170*10)/100</f>
        <v>1801253.28</v>
      </c>
      <c r="AY170" s="40" t="s">
        <v>402</v>
      </c>
    </row>
    <row r="171" spans="1:51" ht="58.5" customHeight="1" x14ac:dyDescent="0.25">
      <c r="A171" s="44" t="s">
        <v>1254</v>
      </c>
      <c r="B171" s="46">
        <v>45287</v>
      </c>
      <c r="C171" s="40" t="s">
        <v>432</v>
      </c>
      <c r="D171" s="35" t="s">
        <v>1255</v>
      </c>
      <c r="E171" s="39" t="s">
        <v>1256</v>
      </c>
      <c r="F171" s="36" t="s">
        <v>1255</v>
      </c>
      <c r="G171" s="37" t="s">
        <v>1255</v>
      </c>
      <c r="H171" s="37" t="s">
        <v>1255</v>
      </c>
      <c r="I171" s="40" t="s">
        <v>1257</v>
      </c>
      <c r="J171" s="54">
        <v>7038016</v>
      </c>
      <c r="K171" s="54">
        <v>7038016</v>
      </c>
      <c r="L171" s="54"/>
      <c r="M171" s="54"/>
      <c r="N171" s="42">
        <f t="shared" si="30"/>
        <v>100</v>
      </c>
      <c r="O171" s="43">
        <f t="shared" si="26"/>
        <v>7038016</v>
      </c>
      <c r="P171" s="41"/>
      <c r="Q171" s="43">
        <f t="shared" si="21"/>
        <v>7038016</v>
      </c>
      <c r="R171" s="41">
        <v>0</v>
      </c>
      <c r="S171" s="30">
        <f t="shared" si="29"/>
        <v>0</v>
      </c>
      <c r="T171" s="30">
        <f t="shared" si="29"/>
        <v>0</v>
      </c>
      <c r="U171" s="30" t="e">
        <f>T171/X171</f>
        <v>#DIV/0!</v>
      </c>
      <c r="V171" s="41" t="e">
        <f>T171/X171</f>
        <v>#DIV/0!</v>
      </c>
      <c r="W171" s="41" t="e">
        <f>V171*AU171</f>
        <v>#DIV/0!</v>
      </c>
      <c r="X171" s="41">
        <f t="shared" si="25"/>
        <v>0</v>
      </c>
      <c r="Y171" s="41">
        <v>0</v>
      </c>
      <c r="Z171" s="41">
        <v>0</v>
      </c>
      <c r="AA171" s="41">
        <v>0</v>
      </c>
      <c r="AB171" s="41"/>
      <c r="AC171" s="41" t="e">
        <f t="shared" si="23"/>
        <v>#DIV/0!</v>
      </c>
      <c r="AD171" s="41"/>
      <c r="AE171" s="41" t="e">
        <f t="shared" si="24"/>
        <v>#DIV/0!</v>
      </c>
      <c r="AF171" s="41" t="e">
        <f>X171/AU171</f>
        <v>#DIV/0!</v>
      </c>
      <c r="AG171" s="41" t="e">
        <f t="shared" si="27"/>
        <v>#DIV/0!</v>
      </c>
      <c r="AH171" s="36">
        <v>45337</v>
      </c>
      <c r="AI171" s="36"/>
      <c r="AJ171" s="36"/>
      <c r="AK171" s="36"/>
      <c r="AL171" s="36"/>
      <c r="AM171" s="46"/>
      <c r="AN171" s="40"/>
      <c r="AO171" s="40"/>
      <c r="AP171" s="40"/>
      <c r="AQ171" s="40"/>
      <c r="AR171" s="48"/>
      <c r="AS171" s="37"/>
      <c r="AT171" s="37"/>
      <c r="AU171" s="47"/>
      <c r="AV171" s="37"/>
      <c r="AW171" s="37">
        <v>10</v>
      </c>
      <c r="AX171" s="30">
        <f>(J171*10)/100</f>
        <v>703801.6</v>
      </c>
      <c r="AY171" s="37" t="s">
        <v>1255</v>
      </c>
    </row>
    <row r="172" spans="1:51" ht="58.5" customHeight="1" x14ac:dyDescent="0.25">
      <c r="A172" s="44" t="s">
        <v>1258</v>
      </c>
      <c r="B172" s="46">
        <v>45287</v>
      </c>
      <c r="C172" s="40" t="s">
        <v>432</v>
      </c>
      <c r="D172" s="35" t="s">
        <v>431</v>
      </c>
      <c r="E172" s="39" t="s">
        <v>1259</v>
      </c>
      <c r="F172" s="36" t="s">
        <v>431</v>
      </c>
      <c r="G172" s="37" t="s">
        <v>431</v>
      </c>
      <c r="H172" s="40" t="s">
        <v>431</v>
      </c>
      <c r="I172" s="40" t="s">
        <v>1260</v>
      </c>
      <c r="J172" s="54">
        <v>2030112</v>
      </c>
      <c r="K172" s="54">
        <v>2030112</v>
      </c>
      <c r="L172" s="54"/>
      <c r="M172" s="54"/>
      <c r="N172" s="42">
        <f t="shared" si="30"/>
        <v>100</v>
      </c>
      <c r="O172" s="43">
        <f t="shared" si="26"/>
        <v>2030112</v>
      </c>
      <c r="P172" s="41"/>
      <c r="Q172" s="43">
        <f t="shared" si="21"/>
        <v>2030112</v>
      </c>
      <c r="R172" s="41">
        <v>0</v>
      </c>
      <c r="S172" s="30">
        <f t="shared" si="29"/>
        <v>0</v>
      </c>
      <c r="T172" s="30">
        <f t="shared" si="29"/>
        <v>0</v>
      </c>
      <c r="U172" s="30" t="e">
        <f>T172/X172</f>
        <v>#DIV/0!</v>
      </c>
      <c r="V172" s="41" t="e">
        <f>T172/X172</f>
        <v>#DIV/0!</v>
      </c>
      <c r="W172" s="41" t="e">
        <f>V172*AU172</f>
        <v>#DIV/0!</v>
      </c>
      <c r="X172" s="41">
        <f t="shared" si="25"/>
        <v>0</v>
      </c>
      <c r="Y172" s="41">
        <v>0</v>
      </c>
      <c r="Z172" s="41">
        <v>0</v>
      </c>
      <c r="AA172" s="41">
        <v>0</v>
      </c>
      <c r="AB172" s="41"/>
      <c r="AC172" s="41" t="e">
        <f t="shared" si="23"/>
        <v>#DIV/0!</v>
      </c>
      <c r="AD172" s="41"/>
      <c r="AE172" s="41" t="e">
        <f t="shared" si="24"/>
        <v>#DIV/0!</v>
      </c>
      <c r="AF172" s="41" t="e">
        <f>X172/AU172</f>
        <v>#DIV/0!</v>
      </c>
      <c r="AG172" s="41" t="e">
        <f t="shared" si="27"/>
        <v>#DIV/0!</v>
      </c>
      <c r="AH172" s="36">
        <v>45383</v>
      </c>
      <c r="AI172" s="36"/>
      <c r="AJ172" s="36"/>
      <c r="AK172" s="36"/>
      <c r="AL172" s="36"/>
      <c r="AM172" s="46"/>
      <c r="AN172" s="40"/>
      <c r="AO172" s="40"/>
      <c r="AP172" s="40"/>
      <c r="AQ172" s="40"/>
      <c r="AR172" s="48"/>
      <c r="AS172" s="37"/>
      <c r="AT172" s="37"/>
      <c r="AU172" s="47"/>
      <c r="AV172" s="37"/>
      <c r="AW172" s="37">
        <v>10</v>
      </c>
      <c r="AX172" s="30">
        <f>(J172*10)/100</f>
        <v>203011.20000000001</v>
      </c>
      <c r="AY172" s="40" t="s">
        <v>431</v>
      </c>
    </row>
    <row r="173" spans="1:51" ht="58.5" customHeight="1" x14ac:dyDescent="0.25">
      <c r="A173" s="44" t="s">
        <v>1261</v>
      </c>
      <c r="B173" s="46">
        <v>45287</v>
      </c>
      <c r="C173" s="40">
        <v>545</v>
      </c>
      <c r="D173" s="35" t="s">
        <v>1262</v>
      </c>
      <c r="E173" s="39" t="s">
        <v>1263</v>
      </c>
      <c r="F173" s="36">
        <v>45320</v>
      </c>
      <c r="G173" s="37" t="s">
        <v>1264</v>
      </c>
      <c r="H173" s="40" t="s">
        <v>53</v>
      </c>
      <c r="I173" s="40" t="s">
        <v>1265</v>
      </c>
      <c r="J173" s="54">
        <v>9071705.1600000001</v>
      </c>
      <c r="K173" s="54">
        <v>9071705.1600000001</v>
      </c>
      <c r="L173" s="54">
        <v>0</v>
      </c>
      <c r="M173" s="54">
        <v>0</v>
      </c>
      <c r="N173" s="42">
        <f t="shared" si="30"/>
        <v>0</v>
      </c>
      <c r="O173" s="43">
        <f t="shared" si="26"/>
        <v>0</v>
      </c>
      <c r="P173" s="41">
        <v>9071705.1600000001</v>
      </c>
      <c r="Q173" s="43">
        <f t="shared" si="21"/>
        <v>0</v>
      </c>
      <c r="R173" s="41">
        <v>9071705.1600000001</v>
      </c>
      <c r="S173" s="30">
        <v>11663620.92</v>
      </c>
      <c r="T173" s="30">
        <f t="shared" ref="T173:T178" si="31">S173</f>
        <v>11663620.92</v>
      </c>
      <c r="U173" s="30">
        <f>T173/X173</f>
        <v>2204.0099999999998</v>
      </c>
      <c r="V173" s="41">
        <f>T173/X173</f>
        <v>2204.0099999999998</v>
      </c>
      <c r="W173" s="41">
        <f>V173*AU173</f>
        <v>185136.83999999997</v>
      </c>
      <c r="X173" s="41">
        <f t="shared" si="25"/>
        <v>5292</v>
      </c>
      <c r="Y173" s="41">
        <v>5292</v>
      </c>
      <c r="Z173" s="41">
        <v>0</v>
      </c>
      <c r="AA173" s="41">
        <v>0</v>
      </c>
      <c r="AB173" s="41">
        <v>0</v>
      </c>
      <c r="AC173" s="41">
        <f t="shared" si="23"/>
        <v>0</v>
      </c>
      <c r="AD173" s="41">
        <v>0</v>
      </c>
      <c r="AE173" s="41">
        <f t="shared" si="24"/>
        <v>0</v>
      </c>
      <c r="AF173" s="41">
        <f>X173/AU173</f>
        <v>63</v>
      </c>
      <c r="AG173" s="41">
        <f t="shared" si="27"/>
        <v>63</v>
      </c>
      <c r="AH173" s="36">
        <v>45337</v>
      </c>
      <c r="AI173" s="36"/>
      <c r="AJ173" s="36"/>
      <c r="AK173" s="36">
        <v>45366</v>
      </c>
      <c r="AL173" s="36"/>
      <c r="AM173" s="46"/>
      <c r="AN173" s="40" t="s">
        <v>577</v>
      </c>
      <c r="AO173" s="40" t="s">
        <v>1266</v>
      </c>
      <c r="AP173" s="40" t="s">
        <v>833</v>
      </c>
      <c r="AQ173" s="40" t="s">
        <v>58</v>
      </c>
      <c r="AR173" s="48">
        <v>0</v>
      </c>
      <c r="AS173" s="37">
        <v>100</v>
      </c>
      <c r="AT173" s="37" t="s">
        <v>386</v>
      </c>
      <c r="AU173" s="47">
        <v>84</v>
      </c>
      <c r="AV173" s="37" t="s">
        <v>60</v>
      </c>
      <c r="AW173" s="37">
        <v>10</v>
      </c>
      <c r="AX173" s="30">
        <f>(J173*10)/100</f>
        <v>907170.51599999995</v>
      </c>
      <c r="AY173" s="40" t="s">
        <v>95</v>
      </c>
    </row>
    <row r="174" spans="1:51" ht="58.5" customHeight="1" x14ac:dyDescent="0.25">
      <c r="A174" s="44" t="s">
        <v>1267</v>
      </c>
      <c r="B174" s="46">
        <v>45287</v>
      </c>
      <c r="C174" s="40" t="s">
        <v>432</v>
      </c>
      <c r="D174" s="35" t="s">
        <v>1268</v>
      </c>
      <c r="E174" s="39" t="s">
        <v>1269</v>
      </c>
      <c r="F174" s="36">
        <v>45317</v>
      </c>
      <c r="G174" s="37" t="s">
        <v>1270</v>
      </c>
      <c r="H174" s="40" t="s">
        <v>139</v>
      </c>
      <c r="I174" s="40" t="s">
        <v>1271</v>
      </c>
      <c r="J174" s="54">
        <v>253458935.40000001</v>
      </c>
      <c r="K174" s="54">
        <v>253458935.40000001</v>
      </c>
      <c r="L174" s="54">
        <v>0</v>
      </c>
      <c r="M174" s="54">
        <v>0</v>
      </c>
      <c r="N174" s="42">
        <f t="shared" si="30"/>
        <v>0</v>
      </c>
      <c r="O174" s="43">
        <f t="shared" si="26"/>
        <v>0</v>
      </c>
      <c r="P174" s="41">
        <v>253458935.40000001</v>
      </c>
      <c r="Q174" s="43">
        <f t="shared" si="21"/>
        <v>0</v>
      </c>
      <c r="R174" s="41">
        <v>253458935.40000001</v>
      </c>
      <c r="S174" s="30">
        <f>R174</f>
        <v>253458935.40000001</v>
      </c>
      <c r="T174" s="30">
        <f t="shared" si="31"/>
        <v>253458935.40000001</v>
      </c>
      <c r="U174" s="30">
        <f>T174/X174</f>
        <v>835.01</v>
      </c>
      <c r="V174" s="41">
        <f>T174/X174</f>
        <v>835.01</v>
      </c>
      <c r="W174" s="41">
        <f>V174*AU174</f>
        <v>25050.3</v>
      </c>
      <c r="X174" s="41">
        <f t="shared" si="25"/>
        <v>303540</v>
      </c>
      <c r="Y174" s="41">
        <v>303540</v>
      </c>
      <c r="Z174" s="41">
        <v>0</v>
      </c>
      <c r="AA174" s="41">
        <v>0</v>
      </c>
      <c r="AB174" s="41">
        <v>0</v>
      </c>
      <c r="AC174" s="41">
        <f t="shared" si="23"/>
        <v>0</v>
      </c>
      <c r="AD174" s="41">
        <v>0</v>
      </c>
      <c r="AE174" s="41">
        <f t="shared" si="24"/>
        <v>0</v>
      </c>
      <c r="AF174" s="41">
        <f>X174/AU174</f>
        <v>10118</v>
      </c>
      <c r="AG174" s="41">
        <f t="shared" si="27"/>
        <v>10118</v>
      </c>
      <c r="AH174" s="36">
        <v>45352</v>
      </c>
      <c r="AI174" s="36"/>
      <c r="AJ174" s="36"/>
      <c r="AK174" s="36">
        <v>45383</v>
      </c>
      <c r="AL174" s="36"/>
      <c r="AM174" s="46"/>
      <c r="AN174" s="40" t="s">
        <v>1272</v>
      </c>
      <c r="AO174" s="40" t="s">
        <v>1273</v>
      </c>
      <c r="AP174" s="40" t="s">
        <v>1274</v>
      </c>
      <c r="AQ174" s="40" t="s">
        <v>1275</v>
      </c>
      <c r="AR174" s="48">
        <v>0</v>
      </c>
      <c r="AS174" s="37">
        <v>100</v>
      </c>
      <c r="AT174" s="37" t="s">
        <v>386</v>
      </c>
      <c r="AU174" s="47">
        <v>30</v>
      </c>
      <c r="AV174" s="37" t="s">
        <v>60</v>
      </c>
      <c r="AW174" s="37">
        <v>10</v>
      </c>
      <c r="AX174" s="30">
        <f>(J174*10)/100</f>
        <v>25345893.539999999</v>
      </c>
      <c r="AY174" s="40" t="s">
        <v>402</v>
      </c>
    </row>
    <row r="175" spans="1:51" ht="58.5" customHeight="1" x14ac:dyDescent="0.25">
      <c r="A175" s="44" t="s">
        <v>1276</v>
      </c>
      <c r="B175" s="46">
        <v>45287</v>
      </c>
      <c r="C175" s="40">
        <v>1416</v>
      </c>
      <c r="D175" s="35" t="s">
        <v>1277</v>
      </c>
      <c r="E175" s="39" t="s">
        <v>1278</v>
      </c>
      <c r="F175" s="36">
        <v>45322</v>
      </c>
      <c r="G175" s="37" t="s">
        <v>1279</v>
      </c>
      <c r="H175" s="40" t="s">
        <v>139</v>
      </c>
      <c r="I175" s="40" t="s">
        <v>870</v>
      </c>
      <c r="J175" s="54">
        <v>51629211.270000003</v>
      </c>
      <c r="K175" s="54">
        <v>51629211.270000003</v>
      </c>
      <c r="L175" s="54">
        <v>0</v>
      </c>
      <c r="M175" s="54">
        <v>0</v>
      </c>
      <c r="N175" s="42">
        <f t="shared" si="30"/>
        <v>0</v>
      </c>
      <c r="O175" s="43">
        <f t="shared" si="26"/>
        <v>0</v>
      </c>
      <c r="P175" s="41">
        <v>51629211.270000003</v>
      </c>
      <c r="Q175" s="43">
        <f t="shared" si="21"/>
        <v>0</v>
      </c>
      <c r="R175" s="54">
        <v>51629211.270000003</v>
      </c>
      <c r="S175" s="30">
        <v>51628919.939999998</v>
      </c>
      <c r="T175" s="30">
        <f t="shared" si="31"/>
        <v>51628919.939999998</v>
      </c>
      <c r="U175" s="30">
        <f>T175/X175</f>
        <v>8860.9</v>
      </c>
      <c r="V175" s="41">
        <f>T175/X175</f>
        <v>8860.9</v>
      </c>
      <c r="W175" s="41">
        <f>V175*AU175</f>
        <v>103672.52999999998</v>
      </c>
      <c r="X175" s="41">
        <f t="shared" si="25"/>
        <v>5826.6</v>
      </c>
      <c r="Y175" s="41">
        <v>5826.6</v>
      </c>
      <c r="Z175" s="41">
        <v>0</v>
      </c>
      <c r="AA175" s="41">
        <v>0</v>
      </c>
      <c r="AB175" s="41">
        <v>0</v>
      </c>
      <c r="AC175" s="41">
        <f t="shared" si="23"/>
        <v>0</v>
      </c>
      <c r="AD175" s="41">
        <v>5826.6</v>
      </c>
      <c r="AE175" s="41">
        <f t="shared" si="24"/>
        <v>51628919.939999998</v>
      </c>
      <c r="AF175" s="41">
        <f>X175/AU175</f>
        <v>498.00000000000006</v>
      </c>
      <c r="AG175" s="41">
        <f t="shared" si="27"/>
        <v>498</v>
      </c>
      <c r="AH175" s="36">
        <v>45412</v>
      </c>
      <c r="AI175" s="36"/>
      <c r="AJ175" s="36"/>
      <c r="AK175" s="36">
        <v>45444</v>
      </c>
      <c r="AL175" s="36"/>
      <c r="AM175" s="46"/>
      <c r="AN175" s="40" t="s">
        <v>1280</v>
      </c>
      <c r="AO175" s="40" t="s">
        <v>1281</v>
      </c>
      <c r="AP175" s="40" t="s">
        <v>1282</v>
      </c>
      <c r="AQ175" s="40" t="s">
        <v>293</v>
      </c>
      <c r="AR175" s="48">
        <v>0</v>
      </c>
      <c r="AS175" s="37">
        <v>100</v>
      </c>
      <c r="AT175" s="37" t="s">
        <v>81</v>
      </c>
      <c r="AU175" s="52">
        <v>11.7</v>
      </c>
      <c r="AV175" s="37" t="s">
        <v>60</v>
      </c>
      <c r="AW175" s="37">
        <v>10</v>
      </c>
      <c r="AX175" s="30">
        <f>(J175*10)/100</f>
        <v>5162921.1270000003</v>
      </c>
      <c r="AY175" s="40" t="s">
        <v>402</v>
      </c>
    </row>
    <row r="176" spans="1:51" ht="58.5" customHeight="1" x14ac:dyDescent="0.25">
      <c r="A176" s="44" t="s">
        <v>1283</v>
      </c>
      <c r="B176" s="46">
        <v>45287</v>
      </c>
      <c r="C176" s="40">
        <v>1416</v>
      </c>
      <c r="D176" s="35" t="s">
        <v>1284</v>
      </c>
      <c r="E176" s="39" t="s">
        <v>1285</v>
      </c>
      <c r="F176" s="36">
        <v>45320</v>
      </c>
      <c r="G176" s="37" t="s">
        <v>1286</v>
      </c>
      <c r="H176" s="40" t="s">
        <v>86</v>
      </c>
      <c r="I176" s="40" t="s">
        <v>1287</v>
      </c>
      <c r="J176" s="54">
        <v>785003812.20000005</v>
      </c>
      <c r="K176" s="54">
        <v>785003812.20000005</v>
      </c>
      <c r="L176" s="54">
        <v>0</v>
      </c>
      <c r="M176" s="54">
        <v>0</v>
      </c>
      <c r="N176" s="42">
        <f t="shared" si="30"/>
        <v>0</v>
      </c>
      <c r="O176" s="43">
        <f t="shared" si="26"/>
        <v>0</v>
      </c>
      <c r="P176" s="41">
        <v>785003812.20000005</v>
      </c>
      <c r="Q176" s="43">
        <f t="shared" si="21"/>
        <v>0</v>
      </c>
      <c r="R176" s="41">
        <v>785003812.20000005</v>
      </c>
      <c r="S176" s="30">
        <f>R176</f>
        <v>785003812.20000005</v>
      </c>
      <c r="T176" s="30">
        <f t="shared" si="31"/>
        <v>785003812.20000005</v>
      </c>
      <c r="U176" s="30">
        <f>T176/X176</f>
        <v>69666.650000000009</v>
      </c>
      <c r="V176" s="41">
        <f>T176/X176</f>
        <v>69666.650000000009</v>
      </c>
      <c r="W176" s="41">
        <f>V176*AU176</f>
        <v>208999.95</v>
      </c>
      <c r="X176" s="41">
        <f t="shared" si="25"/>
        <v>11268</v>
      </c>
      <c r="Y176" s="41">
        <v>11268</v>
      </c>
      <c r="Z176" s="41">
        <v>0</v>
      </c>
      <c r="AA176" s="41">
        <v>0</v>
      </c>
      <c r="AB176" s="41">
        <v>0</v>
      </c>
      <c r="AC176" s="41">
        <f t="shared" si="23"/>
        <v>0</v>
      </c>
      <c r="AD176" s="41">
        <v>11268</v>
      </c>
      <c r="AE176" s="41">
        <f t="shared" si="24"/>
        <v>785003812.20000005</v>
      </c>
      <c r="AF176" s="41">
        <f>X176/AU176</f>
        <v>3756</v>
      </c>
      <c r="AG176" s="41">
        <f t="shared" si="27"/>
        <v>3756</v>
      </c>
      <c r="AH176" s="36">
        <v>45352</v>
      </c>
      <c r="AI176" s="36"/>
      <c r="AJ176" s="36"/>
      <c r="AK176" s="36">
        <v>45383</v>
      </c>
      <c r="AL176" s="36"/>
      <c r="AM176" s="46"/>
      <c r="AN176" s="40" t="s">
        <v>1233</v>
      </c>
      <c r="AO176" s="40" t="s">
        <v>1288</v>
      </c>
      <c r="AP176" s="40" t="s">
        <v>1289</v>
      </c>
      <c r="AQ176" s="40" t="s">
        <v>80</v>
      </c>
      <c r="AR176" s="48">
        <v>100</v>
      </c>
      <c r="AS176" s="37">
        <v>0</v>
      </c>
      <c r="AT176" s="37" t="s">
        <v>386</v>
      </c>
      <c r="AU176" s="47">
        <v>3</v>
      </c>
      <c r="AV176" s="37" t="s">
        <v>60</v>
      </c>
      <c r="AW176" s="37">
        <v>10</v>
      </c>
      <c r="AX176" s="30">
        <f>(J176*10)/100</f>
        <v>78500381.219999999</v>
      </c>
      <c r="AY176" s="40" t="s">
        <v>402</v>
      </c>
    </row>
    <row r="177" spans="1:51" ht="58.5" customHeight="1" x14ac:dyDescent="0.25">
      <c r="A177" s="44" t="s">
        <v>1290</v>
      </c>
      <c r="B177" s="46">
        <v>45287</v>
      </c>
      <c r="C177" s="40" t="s">
        <v>432</v>
      </c>
      <c r="D177" s="35" t="s">
        <v>1291</v>
      </c>
      <c r="E177" s="39" t="s">
        <v>1292</v>
      </c>
      <c r="F177" s="36">
        <v>45320</v>
      </c>
      <c r="G177" s="37" t="s">
        <v>1293</v>
      </c>
      <c r="H177" s="40" t="s">
        <v>224</v>
      </c>
      <c r="I177" s="40" t="s">
        <v>1294</v>
      </c>
      <c r="J177" s="54">
        <v>2669581.2000000002</v>
      </c>
      <c r="K177" s="54">
        <v>2669581.2000000002</v>
      </c>
      <c r="L177" s="54">
        <v>0</v>
      </c>
      <c r="M177" s="54">
        <v>0</v>
      </c>
      <c r="N177" s="42">
        <f t="shared" si="30"/>
        <v>0</v>
      </c>
      <c r="O177" s="43">
        <f t="shared" si="26"/>
        <v>0</v>
      </c>
      <c r="P177" s="41">
        <v>2669581.2000000002</v>
      </c>
      <c r="Q177" s="43">
        <f t="shared" si="21"/>
        <v>0</v>
      </c>
      <c r="R177" s="41">
        <v>2669581.2000000002</v>
      </c>
      <c r="S177" s="30">
        <f>R177</f>
        <v>2669581.2000000002</v>
      </c>
      <c r="T177" s="30">
        <f t="shared" si="31"/>
        <v>2669581.2000000002</v>
      </c>
      <c r="U177" s="30">
        <f>T177/X177</f>
        <v>13.24</v>
      </c>
      <c r="V177" s="41">
        <f>T177/X177</f>
        <v>13.24</v>
      </c>
      <c r="W177" s="41">
        <f>V177*AU177</f>
        <v>794.4</v>
      </c>
      <c r="X177" s="41">
        <f t="shared" si="25"/>
        <v>201630</v>
      </c>
      <c r="Y177" s="41">
        <v>201630</v>
      </c>
      <c r="Z177" s="41">
        <v>0</v>
      </c>
      <c r="AA177" s="41">
        <v>0</v>
      </c>
      <c r="AB177" s="41">
        <v>0</v>
      </c>
      <c r="AC177" s="41">
        <f t="shared" si="23"/>
        <v>0</v>
      </c>
      <c r="AD177" s="41">
        <v>0</v>
      </c>
      <c r="AE177" s="41">
        <f t="shared" si="24"/>
        <v>0</v>
      </c>
      <c r="AF177" s="41">
        <f>X177/AU177</f>
        <v>3360.5</v>
      </c>
      <c r="AG177" s="41">
        <f t="shared" si="27"/>
        <v>3361</v>
      </c>
      <c r="AH177" s="36">
        <v>45382</v>
      </c>
      <c r="AI177" s="36"/>
      <c r="AJ177" s="36"/>
      <c r="AK177" s="36">
        <v>45413</v>
      </c>
      <c r="AL177" s="36"/>
      <c r="AM177" s="46"/>
      <c r="AN177" s="40" t="s">
        <v>1295</v>
      </c>
      <c r="AO177" s="40" t="s">
        <v>1296</v>
      </c>
      <c r="AP177" s="40" t="s">
        <v>1297</v>
      </c>
      <c r="AQ177" s="40" t="s">
        <v>80</v>
      </c>
      <c r="AR177" s="48">
        <v>100</v>
      </c>
      <c r="AS177" s="37">
        <v>0</v>
      </c>
      <c r="AT177" s="37" t="s">
        <v>386</v>
      </c>
      <c r="AU177" s="47">
        <v>60</v>
      </c>
      <c r="AV177" s="37" t="s">
        <v>60</v>
      </c>
      <c r="AW177" s="37">
        <v>10</v>
      </c>
      <c r="AX177" s="30">
        <f>(J177*10)/100</f>
        <v>266958.12</v>
      </c>
      <c r="AY177" s="40" t="s">
        <v>402</v>
      </c>
    </row>
    <row r="178" spans="1:51" ht="58.5" customHeight="1" x14ac:dyDescent="0.25">
      <c r="A178" s="44" t="s">
        <v>1298</v>
      </c>
      <c r="B178" s="46">
        <v>45287</v>
      </c>
      <c r="C178" s="40" t="s">
        <v>432</v>
      </c>
      <c r="D178" s="35" t="s">
        <v>1255</v>
      </c>
      <c r="E178" s="39" t="s">
        <v>1299</v>
      </c>
      <c r="F178" s="36" t="s">
        <v>1255</v>
      </c>
      <c r="G178" s="37" t="s">
        <v>1255</v>
      </c>
      <c r="H178" s="40" t="s">
        <v>1255</v>
      </c>
      <c r="I178" s="40" t="s">
        <v>1300</v>
      </c>
      <c r="J178" s="54">
        <v>8321227.2000000002</v>
      </c>
      <c r="K178" s="54">
        <v>8321227.2000000002</v>
      </c>
      <c r="L178" s="54">
        <v>0</v>
      </c>
      <c r="M178" s="54">
        <v>0</v>
      </c>
      <c r="N178" s="42">
        <f t="shared" si="30"/>
        <v>100</v>
      </c>
      <c r="O178" s="43">
        <f t="shared" si="26"/>
        <v>8321227.2000000002</v>
      </c>
      <c r="P178" s="41"/>
      <c r="Q178" s="43">
        <f t="shared" si="21"/>
        <v>8321227.2000000002</v>
      </c>
      <c r="R178" s="41">
        <v>0</v>
      </c>
      <c r="S178" s="30">
        <f>R178</f>
        <v>0</v>
      </c>
      <c r="T178" s="30">
        <f t="shared" si="31"/>
        <v>0</v>
      </c>
      <c r="U178" s="30" t="e">
        <f>T178/X178</f>
        <v>#DIV/0!</v>
      </c>
      <c r="V178" s="41" t="e">
        <f>T178/X178</f>
        <v>#DIV/0!</v>
      </c>
      <c r="W178" s="41" t="e">
        <f>V178*AU178</f>
        <v>#DIV/0!</v>
      </c>
      <c r="X178" s="41">
        <f t="shared" si="25"/>
        <v>0</v>
      </c>
      <c r="Y178" s="41">
        <v>0</v>
      </c>
      <c r="Z178" s="41">
        <v>0</v>
      </c>
      <c r="AA178" s="41">
        <v>0</v>
      </c>
      <c r="AB178" s="41"/>
      <c r="AC178" s="41" t="e">
        <f t="shared" si="23"/>
        <v>#DIV/0!</v>
      </c>
      <c r="AD178" s="41"/>
      <c r="AE178" s="41" t="e">
        <f t="shared" si="24"/>
        <v>#DIV/0!</v>
      </c>
      <c r="AF178" s="41" t="e">
        <f>X178/AU178</f>
        <v>#DIV/0!</v>
      </c>
      <c r="AG178" s="41" t="e">
        <f t="shared" si="27"/>
        <v>#DIV/0!</v>
      </c>
      <c r="AH178" s="36">
        <v>45382</v>
      </c>
      <c r="AI178" s="36"/>
      <c r="AJ178" s="36"/>
      <c r="AK178" s="36"/>
      <c r="AL178" s="36"/>
      <c r="AM178" s="46"/>
      <c r="AN178" s="40"/>
      <c r="AO178" s="40"/>
      <c r="AP178" s="40"/>
      <c r="AQ178" s="40"/>
      <c r="AR178" s="48"/>
      <c r="AS178" s="37"/>
      <c r="AT178" s="37"/>
      <c r="AU178" s="47"/>
      <c r="AV178" s="37"/>
      <c r="AW178" s="37">
        <v>10</v>
      </c>
      <c r="AX178" s="30">
        <f>(J178*10)/100</f>
        <v>832122.72</v>
      </c>
      <c r="AY178" s="40" t="s">
        <v>1255</v>
      </c>
    </row>
    <row r="179" spans="1:51" ht="58.5" customHeight="1" x14ac:dyDescent="0.25">
      <c r="A179" s="44" t="s">
        <v>1301</v>
      </c>
      <c r="B179" s="46">
        <v>45287</v>
      </c>
      <c r="C179" s="40">
        <v>545</v>
      </c>
      <c r="D179" s="35" t="s">
        <v>1302</v>
      </c>
      <c r="E179" s="39" t="s">
        <v>1303</v>
      </c>
      <c r="F179" s="36">
        <v>45320</v>
      </c>
      <c r="G179" s="37" t="s">
        <v>1304</v>
      </c>
      <c r="H179" s="40" t="s">
        <v>86</v>
      </c>
      <c r="I179" s="40" t="s">
        <v>1305</v>
      </c>
      <c r="J179" s="54">
        <v>182434602.63</v>
      </c>
      <c r="K179" s="54">
        <v>182434602.63</v>
      </c>
      <c r="L179" s="54">
        <v>0</v>
      </c>
      <c r="M179" s="54">
        <v>0</v>
      </c>
      <c r="N179" s="42">
        <f t="shared" si="30"/>
        <v>0</v>
      </c>
      <c r="O179" s="43">
        <f t="shared" si="26"/>
        <v>0</v>
      </c>
      <c r="P179" s="41">
        <v>182434602.63</v>
      </c>
      <c r="Q179" s="43">
        <f t="shared" si="21"/>
        <v>0</v>
      </c>
      <c r="R179" s="41">
        <v>182434602.63</v>
      </c>
      <c r="S179" s="30">
        <v>217923400.71000001</v>
      </c>
      <c r="T179" s="30">
        <v>217923400.71000001</v>
      </c>
      <c r="U179" s="30">
        <f>T179/X179</f>
        <v>554512.47</v>
      </c>
      <c r="V179" s="41">
        <f>T179/X179</f>
        <v>554512.47</v>
      </c>
      <c r="W179" s="41">
        <f>V179*AU179</f>
        <v>554512.47</v>
      </c>
      <c r="X179" s="41">
        <f t="shared" si="25"/>
        <v>393</v>
      </c>
      <c r="Y179" s="41">
        <v>393</v>
      </c>
      <c r="Z179" s="41">
        <v>0</v>
      </c>
      <c r="AA179" s="41">
        <v>0</v>
      </c>
      <c r="AB179" s="41">
        <v>0</v>
      </c>
      <c r="AC179" s="41">
        <f t="shared" si="23"/>
        <v>0</v>
      </c>
      <c r="AD179" s="41">
        <v>0</v>
      </c>
      <c r="AE179" s="41">
        <f t="shared" si="24"/>
        <v>0</v>
      </c>
      <c r="AF179" s="41">
        <f>X179/AU179</f>
        <v>393</v>
      </c>
      <c r="AG179" s="41">
        <f t="shared" si="27"/>
        <v>393</v>
      </c>
      <c r="AH179" s="36">
        <v>45337</v>
      </c>
      <c r="AI179" s="36"/>
      <c r="AJ179" s="36"/>
      <c r="AK179" s="36">
        <v>45366</v>
      </c>
      <c r="AL179" s="36"/>
      <c r="AM179" s="46"/>
      <c r="AN179" s="40" t="s">
        <v>290</v>
      </c>
      <c r="AO179" s="40" t="s">
        <v>392</v>
      </c>
      <c r="AP179" s="40" t="s">
        <v>292</v>
      </c>
      <c r="AQ179" s="40" t="s">
        <v>293</v>
      </c>
      <c r="AR179" s="48">
        <v>0</v>
      </c>
      <c r="AS179" s="37">
        <v>100</v>
      </c>
      <c r="AT179" s="37" t="s">
        <v>81</v>
      </c>
      <c r="AU179" s="47">
        <v>1</v>
      </c>
      <c r="AV179" s="37" t="s">
        <v>60</v>
      </c>
      <c r="AW179" s="37">
        <v>10</v>
      </c>
      <c r="AX179" s="30">
        <f>(J179*10)/100</f>
        <v>18243460.263</v>
      </c>
      <c r="AY179" s="40" t="s">
        <v>95</v>
      </c>
    </row>
    <row r="180" spans="1:51" ht="58.5" customHeight="1" x14ac:dyDescent="0.25">
      <c r="A180" s="44" t="s">
        <v>1306</v>
      </c>
      <c r="B180" s="46">
        <v>45287</v>
      </c>
      <c r="C180" s="40">
        <v>545</v>
      </c>
      <c r="D180" s="35" t="s">
        <v>1307</v>
      </c>
      <c r="E180" s="39" t="s">
        <v>1308</v>
      </c>
      <c r="F180" s="36">
        <v>45320</v>
      </c>
      <c r="G180" s="37" t="s">
        <v>1309</v>
      </c>
      <c r="H180" s="40" t="s">
        <v>86</v>
      </c>
      <c r="I180" s="40" t="s">
        <v>1310</v>
      </c>
      <c r="J180" s="54">
        <v>183995961.59999999</v>
      </c>
      <c r="K180" s="54">
        <v>183995961.59999999</v>
      </c>
      <c r="L180" s="54">
        <v>0</v>
      </c>
      <c r="M180" s="54">
        <v>0</v>
      </c>
      <c r="N180" s="42">
        <f t="shared" si="30"/>
        <v>0</v>
      </c>
      <c r="O180" s="43">
        <f t="shared" si="26"/>
        <v>0</v>
      </c>
      <c r="P180" s="41">
        <v>183995961.59999999</v>
      </c>
      <c r="Q180" s="43">
        <f t="shared" si="21"/>
        <v>0</v>
      </c>
      <c r="R180" s="41">
        <v>183995961.59999999</v>
      </c>
      <c r="S180" s="30">
        <f t="shared" ref="S180:T195" si="32">R180</f>
        <v>183995961.59999999</v>
      </c>
      <c r="T180" s="30">
        <f t="shared" si="32"/>
        <v>183995961.59999999</v>
      </c>
      <c r="U180" s="30">
        <f>T180/X180</f>
        <v>618265.99999999988</v>
      </c>
      <c r="V180" s="41">
        <f>T180/X180</f>
        <v>618265.99999999988</v>
      </c>
      <c r="W180" s="41">
        <f>V180*AU180</f>
        <v>5935353.5999999987</v>
      </c>
      <c r="X180" s="41">
        <f t="shared" si="25"/>
        <v>297.60000000000002</v>
      </c>
      <c r="Y180" s="41">
        <v>297.60000000000002</v>
      </c>
      <c r="Z180" s="41">
        <v>0</v>
      </c>
      <c r="AA180" s="41">
        <v>0</v>
      </c>
      <c r="AB180" s="41">
        <v>0</v>
      </c>
      <c r="AC180" s="41">
        <f t="shared" si="23"/>
        <v>0</v>
      </c>
      <c r="AD180" s="41">
        <v>0</v>
      </c>
      <c r="AE180" s="41">
        <f t="shared" si="24"/>
        <v>0</v>
      </c>
      <c r="AF180" s="41">
        <f>X180/AU180</f>
        <v>31.000000000000004</v>
      </c>
      <c r="AG180" s="41">
        <f t="shared" si="27"/>
        <v>31</v>
      </c>
      <c r="AH180" s="36">
        <v>45337</v>
      </c>
      <c r="AI180" s="36"/>
      <c r="AJ180" s="36"/>
      <c r="AK180" s="36">
        <v>45366</v>
      </c>
      <c r="AL180" s="36"/>
      <c r="AM180" s="46"/>
      <c r="AN180" s="40" t="s">
        <v>366</v>
      </c>
      <c r="AO180" s="40" t="s">
        <v>551</v>
      </c>
      <c r="AP180" s="40" t="s">
        <v>368</v>
      </c>
      <c r="AQ180" s="40" t="s">
        <v>58</v>
      </c>
      <c r="AR180" s="48">
        <v>0</v>
      </c>
      <c r="AS180" s="37">
        <v>100</v>
      </c>
      <c r="AT180" s="37" t="s">
        <v>81</v>
      </c>
      <c r="AU180" s="52">
        <v>9.6</v>
      </c>
      <c r="AV180" s="37" t="s">
        <v>60</v>
      </c>
      <c r="AW180" s="37">
        <v>10</v>
      </c>
      <c r="AX180" s="30">
        <f>(J180*10)/100</f>
        <v>18399596.16</v>
      </c>
      <c r="AY180" s="40" t="s">
        <v>402</v>
      </c>
    </row>
    <row r="181" spans="1:51" ht="58.5" customHeight="1" x14ac:dyDescent="0.25">
      <c r="A181" s="44" t="s">
        <v>1311</v>
      </c>
      <c r="B181" s="46">
        <v>45287</v>
      </c>
      <c r="C181" s="40">
        <v>545</v>
      </c>
      <c r="D181" s="35" t="s">
        <v>431</v>
      </c>
      <c r="E181" s="39" t="s">
        <v>1312</v>
      </c>
      <c r="F181" s="36" t="s">
        <v>431</v>
      </c>
      <c r="G181" s="37" t="s">
        <v>431</v>
      </c>
      <c r="H181" s="40" t="s">
        <v>431</v>
      </c>
      <c r="I181" s="40" t="s">
        <v>407</v>
      </c>
      <c r="J181" s="54">
        <v>704734800</v>
      </c>
      <c r="K181" s="54">
        <v>704734800</v>
      </c>
      <c r="L181" s="54">
        <v>0</v>
      </c>
      <c r="M181" s="54">
        <v>0</v>
      </c>
      <c r="N181" s="42">
        <f t="shared" si="30"/>
        <v>100</v>
      </c>
      <c r="O181" s="43">
        <f t="shared" si="26"/>
        <v>704734800</v>
      </c>
      <c r="P181" s="41"/>
      <c r="Q181" s="43">
        <f t="shared" si="21"/>
        <v>704734800</v>
      </c>
      <c r="R181" s="41">
        <v>0</v>
      </c>
      <c r="S181" s="30">
        <f t="shared" si="32"/>
        <v>0</v>
      </c>
      <c r="T181" s="30">
        <f t="shared" si="32"/>
        <v>0</v>
      </c>
      <c r="U181" s="30" t="e">
        <f>T181/X181</f>
        <v>#DIV/0!</v>
      </c>
      <c r="V181" s="41" t="e">
        <f>T181/X181</f>
        <v>#DIV/0!</v>
      </c>
      <c r="W181" s="41" t="e">
        <f>V181*AU181</f>
        <v>#DIV/0!</v>
      </c>
      <c r="X181" s="41">
        <f t="shared" si="25"/>
        <v>0</v>
      </c>
      <c r="Y181" s="41">
        <v>0</v>
      </c>
      <c r="Z181" s="41">
        <v>0</v>
      </c>
      <c r="AA181" s="41">
        <v>0</v>
      </c>
      <c r="AB181" s="41"/>
      <c r="AC181" s="41" t="e">
        <f t="shared" si="23"/>
        <v>#DIV/0!</v>
      </c>
      <c r="AD181" s="41"/>
      <c r="AE181" s="41" t="e">
        <f t="shared" si="24"/>
        <v>#DIV/0!</v>
      </c>
      <c r="AF181" s="41" t="e">
        <f>X181/AU181</f>
        <v>#DIV/0!</v>
      </c>
      <c r="AG181" s="41" t="e">
        <f t="shared" si="27"/>
        <v>#DIV/0!</v>
      </c>
      <c r="AH181" s="36">
        <v>45352</v>
      </c>
      <c r="AI181" s="36"/>
      <c r="AJ181" s="36"/>
      <c r="AK181" s="36"/>
      <c r="AL181" s="36"/>
      <c r="AM181" s="46"/>
      <c r="AN181" s="40"/>
      <c r="AO181" s="40"/>
      <c r="AP181" s="40"/>
      <c r="AQ181" s="40"/>
      <c r="AR181" s="48"/>
      <c r="AS181" s="37"/>
      <c r="AT181" s="37"/>
      <c r="AU181" s="47"/>
      <c r="AV181" s="37"/>
      <c r="AW181" s="37">
        <v>10</v>
      </c>
      <c r="AX181" s="30">
        <f>(J181*10)/100</f>
        <v>70473480</v>
      </c>
      <c r="AY181" s="40" t="s">
        <v>431</v>
      </c>
    </row>
    <row r="182" spans="1:51" ht="58.5" customHeight="1" x14ac:dyDescent="0.25">
      <c r="A182" s="44" t="s">
        <v>1313</v>
      </c>
      <c r="B182" s="46">
        <v>45287</v>
      </c>
      <c r="C182" s="40">
        <v>545</v>
      </c>
      <c r="D182" s="35" t="s">
        <v>431</v>
      </c>
      <c r="E182" s="39" t="s">
        <v>1314</v>
      </c>
      <c r="F182" s="36" t="s">
        <v>431</v>
      </c>
      <c r="G182" s="37" t="s">
        <v>431</v>
      </c>
      <c r="H182" s="40" t="s">
        <v>431</v>
      </c>
      <c r="I182" s="40" t="s">
        <v>1315</v>
      </c>
      <c r="J182" s="54">
        <v>21439906.199999999</v>
      </c>
      <c r="K182" s="54">
        <v>21439906.199999999</v>
      </c>
      <c r="L182" s="54">
        <v>0</v>
      </c>
      <c r="M182" s="54">
        <v>0</v>
      </c>
      <c r="N182" s="42">
        <f t="shared" si="30"/>
        <v>100</v>
      </c>
      <c r="O182" s="43">
        <f t="shared" si="26"/>
        <v>21439906.199999999</v>
      </c>
      <c r="P182" s="41"/>
      <c r="Q182" s="43">
        <f t="shared" si="21"/>
        <v>21439906.199999999</v>
      </c>
      <c r="R182" s="41">
        <v>0</v>
      </c>
      <c r="S182" s="30">
        <f t="shared" si="32"/>
        <v>0</v>
      </c>
      <c r="T182" s="30">
        <f t="shared" si="32"/>
        <v>0</v>
      </c>
      <c r="U182" s="30" t="e">
        <f>T182/X182</f>
        <v>#DIV/0!</v>
      </c>
      <c r="V182" s="41" t="e">
        <f>T182/X182</f>
        <v>#DIV/0!</v>
      </c>
      <c r="W182" s="41" t="e">
        <f>V182*AU182</f>
        <v>#DIV/0!</v>
      </c>
      <c r="X182" s="41">
        <f t="shared" si="25"/>
        <v>0</v>
      </c>
      <c r="Y182" s="41">
        <v>0</v>
      </c>
      <c r="Z182" s="41">
        <v>0</v>
      </c>
      <c r="AA182" s="41">
        <v>0</v>
      </c>
      <c r="AB182" s="41"/>
      <c r="AC182" s="41" t="e">
        <f t="shared" si="23"/>
        <v>#DIV/0!</v>
      </c>
      <c r="AD182" s="41"/>
      <c r="AE182" s="41" t="e">
        <f t="shared" si="24"/>
        <v>#DIV/0!</v>
      </c>
      <c r="AF182" s="41" t="e">
        <f>X182/AU182</f>
        <v>#DIV/0!</v>
      </c>
      <c r="AG182" s="41" t="e">
        <f t="shared" si="27"/>
        <v>#DIV/0!</v>
      </c>
      <c r="AH182" s="36">
        <v>45337</v>
      </c>
      <c r="AI182" s="36"/>
      <c r="AJ182" s="36"/>
      <c r="AK182" s="36"/>
      <c r="AL182" s="36"/>
      <c r="AM182" s="46"/>
      <c r="AN182" s="40"/>
      <c r="AO182" s="40"/>
      <c r="AP182" s="40"/>
      <c r="AQ182" s="40"/>
      <c r="AR182" s="48"/>
      <c r="AS182" s="37"/>
      <c r="AT182" s="37"/>
      <c r="AU182" s="47"/>
      <c r="AV182" s="37"/>
      <c r="AW182" s="37">
        <v>10</v>
      </c>
      <c r="AX182" s="30">
        <f>(J182*10)/100</f>
        <v>2143990.62</v>
      </c>
      <c r="AY182" s="40" t="s">
        <v>431</v>
      </c>
    </row>
    <row r="183" spans="1:51" ht="58.5" customHeight="1" x14ac:dyDescent="0.25">
      <c r="A183" s="44" t="s">
        <v>1316</v>
      </c>
      <c r="B183" s="46">
        <v>45287</v>
      </c>
      <c r="C183" s="40">
        <v>545</v>
      </c>
      <c r="D183" s="35" t="s">
        <v>1317</v>
      </c>
      <c r="E183" s="39" t="s">
        <v>1318</v>
      </c>
      <c r="F183" s="36">
        <v>45320</v>
      </c>
      <c r="G183" s="37" t="s">
        <v>1319</v>
      </c>
      <c r="H183" s="40" t="s">
        <v>319</v>
      </c>
      <c r="I183" s="40" t="s">
        <v>1320</v>
      </c>
      <c r="J183" s="54">
        <v>77134640</v>
      </c>
      <c r="K183" s="54">
        <v>77134640</v>
      </c>
      <c r="L183" s="54">
        <v>0</v>
      </c>
      <c r="M183" s="54">
        <v>0</v>
      </c>
      <c r="N183" s="42">
        <f t="shared" si="30"/>
        <v>0</v>
      </c>
      <c r="O183" s="43">
        <f t="shared" si="26"/>
        <v>0</v>
      </c>
      <c r="P183" s="41">
        <v>77134640</v>
      </c>
      <c r="Q183" s="43">
        <f t="shared" si="21"/>
        <v>0</v>
      </c>
      <c r="R183" s="41">
        <v>77134640</v>
      </c>
      <c r="S183" s="30">
        <v>92770040</v>
      </c>
      <c r="T183" s="30">
        <f t="shared" si="32"/>
        <v>92770040</v>
      </c>
      <c r="U183" s="30">
        <f>T183/X183</f>
        <v>521180</v>
      </c>
      <c r="V183" s="41">
        <f>T183/X183</f>
        <v>521180</v>
      </c>
      <c r="W183" s="41">
        <f>V183*AU183</f>
        <v>1042360</v>
      </c>
      <c r="X183" s="41">
        <f t="shared" si="25"/>
        <v>178</v>
      </c>
      <c r="Y183" s="41">
        <f>148+30</f>
        <v>178</v>
      </c>
      <c r="Z183" s="41">
        <v>0</v>
      </c>
      <c r="AA183" s="41">
        <v>0</v>
      </c>
      <c r="AB183" s="41">
        <v>0</v>
      </c>
      <c r="AC183" s="41">
        <f t="shared" si="23"/>
        <v>0</v>
      </c>
      <c r="AD183" s="41">
        <v>0</v>
      </c>
      <c r="AE183" s="41">
        <f t="shared" si="24"/>
        <v>0</v>
      </c>
      <c r="AF183" s="41">
        <f>X183/AU183</f>
        <v>89</v>
      </c>
      <c r="AG183" s="41">
        <f t="shared" si="27"/>
        <v>89</v>
      </c>
      <c r="AH183" s="36">
        <v>45337</v>
      </c>
      <c r="AI183" s="36"/>
      <c r="AJ183" s="36"/>
      <c r="AK183" s="36">
        <v>45366</v>
      </c>
      <c r="AL183" s="36"/>
      <c r="AM183" s="46"/>
      <c r="AN183" s="40" t="s">
        <v>469</v>
      </c>
      <c r="AO183" s="40" t="s">
        <v>470</v>
      </c>
      <c r="AP183" s="40" t="s">
        <v>471</v>
      </c>
      <c r="AQ183" s="40" t="s">
        <v>92</v>
      </c>
      <c r="AR183" s="48">
        <v>0</v>
      </c>
      <c r="AS183" s="37">
        <v>100</v>
      </c>
      <c r="AT183" s="37" t="s">
        <v>81</v>
      </c>
      <c r="AU183" s="47">
        <v>2</v>
      </c>
      <c r="AV183" s="37" t="s">
        <v>60</v>
      </c>
      <c r="AW183" s="37">
        <v>10</v>
      </c>
      <c r="AX183" s="30">
        <f>(J183*10)/100</f>
        <v>7713464</v>
      </c>
      <c r="AY183" s="40" t="s">
        <v>402</v>
      </c>
    </row>
    <row r="184" spans="1:51" ht="58.5" customHeight="1" x14ac:dyDescent="0.25">
      <c r="A184" s="44" t="s">
        <v>1321</v>
      </c>
      <c r="B184" s="46">
        <v>45288</v>
      </c>
      <c r="C184" s="40">
        <v>545</v>
      </c>
      <c r="D184" s="35" t="s">
        <v>1322</v>
      </c>
      <c r="E184" s="39" t="s">
        <v>1323</v>
      </c>
      <c r="F184" s="36">
        <v>45320</v>
      </c>
      <c r="G184" s="37" t="s">
        <v>1324</v>
      </c>
      <c r="H184" s="40" t="s">
        <v>86</v>
      </c>
      <c r="I184" s="40" t="s">
        <v>1325</v>
      </c>
      <c r="J184" s="54">
        <v>41547475.200000003</v>
      </c>
      <c r="K184" s="54">
        <v>41547475.200000003</v>
      </c>
      <c r="L184" s="54">
        <v>0</v>
      </c>
      <c r="M184" s="54">
        <v>0</v>
      </c>
      <c r="N184" s="42">
        <f t="shared" si="30"/>
        <v>0</v>
      </c>
      <c r="O184" s="43">
        <f t="shared" si="26"/>
        <v>0</v>
      </c>
      <c r="P184" s="41">
        <v>41547475.200000003</v>
      </c>
      <c r="Q184" s="43">
        <f t="shared" si="21"/>
        <v>0</v>
      </c>
      <c r="R184" s="41">
        <v>41547475.200000003</v>
      </c>
      <c r="S184" s="30">
        <f t="shared" ref="S184:T215" si="33">R184</f>
        <v>41547475.200000003</v>
      </c>
      <c r="T184" s="30">
        <f t="shared" si="32"/>
        <v>41547475.200000003</v>
      </c>
      <c r="U184" s="30">
        <f>T184/X184</f>
        <v>247306.40000000002</v>
      </c>
      <c r="V184" s="41">
        <f>T184/X184</f>
        <v>247306.40000000002</v>
      </c>
      <c r="W184" s="41">
        <f>V184*AU184</f>
        <v>2967676.8000000003</v>
      </c>
      <c r="X184" s="41">
        <f t="shared" si="25"/>
        <v>168</v>
      </c>
      <c r="Y184" s="41">
        <v>168</v>
      </c>
      <c r="Z184" s="41">
        <v>0</v>
      </c>
      <c r="AA184" s="41">
        <v>0</v>
      </c>
      <c r="AB184" s="41">
        <v>0</v>
      </c>
      <c r="AC184" s="41">
        <f t="shared" si="23"/>
        <v>0</v>
      </c>
      <c r="AD184" s="41">
        <v>0</v>
      </c>
      <c r="AE184" s="41">
        <f t="shared" si="24"/>
        <v>0</v>
      </c>
      <c r="AF184" s="41">
        <f>X184/AU184</f>
        <v>14</v>
      </c>
      <c r="AG184" s="41">
        <f t="shared" si="27"/>
        <v>14</v>
      </c>
      <c r="AH184" s="36">
        <v>45342</v>
      </c>
      <c r="AI184" s="36"/>
      <c r="AJ184" s="36"/>
      <c r="AK184" s="36">
        <v>45371</v>
      </c>
      <c r="AL184" s="36"/>
      <c r="AM184" s="46"/>
      <c r="AN184" s="40" t="s">
        <v>366</v>
      </c>
      <c r="AO184" s="40" t="s">
        <v>1326</v>
      </c>
      <c r="AP184" s="40" t="s">
        <v>368</v>
      </c>
      <c r="AQ184" s="40" t="s">
        <v>58</v>
      </c>
      <c r="AR184" s="48">
        <v>0</v>
      </c>
      <c r="AS184" s="37">
        <v>100</v>
      </c>
      <c r="AT184" s="37" t="s">
        <v>81</v>
      </c>
      <c r="AU184" s="47">
        <v>12</v>
      </c>
      <c r="AV184" s="37" t="s">
        <v>60</v>
      </c>
      <c r="AW184" s="37">
        <v>10</v>
      </c>
      <c r="AX184" s="30">
        <f>(J184*10)/100</f>
        <v>4154747.52</v>
      </c>
      <c r="AY184" s="40" t="s">
        <v>402</v>
      </c>
    </row>
    <row r="185" spans="1:51" ht="58.5" customHeight="1" x14ac:dyDescent="0.25">
      <c r="A185" s="44" t="s">
        <v>1327</v>
      </c>
      <c r="B185" s="46">
        <v>45288</v>
      </c>
      <c r="C185" s="40">
        <v>1416</v>
      </c>
      <c r="D185" s="35" t="s">
        <v>1328</v>
      </c>
      <c r="E185" s="39" t="s">
        <v>1329</v>
      </c>
      <c r="F185" s="36">
        <v>45320</v>
      </c>
      <c r="G185" s="37" t="s">
        <v>1330</v>
      </c>
      <c r="H185" s="40" t="s">
        <v>224</v>
      </c>
      <c r="I185" s="40" t="s">
        <v>1331</v>
      </c>
      <c r="J185" s="54">
        <v>86594317.5</v>
      </c>
      <c r="K185" s="54">
        <v>86594317.5</v>
      </c>
      <c r="L185" s="54">
        <v>0</v>
      </c>
      <c r="M185" s="54">
        <v>0</v>
      </c>
      <c r="N185" s="42">
        <f t="shared" si="30"/>
        <v>0.50385604113110882</v>
      </c>
      <c r="O185" s="43">
        <f t="shared" si="26"/>
        <v>436310.70000000298</v>
      </c>
      <c r="P185" s="41">
        <v>86158006.799999997</v>
      </c>
      <c r="Q185" s="43">
        <f t="shared" si="21"/>
        <v>436310.70000000298</v>
      </c>
      <c r="R185" s="41">
        <v>86158006.799999997</v>
      </c>
      <c r="S185" s="30">
        <v>86523759.599999994</v>
      </c>
      <c r="T185" s="30">
        <f t="shared" si="32"/>
        <v>86523759.599999994</v>
      </c>
      <c r="U185" s="30">
        <f>T185/X185</f>
        <v>96.759999999999991</v>
      </c>
      <c r="V185" s="41">
        <f>T185/X185</f>
        <v>96.759999999999991</v>
      </c>
      <c r="W185" s="41">
        <f>V185*AU185</f>
        <v>2902.7999999999997</v>
      </c>
      <c r="X185" s="41">
        <f t="shared" si="25"/>
        <v>894210</v>
      </c>
      <c r="Y185" s="41">
        <f>7260+883170+3780</f>
        <v>894210</v>
      </c>
      <c r="Z185" s="41">
        <v>0</v>
      </c>
      <c r="AA185" s="41">
        <v>0</v>
      </c>
      <c r="AB185" s="41">
        <v>7260</v>
      </c>
      <c r="AC185" s="41">
        <f t="shared" si="23"/>
        <v>702477.6</v>
      </c>
      <c r="AD185" s="41">
        <v>886950</v>
      </c>
      <c r="AE185" s="41">
        <f t="shared" si="24"/>
        <v>85821281.999999985</v>
      </c>
      <c r="AF185" s="41">
        <f>X185/AU185</f>
        <v>29807</v>
      </c>
      <c r="AG185" s="41">
        <f t="shared" si="27"/>
        <v>29807</v>
      </c>
      <c r="AH185" s="36">
        <v>45366</v>
      </c>
      <c r="AI185" s="36"/>
      <c r="AJ185" s="36"/>
      <c r="AK185" s="36">
        <v>45397</v>
      </c>
      <c r="AL185" s="36"/>
      <c r="AM185" s="46"/>
      <c r="AN185" s="40" t="s">
        <v>1332</v>
      </c>
      <c r="AO185" s="40" t="s">
        <v>1333</v>
      </c>
      <c r="AP185" s="40" t="s">
        <v>1334</v>
      </c>
      <c r="AQ185" s="40" t="s">
        <v>80</v>
      </c>
      <c r="AR185" s="48">
        <v>100</v>
      </c>
      <c r="AS185" s="37">
        <v>0</v>
      </c>
      <c r="AT185" s="37" t="s">
        <v>386</v>
      </c>
      <c r="AU185" s="47">
        <v>30</v>
      </c>
      <c r="AV185" s="37" t="s">
        <v>60</v>
      </c>
      <c r="AW185" s="37">
        <v>10</v>
      </c>
      <c r="AX185" s="30">
        <f>(J185*10)/100</f>
        <v>8659431.75</v>
      </c>
      <c r="AY185" s="40" t="s">
        <v>402</v>
      </c>
    </row>
    <row r="186" spans="1:51" ht="58.5" customHeight="1" x14ac:dyDescent="0.25">
      <c r="A186" s="44" t="s">
        <v>1335</v>
      </c>
      <c r="B186" s="46">
        <v>45288</v>
      </c>
      <c r="C186" s="40">
        <v>1416</v>
      </c>
      <c r="D186" s="35" t="s">
        <v>1336</v>
      </c>
      <c r="E186" s="39" t="s">
        <v>1337</v>
      </c>
      <c r="F186" s="36">
        <v>45320</v>
      </c>
      <c r="G186" s="37" t="s">
        <v>1338</v>
      </c>
      <c r="H186" s="40" t="s">
        <v>224</v>
      </c>
      <c r="I186" s="40" t="s">
        <v>1339</v>
      </c>
      <c r="J186" s="54">
        <v>240339922.80000001</v>
      </c>
      <c r="K186" s="54">
        <v>240339922.80000001</v>
      </c>
      <c r="L186" s="54">
        <v>0</v>
      </c>
      <c r="M186" s="54">
        <v>0</v>
      </c>
      <c r="N186" s="42">
        <f t="shared" si="30"/>
        <v>0</v>
      </c>
      <c r="O186" s="43">
        <f t="shared" si="26"/>
        <v>0</v>
      </c>
      <c r="P186" s="41">
        <v>240339922.80000001</v>
      </c>
      <c r="Q186" s="43">
        <f t="shared" ref="Q186:Q198" si="34">J186-R186</f>
        <v>0</v>
      </c>
      <c r="R186" s="41">
        <v>240339922.80000001</v>
      </c>
      <c r="S186" s="30">
        <f t="shared" si="33"/>
        <v>240339922.80000001</v>
      </c>
      <c r="T186" s="30">
        <f t="shared" si="32"/>
        <v>240339922.80000001</v>
      </c>
      <c r="U186" s="30">
        <f>T186/X186</f>
        <v>60.78</v>
      </c>
      <c r="V186" s="41">
        <f>T186/X186</f>
        <v>60.78</v>
      </c>
      <c r="W186" s="41">
        <f>V186*AU186</f>
        <v>7293.6</v>
      </c>
      <c r="X186" s="41">
        <f t="shared" si="25"/>
        <v>3954260</v>
      </c>
      <c r="Y186" s="41">
        <f>147570+3806690</f>
        <v>3954260</v>
      </c>
      <c r="Z186" s="41">
        <v>0</v>
      </c>
      <c r="AA186" s="41">
        <v>0</v>
      </c>
      <c r="AB186" s="41">
        <v>147570</v>
      </c>
      <c r="AC186" s="41">
        <f t="shared" si="23"/>
        <v>8969304.5999999996</v>
      </c>
      <c r="AD186" s="41">
        <v>3806690</v>
      </c>
      <c r="AE186" s="41">
        <f t="shared" si="24"/>
        <v>231370618.20000002</v>
      </c>
      <c r="AF186" s="41">
        <f>X186/AU186</f>
        <v>32952.166666666664</v>
      </c>
      <c r="AG186" s="41">
        <f t="shared" si="27"/>
        <v>32953</v>
      </c>
      <c r="AH186" s="36">
        <v>45352</v>
      </c>
      <c r="AI186" s="36"/>
      <c r="AJ186" s="36"/>
      <c r="AK186" s="36">
        <v>45383</v>
      </c>
      <c r="AL186" s="36"/>
      <c r="AM186" s="46"/>
      <c r="AN186" s="40" t="s">
        <v>1340</v>
      </c>
      <c r="AO186" s="40" t="s">
        <v>1341</v>
      </c>
      <c r="AP186" s="40" t="s">
        <v>1342</v>
      </c>
      <c r="AQ186" s="40" t="s">
        <v>80</v>
      </c>
      <c r="AR186" s="48">
        <v>100</v>
      </c>
      <c r="AS186" s="37">
        <v>0</v>
      </c>
      <c r="AT186" s="37" t="s">
        <v>386</v>
      </c>
      <c r="AU186" s="47">
        <v>120</v>
      </c>
      <c r="AV186" s="37" t="s">
        <v>60</v>
      </c>
      <c r="AW186" s="37">
        <v>10</v>
      </c>
      <c r="AX186" s="30">
        <f>(J186*10)/100</f>
        <v>24033992.280000001</v>
      </c>
      <c r="AY186" s="40" t="s">
        <v>402</v>
      </c>
    </row>
    <row r="187" spans="1:51" ht="58.5" customHeight="1" x14ac:dyDescent="0.25">
      <c r="A187" s="44" t="s">
        <v>1343</v>
      </c>
      <c r="B187" s="46">
        <v>45288</v>
      </c>
      <c r="C187" s="40">
        <v>1416</v>
      </c>
      <c r="D187" s="35" t="s">
        <v>431</v>
      </c>
      <c r="E187" s="39" t="s">
        <v>1344</v>
      </c>
      <c r="F187" s="36" t="s">
        <v>431</v>
      </c>
      <c r="G187" s="37" t="s">
        <v>431</v>
      </c>
      <c r="H187" s="40" t="s">
        <v>431</v>
      </c>
      <c r="I187" s="40" t="s">
        <v>1345</v>
      </c>
      <c r="J187" s="54">
        <v>148558611.59999999</v>
      </c>
      <c r="K187" s="54">
        <v>148558611.59999999</v>
      </c>
      <c r="L187" s="54">
        <v>0</v>
      </c>
      <c r="M187" s="54">
        <v>0</v>
      </c>
      <c r="N187" s="42">
        <f t="shared" si="30"/>
        <v>100</v>
      </c>
      <c r="O187" s="43">
        <f t="shared" si="26"/>
        <v>148558611.59999999</v>
      </c>
      <c r="P187" s="41"/>
      <c r="Q187" s="43">
        <f t="shared" si="34"/>
        <v>148558611.59999999</v>
      </c>
      <c r="R187" s="41">
        <v>0</v>
      </c>
      <c r="S187" s="30">
        <f t="shared" si="33"/>
        <v>0</v>
      </c>
      <c r="T187" s="30">
        <f t="shared" si="32"/>
        <v>0</v>
      </c>
      <c r="U187" s="30" t="e">
        <f>T187/X187</f>
        <v>#DIV/0!</v>
      </c>
      <c r="V187" s="41" t="e">
        <f>T187/X187</f>
        <v>#DIV/0!</v>
      </c>
      <c r="W187" s="41" t="e">
        <f>V187*AU187</f>
        <v>#DIV/0!</v>
      </c>
      <c r="X187" s="41">
        <f t="shared" si="25"/>
        <v>0</v>
      </c>
      <c r="Y187" s="41">
        <v>0</v>
      </c>
      <c r="Z187" s="41">
        <v>0</v>
      </c>
      <c r="AA187" s="41">
        <v>0</v>
      </c>
      <c r="AB187" s="41"/>
      <c r="AC187" s="41" t="e">
        <f t="shared" si="23"/>
        <v>#DIV/0!</v>
      </c>
      <c r="AD187" s="41"/>
      <c r="AE187" s="41" t="e">
        <f t="shared" si="24"/>
        <v>#DIV/0!</v>
      </c>
      <c r="AF187" s="41" t="e">
        <f>X187/AU187</f>
        <v>#DIV/0!</v>
      </c>
      <c r="AG187" s="41" t="e">
        <f t="shared" si="27"/>
        <v>#DIV/0!</v>
      </c>
      <c r="AH187" s="36">
        <v>45381</v>
      </c>
      <c r="AI187" s="36"/>
      <c r="AJ187" s="36"/>
      <c r="AK187" s="36"/>
      <c r="AL187" s="36"/>
      <c r="AM187" s="46"/>
      <c r="AN187" s="40"/>
      <c r="AO187" s="40"/>
      <c r="AP187" s="40"/>
      <c r="AQ187" s="40"/>
      <c r="AR187" s="48"/>
      <c r="AS187" s="37"/>
      <c r="AT187" s="37"/>
      <c r="AU187" s="47"/>
      <c r="AV187" s="37"/>
      <c r="AW187" s="37">
        <v>10</v>
      </c>
      <c r="AX187" s="30">
        <f>(J187*10)/100</f>
        <v>14855861.16</v>
      </c>
      <c r="AY187" s="40" t="s">
        <v>431</v>
      </c>
    </row>
    <row r="188" spans="1:51" ht="58.5" customHeight="1" x14ac:dyDescent="0.25">
      <c r="A188" s="44" t="s">
        <v>1346</v>
      </c>
      <c r="B188" s="46">
        <v>45288</v>
      </c>
      <c r="C188" s="40">
        <v>1416</v>
      </c>
      <c r="D188" s="35" t="s">
        <v>1347</v>
      </c>
      <c r="E188" s="39" t="s">
        <v>1348</v>
      </c>
      <c r="F188" s="36">
        <v>45320</v>
      </c>
      <c r="G188" s="37" t="s">
        <v>1349</v>
      </c>
      <c r="H188" s="40" t="s">
        <v>224</v>
      </c>
      <c r="I188" s="40" t="s">
        <v>1350</v>
      </c>
      <c r="J188" s="54">
        <v>32108724.600000001</v>
      </c>
      <c r="K188" s="54">
        <v>32108724.600000001</v>
      </c>
      <c r="L188" s="54">
        <v>0</v>
      </c>
      <c r="M188" s="54">
        <v>0</v>
      </c>
      <c r="N188" s="42">
        <f t="shared" si="30"/>
        <v>0</v>
      </c>
      <c r="O188" s="43">
        <f t="shared" si="26"/>
        <v>0</v>
      </c>
      <c r="P188" s="41">
        <v>32108724.600000001</v>
      </c>
      <c r="Q188" s="43">
        <f t="shared" si="34"/>
        <v>0</v>
      </c>
      <c r="R188" s="41">
        <v>32108724.600000001</v>
      </c>
      <c r="S188" s="30">
        <f t="shared" si="33"/>
        <v>32108724.600000001</v>
      </c>
      <c r="T188" s="30">
        <f t="shared" si="32"/>
        <v>32108724.600000001</v>
      </c>
      <c r="U188" s="30">
        <f>T188/X188</f>
        <v>24.27</v>
      </c>
      <c r="V188" s="41">
        <f>T188/X188</f>
        <v>24.27</v>
      </c>
      <c r="W188" s="41" t="e">
        <f>V188*AU188</f>
        <v>#VALUE!</v>
      </c>
      <c r="X188" s="41">
        <f t="shared" si="25"/>
        <v>1322980</v>
      </c>
      <c r="Y188" s="41">
        <f>273450+1049530</f>
        <v>1322980</v>
      </c>
      <c r="Z188" s="41">
        <v>0</v>
      </c>
      <c r="AA188" s="41">
        <v>0</v>
      </c>
      <c r="AB188" s="41">
        <v>273450</v>
      </c>
      <c r="AC188" s="41">
        <f t="shared" si="23"/>
        <v>6636631.5</v>
      </c>
      <c r="AD188" s="41">
        <v>1049530</v>
      </c>
      <c r="AE188" s="41">
        <f t="shared" si="24"/>
        <v>25472093.099999998</v>
      </c>
      <c r="AF188" s="41" t="e">
        <f>X188/AU188</f>
        <v>#VALUE!</v>
      </c>
      <c r="AG188" s="41" t="e">
        <f t="shared" si="27"/>
        <v>#VALUE!</v>
      </c>
      <c r="AH188" s="36">
        <v>45352</v>
      </c>
      <c r="AI188" s="36"/>
      <c r="AJ188" s="36"/>
      <c r="AK188" s="36">
        <v>45383</v>
      </c>
      <c r="AL188" s="36"/>
      <c r="AM188" s="46"/>
      <c r="AN188" s="40" t="s">
        <v>1340</v>
      </c>
      <c r="AO188" s="40" t="s">
        <v>1351</v>
      </c>
      <c r="AP188" s="40" t="s">
        <v>1352</v>
      </c>
      <c r="AQ188" s="40" t="s">
        <v>80</v>
      </c>
      <c r="AR188" s="48">
        <v>100</v>
      </c>
      <c r="AS188" s="37">
        <v>0</v>
      </c>
      <c r="AT188" s="37" t="s">
        <v>386</v>
      </c>
      <c r="AU188" s="51" t="s">
        <v>1353</v>
      </c>
      <c r="AV188" s="37" t="s">
        <v>60</v>
      </c>
      <c r="AW188" s="37">
        <v>10</v>
      </c>
      <c r="AX188" s="30">
        <f>(J188*10)/100</f>
        <v>3210872.46</v>
      </c>
      <c r="AY188" s="40" t="s">
        <v>402</v>
      </c>
    </row>
    <row r="189" spans="1:51" ht="58.5" customHeight="1" x14ac:dyDescent="0.25">
      <c r="A189" s="44" t="s">
        <v>1354</v>
      </c>
      <c r="B189" s="46">
        <v>45288</v>
      </c>
      <c r="C189" s="40" t="s">
        <v>432</v>
      </c>
      <c r="D189" s="35" t="s">
        <v>1355</v>
      </c>
      <c r="E189" s="39" t="s">
        <v>1356</v>
      </c>
      <c r="F189" s="36">
        <v>45320</v>
      </c>
      <c r="G189" s="37" t="s">
        <v>1357</v>
      </c>
      <c r="H189" s="40" t="s">
        <v>139</v>
      </c>
      <c r="I189" s="40" t="s">
        <v>1358</v>
      </c>
      <c r="J189" s="54">
        <v>1031720792.4</v>
      </c>
      <c r="K189" s="54">
        <v>1031720792.4</v>
      </c>
      <c r="L189" s="54">
        <v>0</v>
      </c>
      <c r="M189" s="54">
        <v>0</v>
      </c>
      <c r="N189" s="42">
        <f t="shared" si="30"/>
        <v>0</v>
      </c>
      <c r="O189" s="43">
        <f t="shared" si="26"/>
        <v>0</v>
      </c>
      <c r="P189" s="41">
        <v>1031720792.4</v>
      </c>
      <c r="Q189" s="43">
        <f t="shared" si="34"/>
        <v>0</v>
      </c>
      <c r="R189" s="41">
        <v>1031720792.4</v>
      </c>
      <c r="S189" s="30">
        <f t="shared" si="33"/>
        <v>1031720792.4</v>
      </c>
      <c r="T189" s="30">
        <f t="shared" si="32"/>
        <v>1031720792.4</v>
      </c>
      <c r="U189" s="30">
        <f>T189/X189</f>
        <v>201.66</v>
      </c>
      <c r="V189" s="41">
        <f>T189/X189</f>
        <v>201.66</v>
      </c>
      <c r="W189" s="41">
        <f>V189*AU189</f>
        <v>6049.8</v>
      </c>
      <c r="X189" s="41">
        <f t="shared" si="25"/>
        <v>5116140</v>
      </c>
      <c r="Y189" s="41">
        <v>5116140</v>
      </c>
      <c r="Z189" s="41">
        <v>0</v>
      </c>
      <c r="AA189" s="41">
        <v>0</v>
      </c>
      <c r="AB189" s="41">
        <v>0</v>
      </c>
      <c r="AC189" s="41">
        <f t="shared" si="23"/>
        <v>0</v>
      </c>
      <c r="AD189" s="41">
        <v>0</v>
      </c>
      <c r="AE189" s="41">
        <f t="shared" si="24"/>
        <v>0</v>
      </c>
      <c r="AF189" s="41">
        <f>X189/AU189</f>
        <v>170538</v>
      </c>
      <c r="AG189" s="41">
        <f t="shared" si="27"/>
        <v>170538</v>
      </c>
      <c r="AH189" s="36">
        <v>45397</v>
      </c>
      <c r="AI189" s="36"/>
      <c r="AJ189" s="36"/>
      <c r="AK189" s="36">
        <v>45427</v>
      </c>
      <c r="AL189" s="36"/>
      <c r="AM189" s="46"/>
      <c r="AN189" s="40" t="s">
        <v>1359</v>
      </c>
      <c r="AO189" s="40" t="s">
        <v>1360</v>
      </c>
      <c r="AP189" s="40" t="s">
        <v>1361</v>
      </c>
      <c r="AQ189" s="40" t="s">
        <v>80</v>
      </c>
      <c r="AR189" s="48">
        <v>100</v>
      </c>
      <c r="AS189" s="37">
        <v>0</v>
      </c>
      <c r="AT189" s="37" t="s">
        <v>386</v>
      </c>
      <c r="AU189" s="47">
        <v>30</v>
      </c>
      <c r="AV189" s="37" t="s">
        <v>60</v>
      </c>
      <c r="AW189" s="37">
        <v>10</v>
      </c>
      <c r="AX189" s="30">
        <f>(J189*10)/100</f>
        <v>103172079.23999999</v>
      </c>
      <c r="AY189" s="40" t="s">
        <v>402</v>
      </c>
    </row>
    <row r="190" spans="1:51" ht="58.5" customHeight="1" x14ac:dyDescent="0.25">
      <c r="A190" s="44" t="s">
        <v>1362</v>
      </c>
      <c r="B190" s="46">
        <v>45288</v>
      </c>
      <c r="C190" s="40" t="s">
        <v>432</v>
      </c>
      <c r="D190" s="35" t="s">
        <v>1363</v>
      </c>
      <c r="E190" s="39" t="s">
        <v>1364</v>
      </c>
      <c r="F190" s="36">
        <v>45320</v>
      </c>
      <c r="G190" s="37" t="s">
        <v>1365</v>
      </c>
      <c r="H190" s="40" t="s">
        <v>53</v>
      </c>
      <c r="I190" s="40" t="s">
        <v>1366</v>
      </c>
      <c r="J190" s="54">
        <v>790983700.20000005</v>
      </c>
      <c r="K190" s="54">
        <v>790983700.20000005</v>
      </c>
      <c r="L190" s="54">
        <v>0</v>
      </c>
      <c r="M190" s="54">
        <v>0</v>
      </c>
      <c r="N190" s="42">
        <f t="shared" si="30"/>
        <v>0</v>
      </c>
      <c r="O190" s="43">
        <f t="shared" si="26"/>
        <v>0</v>
      </c>
      <c r="P190" s="41">
        <v>790983700.20000005</v>
      </c>
      <c r="Q190" s="43">
        <f t="shared" si="34"/>
        <v>0</v>
      </c>
      <c r="R190" s="41">
        <v>790983700.20000005</v>
      </c>
      <c r="S190" s="30">
        <f t="shared" si="33"/>
        <v>790983700.20000005</v>
      </c>
      <c r="T190" s="30">
        <f t="shared" si="32"/>
        <v>790983700.20000005</v>
      </c>
      <c r="U190" s="30">
        <f>T190/X190</f>
        <v>414.21000000000004</v>
      </c>
      <c r="V190" s="41">
        <f>T190/X190</f>
        <v>414.21000000000004</v>
      </c>
      <c r="W190" s="41">
        <f>V190*AU190</f>
        <v>12426.300000000001</v>
      </c>
      <c r="X190" s="41">
        <f t="shared" si="25"/>
        <v>1909620</v>
      </c>
      <c r="Y190" s="41">
        <v>1909620</v>
      </c>
      <c r="Z190" s="41">
        <v>0</v>
      </c>
      <c r="AA190" s="41">
        <v>0</v>
      </c>
      <c r="AB190" s="41">
        <v>0</v>
      </c>
      <c r="AC190" s="41">
        <f t="shared" si="23"/>
        <v>0</v>
      </c>
      <c r="AD190" s="41">
        <v>0</v>
      </c>
      <c r="AE190" s="41">
        <f t="shared" si="24"/>
        <v>0</v>
      </c>
      <c r="AF190" s="41">
        <f>X190/AU190</f>
        <v>63654</v>
      </c>
      <c r="AG190" s="41">
        <f t="shared" si="27"/>
        <v>63654</v>
      </c>
      <c r="AH190" s="36">
        <v>45514</v>
      </c>
      <c r="AI190" s="36"/>
      <c r="AJ190" s="36"/>
      <c r="AK190" s="36">
        <v>45545</v>
      </c>
      <c r="AL190" s="36"/>
      <c r="AM190" s="46"/>
      <c r="AN190" s="40" t="s">
        <v>512</v>
      </c>
      <c r="AO190" s="40" t="s">
        <v>513</v>
      </c>
      <c r="AP190" s="40" t="s">
        <v>514</v>
      </c>
      <c r="AQ190" s="40" t="s">
        <v>58</v>
      </c>
      <c r="AR190" s="48">
        <v>0</v>
      </c>
      <c r="AS190" s="37">
        <v>100</v>
      </c>
      <c r="AT190" s="37" t="s">
        <v>386</v>
      </c>
      <c r="AU190" s="47">
        <v>30</v>
      </c>
      <c r="AV190" s="37" t="s">
        <v>60</v>
      </c>
      <c r="AW190" s="37">
        <v>10</v>
      </c>
      <c r="AX190" s="30">
        <f>(J190*10)/100</f>
        <v>79098370.019999996</v>
      </c>
      <c r="AY190" s="40" t="s">
        <v>402</v>
      </c>
    </row>
    <row r="191" spans="1:51" ht="58.5" customHeight="1" x14ac:dyDescent="0.25">
      <c r="A191" s="44" t="s">
        <v>1367</v>
      </c>
      <c r="B191" s="46">
        <v>45288</v>
      </c>
      <c r="C191" s="40" t="s">
        <v>432</v>
      </c>
      <c r="D191" s="35" t="s">
        <v>431</v>
      </c>
      <c r="E191" s="39" t="s">
        <v>1368</v>
      </c>
      <c r="F191" s="36" t="s">
        <v>431</v>
      </c>
      <c r="G191" s="37" t="s">
        <v>431</v>
      </c>
      <c r="H191" s="40" t="s">
        <v>431</v>
      </c>
      <c r="I191" s="40" t="s">
        <v>1369</v>
      </c>
      <c r="J191" s="54">
        <v>71990384.400000006</v>
      </c>
      <c r="K191" s="54">
        <v>71990384.400000006</v>
      </c>
      <c r="L191" s="54">
        <v>0</v>
      </c>
      <c r="M191" s="54">
        <v>0</v>
      </c>
      <c r="N191" s="42">
        <f t="shared" si="30"/>
        <v>100</v>
      </c>
      <c r="O191" s="43">
        <f t="shared" si="26"/>
        <v>71990384.400000006</v>
      </c>
      <c r="P191" s="41"/>
      <c r="Q191" s="43">
        <f t="shared" si="34"/>
        <v>71990384.400000006</v>
      </c>
      <c r="R191" s="41">
        <v>0</v>
      </c>
      <c r="S191" s="30">
        <f t="shared" si="33"/>
        <v>0</v>
      </c>
      <c r="T191" s="30">
        <f t="shared" si="32"/>
        <v>0</v>
      </c>
      <c r="U191" s="30" t="e">
        <f>T191/X191</f>
        <v>#DIV/0!</v>
      </c>
      <c r="V191" s="41" t="e">
        <f>T191/X191</f>
        <v>#DIV/0!</v>
      </c>
      <c r="W191" s="41" t="e">
        <f>V191*AU191</f>
        <v>#DIV/0!</v>
      </c>
      <c r="X191" s="41">
        <f t="shared" si="25"/>
        <v>0</v>
      </c>
      <c r="Y191" s="41">
        <v>0</v>
      </c>
      <c r="Z191" s="41">
        <v>0</v>
      </c>
      <c r="AA191" s="41">
        <v>0</v>
      </c>
      <c r="AB191" s="41"/>
      <c r="AC191" s="41" t="e">
        <f t="shared" si="23"/>
        <v>#DIV/0!</v>
      </c>
      <c r="AD191" s="41"/>
      <c r="AE191" s="41" t="e">
        <f t="shared" si="24"/>
        <v>#DIV/0!</v>
      </c>
      <c r="AF191" s="41" t="e">
        <f>X191/AU191</f>
        <v>#DIV/0!</v>
      </c>
      <c r="AG191" s="41" t="e">
        <f t="shared" si="27"/>
        <v>#DIV/0!</v>
      </c>
      <c r="AH191" s="36">
        <v>45383</v>
      </c>
      <c r="AI191" s="36"/>
      <c r="AJ191" s="36"/>
      <c r="AK191" s="36"/>
      <c r="AL191" s="36"/>
      <c r="AM191" s="46"/>
      <c r="AN191" s="40"/>
      <c r="AO191" s="40"/>
      <c r="AP191" s="40"/>
      <c r="AQ191" s="40"/>
      <c r="AR191" s="48"/>
      <c r="AS191" s="37"/>
      <c r="AT191" s="37"/>
      <c r="AU191" s="47"/>
      <c r="AV191" s="37"/>
      <c r="AW191" s="37">
        <v>10</v>
      </c>
      <c r="AX191" s="30">
        <f>(J191*10)/100</f>
        <v>7199038.4400000004</v>
      </c>
      <c r="AY191" s="40" t="s">
        <v>431</v>
      </c>
    </row>
    <row r="192" spans="1:51" ht="58.5" customHeight="1" x14ac:dyDescent="0.25">
      <c r="A192" s="44" t="s">
        <v>1370</v>
      </c>
      <c r="B192" s="46">
        <v>45288</v>
      </c>
      <c r="C192" s="40">
        <v>1416</v>
      </c>
      <c r="D192" s="35" t="s">
        <v>1371</v>
      </c>
      <c r="E192" s="39" t="s">
        <v>1372</v>
      </c>
      <c r="F192" s="36">
        <v>45320</v>
      </c>
      <c r="G192" s="37" t="s">
        <v>1373</v>
      </c>
      <c r="H192" s="40" t="s">
        <v>224</v>
      </c>
      <c r="I192" s="40" t="s">
        <v>1374</v>
      </c>
      <c r="J192" s="54">
        <v>37288365</v>
      </c>
      <c r="K192" s="54">
        <v>37288365</v>
      </c>
      <c r="L192" s="54">
        <v>0</v>
      </c>
      <c r="M192" s="54">
        <v>0</v>
      </c>
      <c r="N192" s="42">
        <f t="shared" si="30"/>
        <v>0.53859964093357271</v>
      </c>
      <c r="O192" s="43">
        <f t="shared" si="26"/>
        <v>200835</v>
      </c>
      <c r="P192" s="41">
        <v>37087530</v>
      </c>
      <c r="Q192" s="43">
        <f t="shared" si="34"/>
        <v>200835</v>
      </c>
      <c r="R192" s="41">
        <v>37087530</v>
      </c>
      <c r="S192" s="30">
        <v>37346469.600000001</v>
      </c>
      <c r="T192" s="30">
        <f t="shared" si="32"/>
        <v>37346469.600000001</v>
      </c>
      <c r="U192" s="30">
        <f>T192/X192</f>
        <v>11.08</v>
      </c>
      <c r="V192" s="41">
        <f>T192/X192</f>
        <v>11.08</v>
      </c>
      <c r="W192" s="41">
        <f>V192*AU192</f>
        <v>332.4</v>
      </c>
      <c r="X192" s="41">
        <f t="shared" si="25"/>
        <v>3370620</v>
      </c>
      <c r="Y192" s="41">
        <f>10080+711090</f>
        <v>721170</v>
      </c>
      <c r="Z192" s="41">
        <f>36990+2589090+23370</f>
        <v>2649450</v>
      </c>
      <c r="AA192" s="41">
        <v>0</v>
      </c>
      <c r="AB192" s="41">
        <f>10080+36990</f>
        <v>47070</v>
      </c>
      <c r="AC192" s="41">
        <f t="shared" si="23"/>
        <v>521535.6</v>
      </c>
      <c r="AD192" s="41">
        <f>711090+2589090+23370</f>
        <v>3323550</v>
      </c>
      <c r="AE192" s="41">
        <f t="shared" si="24"/>
        <v>36824934</v>
      </c>
      <c r="AF192" s="41">
        <f>X192/AU192</f>
        <v>112354</v>
      </c>
      <c r="AG192" s="41">
        <f t="shared" si="27"/>
        <v>112354</v>
      </c>
      <c r="AH192" s="36">
        <v>45323</v>
      </c>
      <c r="AI192" s="36">
        <v>45383</v>
      </c>
      <c r="AJ192" s="36"/>
      <c r="AK192" s="36">
        <v>45352</v>
      </c>
      <c r="AL192" s="36">
        <v>45413</v>
      </c>
      <c r="AM192" s="46"/>
      <c r="AN192" s="40" t="s">
        <v>1375</v>
      </c>
      <c r="AO192" s="40" t="s">
        <v>1376</v>
      </c>
      <c r="AP192" s="40" t="s">
        <v>1334</v>
      </c>
      <c r="AQ192" s="40" t="s">
        <v>80</v>
      </c>
      <c r="AR192" s="48">
        <v>100</v>
      </c>
      <c r="AS192" s="37">
        <v>0</v>
      </c>
      <c r="AT192" s="37" t="s">
        <v>386</v>
      </c>
      <c r="AU192" s="47">
        <v>30</v>
      </c>
      <c r="AV192" s="37" t="s">
        <v>60</v>
      </c>
      <c r="AW192" s="37">
        <v>10</v>
      </c>
      <c r="AX192" s="30">
        <f>(J192*10)/100</f>
        <v>3728836.5</v>
      </c>
      <c r="AY192" s="40" t="s">
        <v>402</v>
      </c>
    </row>
    <row r="193" spans="1:51" ht="58.5" customHeight="1" x14ac:dyDescent="0.25">
      <c r="A193" s="44" t="s">
        <v>1377</v>
      </c>
      <c r="B193" s="46">
        <v>45288</v>
      </c>
      <c r="C193" s="40">
        <v>1416</v>
      </c>
      <c r="D193" s="35" t="s">
        <v>1378</v>
      </c>
      <c r="E193" s="39" t="s">
        <v>1379</v>
      </c>
      <c r="F193" s="36">
        <v>45324</v>
      </c>
      <c r="G193" s="37" t="s">
        <v>1380</v>
      </c>
      <c r="H193" s="40" t="s">
        <v>224</v>
      </c>
      <c r="I193" s="40" t="s">
        <v>1381</v>
      </c>
      <c r="J193" s="54">
        <v>749995.2</v>
      </c>
      <c r="K193" s="54">
        <v>749995.2</v>
      </c>
      <c r="L193" s="54">
        <v>0</v>
      </c>
      <c r="M193" s="54">
        <v>0</v>
      </c>
      <c r="N193" s="42">
        <f t="shared" si="30"/>
        <v>0.50004320027647253</v>
      </c>
      <c r="O193" s="43">
        <f t="shared" si="26"/>
        <v>3750.2999999999302</v>
      </c>
      <c r="P193" s="41">
        <v>746244.9</v>
      </c>
      <c r="Q193" s="43">
        <f t="shared" si="34"/>
        <v>3750.2999999999302</v>
      </c>
      <c r="R193" s="41">
        <v>746244.9</v>
      </c>
      <c r="S193" s="30">
        <f t="shared" si="33"/>
        <v>746244.9</v>
      </c>
      <c r="T193" s="30">
        <f t="shared" si="32"/>
        <v>746244.9</v>
      </c>
      <c r="U193" s="30">
        <f>T193/X193</f>
        <v>921.29000000000008</v>
      </c>
      <c r="V193" s="41">
        <f>T193/X193</f>
        <v>921.29000000000008</v>
      </c>
      <c r="W193" s="41">
        <f>V193*AU193</f>
        <v>46064.500000000007</v>
      </c>
      <c r="X193" s="41">
        <f t="shared" si="25"/>
        <v>810</v>
      </c>
      <c r="Y193" s="41">
        <v>810</v>
      </c>
      <c r="Z193" s="41">
        <v>0</v>
      </c>
      <c r="AA193" s="41">
        <v>0</v>
      </c>
      <c r="AB193" s="41">
        <v>0</v>
      </c>
      <c r="AC193" s="41">
        <f t="shared" si="23"/>
        <v>0</v>
      </c>
      <c r="AD193" s="41">
        <v>810</v>
      </c>
      <c r="AE193" s="41">
        <f t="shared" si="24"/>
        <v>746244.9</v>
      </c>
      <c r="AF193" s="41">
        <f>X193/AU193</f>
        <v>16.2</v>
      </c>
      <c r="AG193" s="41">
        <f t="shared" si="27"/>
        <v>17</v>
      </c>
      <c r="AH193" s="36">
        <v>45352</v>
      </c>
      <c r="AI193" s="36"/>
      <c r="AJ193" s="36"/>
      <c r="AK193" s="36">
        <v>45383</v>
      </c>
      <c r="AL193" s="36"/>
      <c r="AM193" s="46"/>
      <c r="AN193" s="40" t="s">
        <v>1382</v>
      </c>
      <c r="AO193" s="40" t="s">
        <v>1383</v>
      </c>
      <c r="AP193" s="40" t="s">
        <v>1384</v>
      </c>
      <c r="AQ193" s="40" t="s">
        <v>80</v>
      </c>
      <c r="AR193" s="48">
        <v>100</v>
      </c>
      <c r="AS193" s="37">
        <v>0</v>
      </c>
      <c r="AT193" s="37" t="s">
        <v>81</v>
      </c>
      <c r="AU193" s="47">
        <v>50</v>
      </c>
      <c r="AV193" s="37" t="s">
        <v>219</v>
      </c>
      <c r="AW193" s="37">
        <v>10</v>
      </c>
      <c r="AX193" s="30">
        <f>(J193*10)/100</f>
        <v>74999.520000000004</v>
      </c>
      <c r="AY193" s="40" t="s">
        <v>402</v>
      </c>
    </row>
    <row r="194" spans="1:51" ht="58.5" customHeight="1" x14ac:dyDescent="0.25">
      <c r="A194" s="44" t="s">
        <v>1385</v>
      </c>
      <c r="B194" s="46">
        <v>45289</v>
      </c>
      <c r="C194" s="40">
        <v>1416</v>
      </c>
      <c r="D194" s="35" t="s">
        <v>1386</v>
      </c>
      <c r="E194" s="39" t="s">
        <v>1387</v>
      </c>
      <c r="F194" s="36">
        <v>45327</v>
      </c>
      <c r="G194" s="37" t="s">
        <v>1388</v>
      </c>
      <c r="H194" s="40" t="s">
        <v>307</v>
      </c>
      <c r="I194" s="40" t="s">
        <v>1389</v>
      </c>
      <c r="J194" s="54">
        <v>695313219.03999996</v>
      </c>
      <c r="K194" s="54">
        <v>695313219.03999996</v>
      </c>
      <c r="L194" s="54">
        <v>0</v>
      </c>
      <c r="M194" s="54">
        <v>0</v>
      </c>
      <c r="N194" s="42">
        <f t="shared" si="30"/>
        <v>0</v>
      </c>
      <c r="O194" s="43">
        <f t="shared" si="26"/>
        <v>0</v>
      </c>
      <c r="P194" s="41">
        <v>695313219.03999996</v>
      </c>
      <c r="Q194" s="43">
        <f t="shared" si="34"/>
        <v>0</v>
      </c>
      <c r="R194" s="41">
        <v>695313219.03999996</v>
      </c>
      <c r="S194" s="30">
        <f t="shared" si="33"/>
        <v>695313219.03999996</v>
      </c>
      <c r="T194" s="30">
        <f t="shared" si="32"/>
        <v>695313219.03999996</v>
      </c>
      <c r="U194" s="30">
        <f>T194/X194</f>
        <v>1212.97</v>
      </c>
      <c r="V194" s="41">
        <f>T194/X194</f>
        <v>1212.97</v>
      </c>
      <c r="W194" s="41" t="e">
        <f>V194*AU194</f>
        <v>#VALUE!</v>
      </c>
      <c r="X194" s="41">
        <f t="shared" si="25"/>
        <v>573232</v>
      </c>
      <c r="Y194" s="41">
        <f>3920+569312</f>
        <v>573232</v>
      </c>
      <c r="Z194" s="41">
        <v>0</v>
      </c>
      <c r="AA194" s="41">
        <v>0</v>
      </c>
      <c r="AB194" s="41">
        <v>3920</v>
      </c>
      <c r="AC194" s="41">
        <f t="shared" si="23"/>
        <v>4754842.4000000004</v>
      </c>
      <c r="AD194" s="41">
        <v>569312</v>
      </c>
      <c r="AE194" s="41">
        <f t="shared" si="24"/>
        <v>690558376.63999999</v>
      </c>
      <c r="AF194" s="41" t="e">
        <f>X194/AU194</f>
        <v>#VALUE!</v>
      </c>
      <c r="AG194" s="41" t="e">
        <f t="shared" si="27"/>
        <v>#VALUE!</v>
      </c>
      <c r="AH194" s="36">
        <v>45383</v>
      </c>
      <c r="AI194" s="36"/>
      <c r="AJ194" s="36"/>
      <c r="AK194" s="36">
        <v>45413</v>
      </c>
      <c r="AL194" s="36"/>
      <c r="AM194" s="46"/>
      <c r="AN194" s="40" t="s">
        <v>1390</v>
      </c>
      <c r="AO194" s="40" t="s">
        <v>1391</v>
      </c>
      <c r="AP194" s="40" t="s">
        <v>1392</v>
      </c>
      <c r="AQ194" s="40" t="s">
        <v>80</v>
      </c>
      <c r="AR194" s="48">
        <v>100</v>
      </c>
      <c r="AS194" s="37">
        <v>0</v>
      </c>
      <c r="AT194" s="37" t="s">
        <v>386</v>
      </c>
      <c r="AU194" s="51" t="s">
        <v>1393</v>
      </c>
      <c r="AV194" s="37" t="s">
        <v>60</v>
      </c>
      <c r="AW194" s="37">
        <v>10</v>
      </c>
      <c r="AX194" s="30">
        <f>(J194*10)/100</f>
        <v>69531321.903999999</v>
      </c>
      <c r="AY194" s="40" t="s">
        <v>402</v>
      </c>
    </row>
    <row r="195" spans="1:51" ht="58.5" customHeight="1" x14ac:dyDescent="0.25">
      <c r="A195" s="44" t="s">
        <v>1394</v>
      </c>
      <c r="B195" s="46">
        <v>45289</v>
      </c>
      <c r="C195" s="40">
        <v>1416</v>
      </c>
      <c r="D195" s="35" t="s">
        <v>1395</v>
      </c>
      <c r="E195" s="39" t="s">
        <v>1396</v>
      </c>
      <c r="F195" s="36">
        <v>45320</v>
      </c>
      <c r="G195" s="37" t="s">
        <v>1397</v>
      </c>
      <c r="H195" s="40" t="s">
        <v>53</v>
      </c>
      <c r="I195" s="40" t="s">
        <v>1398</v>
      </c>
      <c r="J195" s="54">
        <v>3614799</v>
      </c>
      <c r="K195" s="54">
        <v>3614799</v>
      </c>
      <c r="L195" s="54">
        <v>0</v>
      </c>
      <c r="M195" s="54">
        <v>0</v>
      </c>
      <c r="N195" s="42">
        <f t="shared" si="30"/>
        <v>0</v>
      </c>
      <c r="O195" s="43">
        <f t="shared" si="26"/>
        <v>0</v>
      </c>
      <c r="P195" s="41">
        <v>3614799</v>
      </c>
      <c r="Q195" s="43">
        <f t="shared" si="34"/>
        <v>0</v>
      </c>
      <c r="R195" s="41">
        <v>3614799</v>
      </c>
      <c r="S195" s="30">
        <f t="shared" si="33"/>
        <v>3614799</v>
      </c>
      <c r="T195" s="30">
        <f t="shared" si="32"/>
        <v>3614799</v>
      </c>
      <c r="U195" s="30">
        <f>T195/X195</f>
        <v>197.53</v>
      </c>
      <c r="V195" s="41">
        <f>T195/X195</f>
        <v>197.53</v>
      </c>
      <c r="W195" s="41">
        <f>V195*AU195</f>
        <v>19753</v>
      </c>
      <c r="X195" s="41">
        <f t="shared" si="25"/>
        <v>18300</v>
      </c>
      <c r="Y195" s="41">
        <f>14700+3600</f>
        <v>18300</v>
      </c>
      <c r="Z195" s="41">
        <v>0</v>
      </c>
      <c r="AA195" s="41">
        <v>0</v>
      </c>
      <c r="AB195" s="41">
        <v>14700</v>
      </c>
      <c r="AC195" s="41">
        <f t="shared" si="23"/>
        <v>2903691</v>
      </c>
      <c r="AD195" s="41">
        <v>3600</v>
      </c>
      <c r="AE195" s="41">
        <f t="shared" si="24"/>
        <v>711108</v>
      </c>
      <c r="AF195" s="41">
        <f>X195/AU195</f>
        <v>183</v>
      </c>
      <c r="AG195" s="41">
        <f t="shared" si="27"/>
        <v>183</v>
      </c>
      <c r="AH195" s="36">
        <v>45352</v>
      </c>
      <c r="AI195" s="36"/>
      <c r="AJ195" s="36"/>
      <c r="AK195" s="36">
        <v>45383</v>
      </c>
      <c r="AL195" s="36"/>
      <c r="AM195" s="46"/>
      <c r="AN195" s="40" t="s">
        <v>1399</v>
      </c>
      <c r="AO195" s="40" t="s">
        <v>1400</v>
      </c>
      <c r="AP195" s="40" t="s">
        <v>1401</v>
      </c>
      <c r="AQ195" s="40" t="s">
        <v>1402</v>
      </c>
      <c r="AR195" s="48">
        <v>0</v>
      </c>
      <c r="AS195" s="37">
        <v>100</v>
      </c>
      <c r="AT195" s="37" t="s">
        <v>324</v>
      </c>
      <c r="AU195" s="47">
        <v>100</v>
      </c>
      <c r="AV195" s="37" t="s">
        <v>60</v>
      </c>
      <c r="AW195" s="37">
        <v>10</v>
      </c>
      <c r="AX195" s="30">
        <f>(J195*10)/100</f>
        <v>361479.9</v>
      </c>
      <c r="AY195" s="40" t="s">
        <v>402</v>
      </c>
    </row>
    <row r="196" spans="1:51" ht="58.5" customHeight="1" x14ac:dyDescent="0.25">
      <c r="A196" s="44" t="s">
        <v>1403</v>
      </c>
      <c r="B196" s="46">
        <v>45289</v>
      </c>
      <c r="C196" s="40">
        <v>1416</v>
      </c>
      <c r="D196" s="35" t="s">
        <v>1404</v>
      </c>
      <c r="E196" s="39" t="s">
        <v>1405</v>
      </c>
      <c r="F196" s="36">
        <v>45322</v>
      </c>
      <c r="G196" s="37" t="s">
        <v>1406</v>
      </c>
      <c r="H196" s="40" t="s">
        <v>1185</v>
      </c>
      <c r="I196" s="40" t="s">
        <v>1407</v>
      </c>
      <c r="J196" s="54">
        <v>87974803.200000003</v>
      </c>
      <c r="K196" s="54">
        <v>87974803.200000003</v>
      </c>
      <c r="L196" s="54">
        <v>0</v>
      </c>
      <c r="M196" s="54">
        <v>0</v>
      </c>
      <c r="N196" s="42">
        <f t="shared" si="30"/>
        <v>2.0000000181870234</v>
      </c>
      <c r="O196" s="43">
        <f t="shared" si="26"/>
        <v>1759496.0799999982</v>
      </c>
      <c r="P196" s="41">
        <v>86215307.120000005</v>
      </c>
      <c r="Q196" s="43">
        <f t="shared" si="34"/>
        <v>17960472</v>
      </c>
      <c r="R196" s="41">
        <v>70014331.200000003</v>
      </c>
      <c r="S196" s="30">
        <f t="shared" si="33"/>
        <v>70014331.200000003</v>
      </c>
      <c r="T196" s="30">
        <f t="shared" si="33"/>
        <v>70014331.200000003</v>
      </c>
      <c r="U196" s="30">
        <f>T196/X196</f>
        <v>88.88000000000001</v>
      </c>
      <c r="V196" s="41">
        <f>T196/X196</f>
        <v>88.88000000000001</v>
      </c>
      <c r="W196" s="41">
        <f>V196*AU196</f>
        <v>5332.8</v>
      </c>
      <c r="X196" s="41">
        <f t="shared" si="25"/>
        <v>787740</v>
      </c>
      <c r="Y196" s="41">
        <f>39420+344460</f>
        <v>383880</v>
      </c>
      <c r="Z196" s="41">
        <f>41040+362820</f>
        <v>403860</v>
      </c>
      <c r="AA196" s="41">
        <v>0</v>
      </c>
      <c r="AB196" s="41">
        <f>39420+41040</f>
        <v>80460</v>
      </c>
      <c r="AC196" s="41">
        <f t="shared" ref="AC196:AC259" si="35">AB196*V196</f>
        <v>7151284.8000000007</v>
      </c>
      <c r="AD196" s="41">
        <f>344460+362820</f>
        <v>707280</v>
      </c>
      <c r="AE196" s="41">
        <f t="shared" ref="AE196:AE259" si="36">AD196*V196</f>
        <v>62863046.400000006</v>
      </c>
      <c r="AF196" s="41">
        <f>X196/AU196</f>
        <v>13129</v>
      </c>
      <c r="AG196" s="41">
        <f t="shared" si="27"/>
        <v>13129</v>
      </c>
      <c r="AH196" s="36">
        <v>45352</v>
      </c>
      <c r="AI196" s="36">
        <v>45474</v>
      </c>
      <c r="AJ196" s="36"/>
      <c r="AK196" s="36">
        <v>45383</v>
      </c>
      <c r="AL196" s="36">
        <v>45505</v>
      </c>
      <c r="AM196" s="46"/>
      <c r="AN196" s="40" t="s">
        <v>1187</v>
      </c>
      <c r="AO196" s="40" t="s">
        <v>1408</v>
      </c>
      <c r="AP196" s="40" t="s">
        <v>1189</v>
      </c>
      <c r="AQ196" s="40" t="s">
        <v>80</v>
      </c>
      <c r="AR196" s="48">
        <v>100</v>
      </c>
      <c r="AS196" s="37">
        <v>0</v>
      </c>
      <c r="AT196" s="37" t="s">
        <v>386</v>
      </c>
      <c r="AU196" s="47">
        <v>60</v>
      </c>
      <c r="AV196" s="37" t="s">
        <v>60</v>
      </c>
      <c r="AW196" s="37">
        <v>10</v>
      </c>
      <c r="AX196" s="30">
        <f>(J196*10)/100</f>
        <v>8797480.3200000003</v>
      </c>
      <c r="AY196" s="40" t="s">
        <v>402</v>
      </c>
    </row>
    <row r="197" spans="1:51" ht="58.5" customHeight="1" x14ac:dyDescent="0.25">
      <c r="A197" s="44" t="s">
        <v>1409</v>
      </c>
      <c r="B197" s="46">
        <v>45289</v>
      </c>
      <c r="C197" s="40">
        <v>1416</v>
      </c>
      <c r="D197" s="35" t="s">
        <v>1410</v>
      </c>
      <c r="E197" s="39" t="s">
        <v>1411</v>
      </c>
      <c r="F197" s="36">
        <v>45320</v>
      </c>
      <c r="G197" s="37" t="s">
        <v>1412</v>
      </c>
      <c r="H197" s="40" t="s">
        <v>53</v>
      </c>
      <c r="I197" s="40" t="s">
        <v>1413</v>
      </c>
      <c r="J197" s="54">
        <v>165786.4</v>
      </c>
      <c r="K197" s="54">
        <v>165786.4</v>
      </c>
      <c r="L197" s="54">
        <v>0</v>
      </c>
      <c r="M197" s="54">
        <v>0</v>
      </c>
      <c r="N197" s="42">
        <f t="shared" si="30"/>
        <v>0</v>
      </c>
      <c r="O197" s="43">
        <f t="shared" si="26"/>
        <v>0</v>
      </c>
      <c r="P197" s="41">
        <v>165786.4</v>
      </c>
      <c r="Q197" s="43">
        <f t="shared" si="34"/>
        <v>0</v>
      </c>
      <c r="R197" s="41">
        <v>165786.4</v>
      </c>
      <c r="S197" s="30">
        <f t="shared" si="33"/>
        <v>165786.4</v>
      </c>
      <c r="T197" s="30">
        <f t="shared" si="33"/>
        <v>165786.4</v>
      </c>
      <c r="U197" s="30">
        <f>T197/X197</f>
        <v>218.14</v>
      </c>
      <c r="V197" s="41">
        <f>T197/X197</f>
        <v>218.14</v>
      </c>
      <c r="W197" s="41">
        <f>V197*AU197</f>
        <v>8725.5999999999985</v>
      </c>
      <c r="X197" s="41">
        <f t="shared" si="25"/>
        <v>760</v>
      </c>
      <c r="Y197" s="41">
        <v>760</v>
      </c>
      <c r="Z197" s="41">
        <v>0</v>
      </c>
      <c r="AA197" s="41">
        <v>0</v>
      </c>
      <c r="AB197" s="41">
        <v>760</v>
      </c>
      <c r="AC197" s="41">
        <f t="shared" si="35"/>
        <v>165786.4</v>
      </c>
      <c r="AD197" s="41">
        <v>0</v>
      </c>
      <c r="AE197" s="41">
        <f t="shared" si="36"/>
        <v>0</v>
      </c>
      <c r="AF197" s="41">
        <f>X197/AU197</f>
        <v>19</v>
      </c>
      <c r="AG197" s="41">
        <f t="shared" si="27"/>
        <v>19</v>
      </c>
      <c r="AH197" s="36">
        <v>45352</v>
      </c>
      <c r="AI197" s="36"/>
      <c r="AJ197" s="36"/>
      <c r="AK197" s="36">
        <v>45383</v>
      </c>
      <c r="AL197" s="36"/>
      <c r="AM197" s="46"/>
      <c r="AN197" s="40" t="s">
        <v>187</v>
      </c>
      <c r="AO197" s="40" t="s">
        <v>1414</v>
      </c>
      <c r="AP197" s="40" t="s">
        <v>1415</v>
      </c>
      <c r="AQ197" s="40" t="s">
        <v>1402</v>
      </c>
      <c r="AR197" s="48">
        <v>0</v>
      </c>
      <c r="AS197" s="37">
        <v>100</v>
      </c>
      <c r="AT197" s="37" t="s">
        <v>324</v>
      </c>
      <c r="AU197" s="47">
        <v>40</v>
      </c>
      <c r="AV197" s="37" t="s">
        <v>219</v>
      </c>
      <c r="AW197" s="37">
        <v>10</v>
      </c>
      <c r="AX197" s="30">
        <f>(J197*10)/100</f>
        <v>16578.64</v>
      </c>
      <c r="AY197" s="40" t="s">
        <v>402</v>
      </c>
    </row>
    <row r="198" spans="1:51" ht="58.5" customHeight="1" x14ac:dyDescent="0.25">
      <c r="A198" s="44" t="s">
        <v>1416</v>
      </c>
      <c r="B198" s="46">
        <v>45289</v>
      </c>
      <c r="C198" s="40">
        <v>1416</v>
      </c>
      <c r="D198" s="35" t="s">
        <v>1417</v>
      </c>
      <c r="E198" s="39" t="s">
        <v>1418</v>
      </c>
      <c r="F198" s="36">
        <v>45322</v>
      </c>
      <c r="G198" s="37" t="s">
        <v>1419</v>
      </c>
      <c r="H198" s="40" t="s">
        <v>224</v>
      </c>
      <c r="I198" s="40" t="s">
        <v>1420</v>
      </c>
      <c r="J198" s="54">
        <v>17068912</v>
      </c>
      <c r="K198" s="54">
        <v>17068912</v>
      </c>
      <c r="L198" s="54">
        <v>0</v>
      </c>
      <c r="M198" s="54">
        <v>0</v>
      </c>
      <c r="N198" s="42">
        <f t="shared" si="30"/>
        <v>0.50590219224283306</v>
      </c>
      <c r="O198" s="43">
        <f t="shared" si="26"/>
        <v>86352</v>
      </c>
      <c r="P198" s="41">
        <v>16982560</v>
      </c>
      <c r="Q198" s="43">
        <f t="shared" si="34"/>
        <v>86352</v>
      </c>
      <c r="R198" s="41">
        <v>16982560</v>
      </c>
      <c r="S198" s="30">
        <f t="shared" si="33"/>
        <v>16982560</v>
      </c>
      <c r="T198" s="30">
        <f t="shared" si="33"/>
        <v>16982560</v>
      </c>
      <c r="U198" s="30">
        <f>T198/X198</f>
        <v>11.8</v>
      </c>
      <c r="V198" s="41">
        <f>T198/X198</f>
        <v>11.8</v>
      </c>
      <c r="W198" s="41">
        <f>V198*AU198</f>
        <v>1180</v>
      </c>
      <c r="X198" s="41">
        <f t="shared" si="25"/>
        <v>1439200</v>
      </c>
      <c r="Y198" s="41">
        <f>142900+1296300</f>
        <v>1439200</v>
      </c>
      <c r="Z198" s="41">
        <v>0</v>
      </c>
      <c r="AA198" s="41">
        <v>0</v>
      </c>
      <c r="AB198" s="41">
        <v>142900</v>
      </c>
      <c r="AC198" s="41">
        <f t="shared" si="35"/>
        <v>1686220</v>
      </c>
      <c r="AD198" s="41">
        <v>1296300</v>
      </c>
      <c r="AE198" s="41">
        <f t="shared" si="36"/>
        <v>15296340</v>
      </c>
      <c r="AF198" s="41">
        <f>X198/AU198</f>
        <v>14392</v>
      </c>
      <c r="AG198" s="41">
        <f t="shared" si="27"/>
        <v>14392</v>
      </c>
      <c r="AH198" s="36">
        <v>45352</v>
      </c>
      <c r="AI198" s="36"/>
      <c r="AJ198" s="36"/>
      <c r="AK198" s="36">
        <v>45383</v>
      </c>
      <c r="AL198" s="36"/>
      <c r="AM198" s="46"/>
      <c r="AN198" s="40" t="s">
        <v>1421</v>
      </c>
      <c r="AO198" s="40" t="s">
        <v>1422</v>
      </c>
      <c r="AP198" s="40" t="s">
        <v>1423</v>
      </c>
      <c r="AQ198" s="40" t="s">
        <v>80</v>
      </c>
      <c r="AR198" s="48">
        <v>100</v>
      </c>
      <c r="AS198" s="37">
        <v>0</v>
      </c>
      <c r="AT198" s="37" t="s">
        <v>386</v>
      </c>
      <c r="AU198" s="47">
        <v>100</v>
      </c>
      <c r="AV198" s="37" t="s">
        <v>60</v>
      </c>
      <c r="AW198" s="37">
        <v>10</v>
      </c>
      <c r="AX198" s="30">
        <f>(J198*10)/100</f>
        <v>1706891.2</v>
      </c>
      <c r="AY198" s="40" t="s">
        <v>402</v>
      </c>
    </row>
    <row r="199" spans="1:51" ht="58.5" customHeight="1" x14ac:dyDescent="0.25">
      <c r="A199" s="44" t="s">
        <v>1424</v>
      </c>
      <c r="B199" s="46">
        <v>45289</v>
      </c>
      <c r="C199" s="40">
        <v>1416</v>
      </c>
      <c r="D199" s="35" t="s">
        <v>1425</v>
      </c>
      <c r="E199" s="39" t="s">
        <v>1426</v>
      </c>
      <c r="F199" s="36">
        <v>45317</v>
      </c>
      <c r="G199" s="37" t="s">
        <v>1427</v>
      </c>
      <c r="H199" s="40" t="s">
        <v>53</v>
      </c>
      <c r="I199" s="40" t="s">
        <v>606</v>
      </c>
      <c r="J199" s="54">
        <v>13163854000</v>
      </c>
      <c r="K199" s="54">
        <v>13163854000</v>
      </c>
      <c r="L199" s="54">
        <v>6581927000</v>
      </c>
      <c r="M199" s="54">
        <v>6581927000</v>
      </c>
      <c r="N199" s="42">
        <f t="shared" si="30"/>
        <v>0</v>
      </c>
      <c r="O199" s="43">
        <f t="shared" si="26"/>
        <v>0</v>
      </c>
      <c r="P199" s="41">
        <v>13163854000</v>
      </c>
      <c r="Q199" s="43">
        <v>0</v>
      </c>
      <c r="R199" s="41">
        <v>6581927000</v>
      </c>
      <c r="S199" s="30">
        <f t="shared" si="33"/>
        <v>6581927000</v>
      </c>
      <c r="T199" s="30">
        <v>13163854000</v>
      </c>
      <c r="U199" s="30">
        <f>T199/X199</f>
        <v>22696.3</v>
      </c>
      <c r="V199" s="41">
        <f>T199/X199</f>
        <v>22696.3</v>
      </c>
      <c r="W199" s="41">
        <f>V199*AU199</f>
        <v>226963</v>
      </c>
      <c r="X199" s="41">
        <v>580000</v>
      </c>
      <c r="Y199" s="41">
        <f>1560+288440</f>
        <v>290000</v>
      </c>
      <c r="Z199" s="41">
        <v>0</v>
      </c>
      <c r="AA199" s="41">
        <v>0</v>
      </c>
      <c r="AB199" s="41">
        <v>1560</v>
      </c>
      <c r="AC199" s="41">
        <f t="shared" si="35"/>
        <v>35406228</v>
      </c>
      <c r="AD199" s="41">
        <v>288440</v>
      </c>
      <c r="AE199" s="41">
        <f t="shared" si="36"/>
        <v>6546520772</v>
      </c>
      <c r="AF199" s="41">
        <f>X199/AU199</f>
        <v>58000</v>
      </c>
      <c r="AG199" s="41">
        <f t="shared" si="27"/>
        <v>58000</v>
      </c>
      <c r="AH199" s="36">
        <v>45352</v>
      </c>
      <c r="AI199" s="36">
        <v>45717</v>
      </c>
      <c r="AJ199" s="36"/>
      <c r="AK199" s="36">
        <v>45383</v>
      </c>
      <c r="AL199" s="36">
        <v>45748</v>
      </c>
      <c r="AM199" s="46"/>
      <c r="AN199" s="40" t="s">
        <v>1428</v>
      </c>
      <c r="AO199" s="40" t="s">
        <v>1429</v>
      </c>
      <c r="AP199" s="40" t="s">
        <v>1430</v>
      </c>
      <c r="AQ199" s="40" t="s">
        <v>92</v>
      </c>
      <c r="AR199" s="48">
        <v>0</v>
      </c>
      <c r="AS199" s="37">
        <v>100</v>
      </c>
      <c r="AT199" s="37" t="s">
        <v>81</v>
      </c>
      <c r="AU199" s="47">
        <v>10</v>
      </c>
      <c r="AV199" s="37" t="s">
        <v>60</v>
      </c>
      <c r="AW199" s="37">
        <v>10</v>
      </c>
      <c r="AX199" s="30">
        <f>(J199*10)/100</f>
        <v>1316385400</v>
      </c>
      <c r="AY199" s="40" t="s">
        <v>402</v>
      </c>
    </row>
    <row r="200" spans="1:51" ht="58.5" customHeight="1" x14ac:dyDescent="0.25">
      <c r="A200" s="44" t="s">
        <v>1431</v>
      </c>
      <c r="B200" s="46">
        <v>45289</v>
      </c>
      <c r="C200" s="40">
        <v>1416</v>
      </c>
      <c r="D200" s="35" t="s">
        <v>1432</v>
      </c>
      <c r="E200" s="39" t="s">
        <v>1433</v>
      </c>
      <c r="F200" s="36">
        <v>45320</v>
      </c>
      <c r="G200" s="37" t="s">
        <v>1434</v>
      </c>
      <c r="H200" s="40" t="s">
        <v>224</v>
      </c>
      <c r="I200" s="40" t="s">
        <v>1435</v>
      </c>
      <c r="J200" s="54">
        <v>8914257</v>
      </c>
      <c r="K200" s="54">
        <v>8914257</v>
      </c>
      <c r="L200" s="54">
        <v>0</v>
      </c>
      <c r="M200" s="54">
        <v>0</v>
      </c>
      <c r="N200" s="42">
        <f t="shared" si="30"/>
        <v>0</v>
      </c>
      <c r="O200" s="43">
        <f t="shared" ref="O200:O263" si="37">J200-P200</f>
        <v>0</v>
      </c>
      <c r="P200" s="41">
        <v>8914257</v>
      </c>
      <c r="Q200" s="43">
        <f t="shared" ref="Q200:Q263" si="38">J200-R200</f>
        <v>0</v>
      </c>
      <c r="R200" s="41">
        <v>8914257</v>
      </c>
      <c r="S200" s="30">
        <f t="shared" si="33"/>
        <v>8914257</v>
      </c>
      <c r="T200" s="30">
        <f t="shared" si="33"/>
        <v>8914257</v>
      </c>
      <c r="U200" s="30">
        <f>T200/X200</f>
        <v>41.91</v>
      </c>
      <c r="V200" s="41">
        <f>T200/X200</f>
        <v>41.91</v>
      </c>
      <c r="W200" s="41">
        <f>V200*AU200</f>
        <v>2095.5</v>
      </c>
      <c r="X200" s="41">
        <f t="shared" ref="X200:X263" si="39">Y200+Z200+AA200</f>
        <v>212700</v>
      </c>
      <c r="Y200" s="41">
        <f>7300+205400</f>
        <v>212700</v>
      </c>
      <c r="Z200" s="41">
        <v>0</v>
      </c>
      <c r="AA200" s="41">
        <v>0</v>
      </c>
      <c r="AB200" s="41">
        <v>7300</v>
      </c>
      <c r="AC200" s="41">
        <f t="shared" si="35"/>
        <v>305943</v>
      </c>
      <c r="AD200" s="41">
        <v>205400</v>
      </c>
      <c r="AE200" s="41">
        <f t="shared" si="36"/>
        <v>8608314</v>
      </c>
      <c r="AF200" s="41">
        <f>X200/AU200</f>
        <v>4254</v>
      </c>
      <c r="AG200" s="41">
        <f t="shared" si="27"/>
        <v>4254</v>
      </c>
      <c r="AH200" s="36">
        <v>45383</v>
      </c>
      <c r="AI200" s="36"/>
      <c r="AJ200" s="36"/>
      <c r="AK200" s="36">
        <v>45413</v>
      </c>
      <c r="AL200" s="36"/>
      <c r="AM200" s="46"/>
      <c r="AN200" s="40" t="s">
        <v>1436</v>
      </c>
      <c r="AO200" s="40" t="s">
        <v>1437</v>
      </c>
      <c r="AP200" s="40" t="s">
        <v>1438</v>
      </c>
      <c r="AQ200" s="40" t="s">
        <v>80</v>
      </c>
      <c r="AR200" s="48">
        <v>100</v>
      </c>
      <c r="AS200" s="37">
        <v>0</v>
      </c>
      <c r="AT200" s="37" t="s">
        <v>386</v>
      </c>
      <c r="AU200" s="47">
        <v>50</v>
      </c>
      <c r="AV200" s="37" t="s">
        <v>60</v>
      </c>
      <c r="AW200" s="37">
        <v>10</v>
      </c>
      <c r="AX200" s="30">
        <f>(J200*10)/100</f>
        <v>891425.7</v>
      </c>
      <c r="AY200" s="40" t="s">
        <v>402</v>
      </c>
    </row>
    <row r="201" spans="1:51" ht="58.5" customHeight="1" x14ac:dyDescent="0.25">
      <c r="A201" s="44" t="s">
        <v>1439</v>
      </c>
      <c r="B201" s="46">
        <v>45289</v>
      </c>
      <c r="C201" s="40">
        <v>1688</v>
      </c>
      <c r="D201" s="35" t="s">
        <v>431</v>
      </c>
      <c r="E201" s="39" t="s">
        <v>1440</v>
      </c>
      <c r="F201" s="36" t="s">
        <v>431</v>
      </c>
      <c r="G201" s="37" t="s">
        <v>431</v>
      </c>
      <c r="H201" s="40" t="s">
        <v>431</v>
      </c>
      <c r="I201" s="40" t="s">
        <v>1441</v>
      </c>
      <c r="J201" s="54">
        <v>2263398</v>
      </c>
      <c r="K201" s="54">
        <v>2263398</v>
      </c>
      <c r="L201" s="54">
        <v>0</v>
      </c>
      <c r="M201" s="54">
        <v>0</v>
      </c>
      <c r="N201" s="42">
        <f t="shared" si="30"/>
        <v>100</v>
      </c>
      <c r="O201" s="43">
        <f t="shared" si="37"/>
        <v>2263398</v>
      </c>
      <c r="P201" s="41"/>
      <c r="Q201" s="43">
        <f t="shared" si="38"/>
        <v>2263398</v>
      </c>
      <c r="R201" s="41">
        <v>0</v>
      </c>
      <c r="S201" s="30">
        <f t="shared" si="33"/>
        <v>0</v>
      </c>
      <c r="T201" s="30">
        <f t="shared" si="33"/>
        <v>0</v>
      </c>
      <c r="U201" s="30" t="e">
        <f>T201/X201</f>
        <v>#DIV/0!</v>
      </c>
      <c r="V201" s="41" t="e">
        <f>T201/X201</f>
        <v>#DIV/0!</v>
      </c>
      <c r="W201" s="41" t="e">
        <f>V201*AU201</f>
        <v>#DIV/0!</v>
      </c>
      <c r="X201" s="41">
        <f t="shared" si="39"/>
        <v>0</v>
      </c>
      <c r="Y201" s="41">
        <v>0</v>
      </c>
      <c r="Z201" s="41">
        <v>0</v>
      </c>
      <c r="AA201" s="41">
        <v>0</v>
      </c>
      <c r="AB201" s="41"/>
      <c r="AC201" s="41" t="e">
        <f t="shared" si="35"/>
        <v>#DIV/0!</v>
      </c>
      <c r="AD201" s="41"/>
      <c r="AE201" s="41" t="e">
        <f t="shared" si="36"/>
        <v>#DIV/0!</v>
      </c>
      <c r="AF201" s="41" t="e">
        <f>X201/AU201</f>
        <v>#DIV/0!</v>
      </c>
      <c r="AG201" s="41" t="e">
        <f t="shared" si="27"/>
        <v>#DIV/0!</v>
      </c>
      <c r="AH201" s="36">
        <v>45337</v>
      </c>
      <c r="AI201" s="36"/>
      <c r="AJ201" s="36"/>
      <c r="AK201" s="36"/>
      <c r="AL201" s="36"/>
      <c r="AM201" s="46"/>
      <c r="AN201" s="40"/>
      <c r="AO201" s="40"/>
      <c r="AP201" s="40"/>
      <c r="AQ201" s="40"/>
      <c r="AR201" s="48"/>
      <c r="AS201" s="37"/>
      <c r="AT201" s="37"/>
      <c r="AU201" s="47"/>
      <c r="AV201" s="37"/>
      <c r="AW201" s="37">
        <v>10</v>
      </c>
      <c r="AX201" s="30">
        <f>(J201*10)/100</f>
        <v>226339.8</v>
      </c>
      <c r="AY201" s="40" t="s">
        <v>431</v>
      </c>
    </row>
    <row r="202" spans="1:51" ht="58.5" customHeight="1" x14ac:dyDescent="0.25">
      <c r="A202" s="44" t="s">
        <v>1442</v>
      </c>
      <c r="B202" s="46">
        <v>45289</v>
      </c>
      <c r="C202" s="40">
        <v>1416</v>
      </c>
      <c r="D202" s="35" t="s">
        <v>1443</v>
      </c>
      <c r="E202" s="39" t="s">
        <v>1444</v>
      </c>
      <c r="F202" s="36">
        <v>45324</v>
      </c>
      <c r="G202" s="37" t="s">
        <v>1445</v>
      </c>
      <c r="H202" s="40" t="s">
        <v>139</v>
      </c>
      <c r="I202" s="40" t="s">
        <v>1446</v>
      </c>
      <c r="J202" s="54">
        <v>11061180</v>
      </c>
      <c r="K202" s="54">
        <v>11061180</v>
      </c>
      <c r="L202" s="54">
        <v>0</v>
      </c>
      <c r="M202" s="54">
        <v>0</v>
      </c>
      <c r="N202" s="42">
        <f t="shared" si="30"/>
        <v>0</v>
      </c>
      <c r="O202" s="43">
        <f t="shared" si="37"/>
        <v>0</v>
      </c>
      <c r="P202" s="41">
        <v>11061180</v>
      </c>
      <c r="Q202" s="43">
        <f t="shared" si="38"/>
        <v>0</v>
      </c>
      <c r="R202" s="41">
        <v>11061180</v>
      </c>
      <c r="S202" s="30">
        <f t="shared" si="33"/>
        <v>11061180</v>
      </c>
      <c r="T202" s="30">
        <f t="shared" si="33"/>
        <v>11061180</v>
      </c>
      <c r="U202" s="30">
        <f>T202/X202</f>
        <v>13.04</v>
      </c>
      <c r="V202" s="41">
        <f>T202/X202</f>
        <v>13.04</v>
      </c>
      <c r="W202" s="41">
        <f>V202*AU202</f>
        <v>3260</v>
      </c>
      <c r="X202" s="41">
        <f t="shared" si="39"/>
        <v>848250</v>
      </c>
      <c r="Y202" s="41">
        <f>835000+13250</f>
        <v>848250</v>
      </c>
      <c r="Z202" s="41">
        <v>0</v>
      </c>
      <c r="AA202" s="41">
        <v>0</v>
      </c>
      <c r="AB202" s="41">
        <v>835000</v>
      </c>
      <c r="AC202" s="41">
        <f t="shared" si="35"/>
        <v>10888400</v>
      </c>
      <c r="AD202" s="41">
        <v>13250</v>
      </c>
      <c r="AE202" s="41">
        <f t="shared" si="36"/>
        <v>172780</v>
      </c>
      <c r="AF202" s="41">
        <f>X202/AU202</f>
        <v>3393</v>
      </c>
      <c r="AG202" s="41">
        <f t="shared" si="27"/>
        <v>3393</v>
      </c>
      <c r="AH202" s="36">
        <v>45473</v>
      </c>
      <c r="AI202" s="36"/>
      <c r="AJ202" s="36"/>
      <c r="AK202" s="36">
        <v>45505</v>
      </c>
      <c r="AL202" s="36"/>
      <c r="AM202" s="46"/>
      <c r="AN202" s="40" t="s">
        <v>1447</v>
      </c>
      <c r="AO202" s="40" t="s">
        <v>1448</v>
      </c>
      <c r="AP202" s="40" t="s">
        <v>1449</v>
      </c>
      <c r="AQ202" s="40" t="s">
        <v>293</v>
      </c>
      <c r="AR202" s="48">
        <v>0</v>
      </c>
      <c r="AS202" s="37">
        <v>100</v>
      </c>
      <c r="AT202" s="37" t="s">
        <v>93</v>
      </c>
      <c r="AU202" s="47">
        <v>250</v>
      </c>
      <c r="AV202" s="37" t="s">
        <v>60</v>
      </c>
      <c r="AW202" s="37">
        <v>10</v>
      </c>
      <c r="AX202" s="30">
        <f>(J202*10)/100</f>
        <v>1106118</v>
      </c>
      <c r="AY202" s="40" t="s">
        <v>402</v>
      </c>
    </row>
    <row r="203" spans="1:51" ht="58.5" customHeight="1" x14ac:dyDescent="0.25">
      <c r="A203" s="44" t="s">
        <v>1450</v>
      </c>
      <c r="B203" s="46">
        <v>45289</v>
      </c>
      <c r="C203" s="40">
        <v>1416</v>
      </c>
      <c r="D203" s="35" t="s">
        <v>1451</v>
      </c>
      <c r="E203" s="39" t="s">
        <v>1452</v>
      </c>
      <c r="F203" s="36">
        <v>45320</v>
      </c>
      <c r="G203" s="37" t="s">
        <v>1453</v>
      </c>
      <c r="H203" s="40" t="s">
        <v>1202</v>
      </c>
      <c r="I203" s="40" t="s">
        <v>1454</v>
      </c>
      <c r="J203" s="54">
        <v>353355.52000000002</v>
      </c>
      <c r="K203" s="54">
        <v>353355.52000000002</v>
      </c>
      <c r="L203" s="54">
        <v>0</v>
      </c>
      <c r="M203" s="54">
        <v>0</v>
      </c>
      <c r="N203" s="42">
        <f t="shared" si="30"/>
        <v>0</v>
      </c>
      <c r="O203" s="43">
        <f t="shared" si="37"/>
        <v>0</v>
      </c>
      <c r="P203" s="41">
        <v>353355.52000000002</v>
      </c>
      <c r="Q203" s="43">
        <f t="shared" si="38"/>
        <v>0</v>
      </c>
      <c r="R203" s="41">
        <v>353355.52000000002</v>
      </c>
      <c r="S203" s="30">
        <f t="shared" si="33"/>
        <v>353355.52000000002</v>
      </c>
      <c r="T203" s="30">
        <f t="shared" si="33"/>
        <v>353355.52000000002</v>
      </c>
      <c r="U203" s="30">
        <f>T203/X203</f>
        <v>97.72</v>
      </c>
      <c r="V203" s="41">
        <f>T203/X203</f>
        <v>97.72</v>
      </c>
      <c r="W203" s="41">
        <f>V203*AU203</f>
        <v>4886</v>
      </c>
      <c r="X203" s="41">
        <f t="shared" si="39"/>
        <v>3616</v>
      </c>
      <c r="Y203" s="41">
        <f>366+3250</f>
        <v>3616</v>
      </c>
      <c r="Z203" s="41">
        <v>0</v>
      </c>
      <c r="AA203" s="41">
        <v>0</v>
      </c>
      <c r="AB203" s="41">
        <v>366</v>
      </c>
      <c r="AC203" s="41">
        <f t="shared" si="35"/>
        <v>35765.519999999997</v>
      </c>
      <c r="AD203" s="41">
        <v>3250</v>
      </c>
      <c r="AE203" s="41">
        <f t="shared" si="36"/>
        <v>317590</v>
      </c>
      <c r="AF203" s="41">
        <f>X203/AU203</f>
        <v>72.319999999999993</v>
      </c>
      <c r="AG203" s="41">
        <f t="shared" si="27"/>
        <v>73</v>
      </c>
      <c r="AH203" s="36">
        <v>45352</v>
      </c>
      <c r="AI203" s="36"/>
      <c r="AJ203" s="36"/>
      <c r="AK203" s="36">
        <v>45383</v>
      </c>
      <c r="AL203" s="36"/>
      <c r="AM203" s="46"/>
      <c r="AN203" s="40" t="s">
        <v>1455</v>
      </c>
      <c r="AO203" s="40" t="s">
        <v>1456</v>
      </c>
      <c r="AP203" s="40" t="s">
        <v>1457</v>
      </c>
      <c r="AQ203" s="40" t="s">
        <v>80</v>
      </c>
      <c r="AR203" s="48">
        <v>100</v>
      </c>
      <c r="AS203" s="37">
        <v>0</v>
      </c>
      <c r="AT203" s="37" t="s">
        <v>386</v>
      </c>
      <c r="AU203" s="47">
        <v>50</v>
      </c>
      <c r="AV203" s="37" t="s">
        <v>219</v>
      </c>
      <c r="AW203" s="37">
        <v>10</v>
      </c>
      <c r="AX203" s="30">
        <f>(J203*10)/100</f>
        <v>35335.552000000003</v>
      </c>
      <c r="AY203" s="40" t="s">
        <v>402</v>
      </c>
    </row>
    <row r="204" spans="1:51" ht="58.5" customHeight="1" x14ac:dyDescent="0.25">
      <c r="A204" s="44" t="s">
        <v>1458</v>
      </c>
      <c r="B204" s="46">
        <v>45289</v>
      </c>
      <c r="C204" s="40">
        <v>1416</v>
      </c>
      <c r="D204" s="35" t="s">
        <v>1459</v>
      </c>
      <c r="E204" s="39" t="s">
        <v>1460</v>
      </c>
      <c r="F204" s="36">
        <v>45320</v>
      </c>
      <c r="G204" s="37" t="s">
        <v>1461</v>
      </c>
      <c r="H204" s="40" t="s">
        <v>224</v>
      </c>
      <c r="I204" s="40" t="s">
        <v>1462</v>
      </c>
      <c r="J204" s="54">
        <v>19324800</v>
      </c>
      <c r="K204" s="54">
        <v>19324800</v>
      </c>
      <c r="L204" s="54">
        <v>0</v>
      </c>
      <c r="M204" s="54">
        <v>0</v>
      </c>
      <c r="N204" s="42">
        <f t="shared" si="30"/>
        <v>0</v>
      </c>
      <c r="O204" s="43">
        <f t="shared" si="37"/>
        <v>0</v>
      </c>
      <c r="P204" s="41">
        <v>19324800</v>
      </c>
      <c r="Q204" s="43">
        <f t="shared" si="38"/>
        <v>0</v>
      </c>
      <c r="R204" s="41">
        <v>19324800</v>
      </c>
      <c r="S204" s="30">
        <f t="shared" si="33"/>
        <v>19324800</v>
      </c>
      <c r="T204" s="30">
        <f t="shared" si="33"/>
        <v>19324800</v>
      </c>
      <c r="U204" s="30">
        <f>T204/X204</f>
        <v>24</v>
      </c>
      <c r="V204" s="41">
        <f>T204/X204</f>
        <v>24</v>
      </c>
      <c r="W204" s="41">
        <f>V204*AU204</f>
        <v>1200</v>
      </c>
      <c r="X204" s="41">
        <f t="shared" si="39"/>
        <v>805200</v>
      </c>
      <c r="Y204" s="41">
        <f>25050+780150</f>
        <v>805200</v>
      </c>
      <c r="Z204" s="41">
        <v>0</v>
      </c>
      <c r="AA204" s="41">
        <v>0</v>
      </c>
      <c r="AB204" s="41">
        <v>25050</v>
      </c>
      <c r="AC204" s="41">
        <f t="shared" si="35"/>
        <v>601200</v>
      </c>
      <c r="AD204" s="41">
        <v>780150</v>
      </c>
      <c r="AE204" s="41">
        <f t="shared" si="36"/>
        <v>18723600</v>
      </c>
      <c r="AF204" s="41">
        <f>X204/AU204</f>
        <v>16104</v>
      </c>
      <c r="AG204" s="41">
        <f t="shared" si="27"/>
        <v>16104</v>
      </c>
      <c r="AH204" s="36">
        <v>45354</v>
      </c>
      <c r="AI204" s="36"/>
      <c r="AJ204" s="36"/>
      <c r="AK204" s="36">
        <v>45385</v>
      </c>
      <c r="AL204" s="36"/>
      <c r="AM204" s="46"/>
      <c r="AN204" s="40" t="s">
        <v>865</v>
      </c>
      <c r="AO204" s="40" t="s">
        <v>1463</v>
      </c>
      <c r="AP204" s="40" t="s">
        <v>867</v>
      </c>
      <c r="AQ204" s="40" t="s">
        <v>80</v>
      </c>
      <c r="AR204" s="48">
        <v>100</v>
      </c>
      <c r="AS204" s="37">
        <v>0</v>
      </c>
      <c r="AT204" s="37" t="s">
        <v>386</v>
      </c>
      <c r="AU204" s="47">
        <v>50</v>
      </c>
      <c r="AV204" s="37" t="s">
        <v>60</v>
      </c>
      <c r="AW204" s="37">
        <v>10</v>
      </c>
      <c r="AX204" s="30">
        <f>(J204*10)/100</f>
        <v>1932480</v>
      </c>
      <c r="AY204" s="40" t="s">
        <v>402</v>
      </c>
    </row>
    <row r="205" spans="1:51" ht="58.5" customHeight="1" x14ac:dyDescent="0.25">
      <c r="A205" s="44" t="s">
        <v>1464</v>
      </c>
      <c r="B205" s="46">
        <v>45289</v>
      </c>
      <c r="C205" s="40">
        <v>1416</v>
      </c>
      <c r="D205" s="35" t="s">
        <v>1465</v>
      </c>
      <c r="E205" s="39" t="s">
        <v>1466</v>
      </c>
      <c r="F205" s="36">
        <v>45320</v>
      </c>
      <c r="G205" s="37" t="s">
        <v>1467</v>
      </c>
      <c r="H205" s="40" t="s">
        <v>86</v>
      </c>
      <c r="I205" s="40" t="s">
        <v>1468</v>
      </c>
      <c r="J205" s="54">
        <v>438990662.5</v>
      </c>
      <c r="K205" s="54">
        <v>438990662.5</v>
      </c>
      <c r="L205" s="54">
        <v>0</v>
      </c>
      <c r="M205" s="54">
        <v>0</v>
      </c>
      <c r="N205" s="42">
        <f t="shared" si="30"/>
        <v>0</v>
      </c>
      <c r="O205" s="43">
        <f t="shared" si="37"/>
        <v>0</v>
      </c>
      <c r="P205" s="41">
        <v>438990662.5</v>
      </c>
      <c r="Q205" s="43">
        <f t="shared" si="38"/>
        <v>0</v>
      </c>
      <c r="R205" s="41">
        <v>438990662.5</v>
      </c>
      <c r="S205" s="30">
        <f t="shared" si="33"/>
        <v>438990662.5</v>
      </c>
      <c r="T205" s="30">
        <f t="shared" si="33"/>
        <v>438990662.5</v>
      </c>
      <c r="U205" s="30">
        <f>T205/X205</f>
        <v>24.05</v>
      </c>
      <c r="V205" s="41">
        <f>T205/X205</f>
        <v>24.05</v>
      </c>
      <c r="W205" s="41">
        <f>V205*AU205</f>
        <v>24050</v>
      </c>
      <c r="X205" s="41">
        <f t="shared" si="39"/>
        <v>18253250</v>
      </c>
      <c r="Y205" s="41">
        <f>6453500+11799750</f>
        <v>18253250</v>
      </c>
      <c r="Z205" s="41">
        <v>0</v>
      </c>
      <c r="AA205" s="41">
        <v>0</v>
      </c>
      <c r="AB205" s="41">
        <v>6453500</v>
      </c>
      <c r="AC205" s="41">
        <f t="shared" si="35"/>
        <v>155206675</v>
      </c>
      <c r="AD205" s="41">
        <v>11799750</v>
      </c>
      <c r="AE205" s="41">
        <f t="shared" si="36"/>
        <v>283783987.5</v>
      </c>
      <c r="AF205" s="41">
        <f>X205/AU205</f>
        <v>18253.25</v>
      </c>
      <c r="AG205" s="41">
        <f t="shared" si="27"/>
        <v>18254</v>
      </c>
      <c r="AH205" s="36">
        <v>45412</v>
      </c>
      <c r="AI205" s="36"/>
      <c r="AJ205" s="36"/>
      <c r="AK205" s="36">
        <v>45444</v>
      </c>
      <c r="AL205" s="36"/>
      <c r="AM205" s="46"/>
      <c r="AN205" s="40" t="s">
        <v>1469</v>
      </c>
      <c r="AO205" s="40" t="s">
        <v>1470</v>
      </c>
      <c r="AP205" s="40" t="s">
        <v>1471</v>
      </c>
      <c r="AQ205" s="40" t="s">
        <v>774</v>
      </c>
      <c r="AR205" s="48">
        <v>0</v>
      </c>
      <c r="AS205" s="37">
        <v>100</v>
      </c>
      <c r="AT205" s="37" t="s">
        <v>93</v>
      </c>
      <c r="AU205" s="47">
        <v>1000</v>
      </c>
      <c r="AV205" s="37" t="s">
        <v>60</v>
      </c>
      <c r="AW205" s="37">
        <v>10</v>
      </c>
      <c r="AX205" s="30">
        <f>(J205*10)/100</f>
        <v>43899066.25</v>
      </c>
      <c r="AY205" s="40" t="s">
        <v>402</v>
      </c>
    </row>
    <row r="206" spans="1:51" ht="58.5" customHeight="1" x14ac:dyDescent="0.25">
      <c r="A206" s="44" t="s">
        <v>1472</v>
      </c>
      <c r="B206" s="46">
        <v>45289</v>
      </c>
      <c r="C206" s="40">
        <v>1688</v>
      </c>
      <c r="D206" s="35" t="s">
        <v>431</v>
      </c>
      <c r="E206" s="39" t="s">
        <v>1473</v>
      </c>
      <c r="F206" s="36" t="s">
        <v>431</v>
      </c>
      <c r="G206" s="37" t="s">
        <v>431</v>
      </c>
      <c r="H206" s="40" t="s">
        <v>431</v>
      </c>
      <c r="I206" s="40" t="s">
        <v>1474</v>
      </c>
      <c r="J206" s="54">
        <v>18480709.800000001</v>
      </c>
      <c r="K206" s="54">
        <v>18480709.800000001</v>
      </c>
      <c r="L206" s="54">
        <v>0</v>
      </c>
      <c r="M206" s="54">
        <v>0</v>
      </c>
      <c r="N206" s="42">
        <f t="shared" si="30"/>
        <v>100</v>
      </c>
      <c r="O206" s="43">
        <f t="shared" si="37"/>
        <v>18480709.800000001</v>
      </c>
      <c r="P206" s="41"/>
      <c r="Q206" s="43">
        <f t="shared" si="38"/>
        <v>18480709.800000001</v>
      </c>
      <c r="R206" s="41">
        <v>0</v>
      </c>
      <c r="S206" s="30">
        <f t="shared" si="33"/>
        <v>0</v>
      </c>
      <c r="T206" s="30">
        <f t="shared" si="33"/>
        <v>0</v>
      </c>
      <c r="U206" s="30" t="e">
        <f>T206/X206</f>
        <v>#DIV/0!</v>
      </c>
      <c r="V206" s="41" t="e">
        <f>T206/X206</f>
        <v>#DIV/0!</v>
      </c>
      <c r="W206" s="41" t="e">
        <f>V206*AU206</f>
        <v>#DIV/0!</v>
      </c>
      <c r="X206" s="41">
        <f t="shared" si="39"/>
        <v>0</v>
      </c>
      <c r="Y206" s="41">
        <v>0</v>
      </c>
      <c r="Z206" s="41">
        <v>0</v>
      </c>
      <c r="AA206" s="41">
        <v>0</v>
      </c>
      <c r="AB206" s="41"/>
      <c r="AC206" s="41" t="e">
        <f t="shared" si="35"/>
        <v>#DIV/0!</v>
      </c>
      <c r="AD206" s="41"/>
      <c r="AE206" s="41" t="e">
        <f t="shared" si="36"/>
        <v>#DIV/0!</v>
      </c>
      <c r="AF206" s="41" t="e">
        <f>X206/AU206</f>
        <v>#DIV/0!</v>
      </c>
      <c r="AG206" s="41" t="e">
        <f t="shared" si="27"/>
        <v>#DIV/0!</v>
      </c>
      <c r="AH206" s="36">
        <v>45337</v>
      </c>
      <c r="AI206" s="36"/>
      <c r="AJ206" s="36"/>
      <c r="AK206" s="36"/>
      <c r="AL206" s="36"/>
      <c r="AM206" s="46"/>
      <c r="AN206" s="40"/>
      <c r="AO206" s="40"/>
      <c r="AP206" s="40"/>
      <c r="AQ206" s="40"/>
      <c r="AR206" s="48"/>
      <c r="AS206" s="37"/>
      <c r="AT206" s="37"/>
      <c r="AU206" s="47"/>
      <c r="AV206" s="37"/>
      <c r="AW206" s="37">
        <v>10</v>
      </c>
      <c r="AX206" s="30">
        <f>(J206*10)/100</f>
        <v>1848070.98</v>
      </c>
      <c r="AY206" s="40" t="s">
        <v>431</v>
      </c>
    </row>
    <row r="207" spans="1:51" ht="58.5" customHeight="1" x14ac:dyDescent="0.25">
      <c r="A207" s="44" t="s">
        <v>1475</v>
      </c>
      <c r="B207" s="46">
        <v>45289</v>
      </c>
      <c r="C207" s="40">
        <v>1688</v>
      </c>
      <c r="D207" s="35" t="s">
        <v>431</v>
      </c>
      <c r="E207" s="39" t="s">
        <v>1476</v>
      </c>
      <c r="F207" s="36" t="s">
        <v>431</v>
      </c>
      <c r="G207" s="37" t="s">
        <v>431</v>
      </c>
      <c r="H207" s="40" t="s">
        <v>431</v>
      </c>
      <c r="I207" s="40" t="s">
        <v>1477</v>
      </c>
      <c r="J207" s="54">
        <v>22320340.800000001</v>
      </c>
      <c r="K207" s="54">
        <v>22320340.800000001</v>
      </c>
      <c r="L207" s="54">
        <v>0</v>
      </c>
      <c r="M207" s="54">
        <v>0</v>
      </c>
      <c r="N207" s="42">
        <f t="shared" si="30"/>
        <v>100</v>
      </c>
      <c r="O207" s="43">
        <f t="shared" si="37"/>
        <v>22320340.800000001</v>
      </c>
      <c r="P207" s="41"/>
      <c r="Q207" s="43">
        <f t="shared" si="38"/>
        <v>22320340.800000001</v>
      </c>
      <c r="R207" s="41">
        <v>0</v>
      </c>
      <c r="S207" s="30">
        <f t="shared" si="33"/>
        <v>0</v>
      </c>
      <c r="T207" s="30">
        <f t="shared" si="33"/>
        <v>0</v>
      </c>
      <c r="U207" s="30" t="e">
        <f>T207/X207</f>
        <v>#DIV/0!</v>
      </c>
      <c r="V207" s="41" t="e">
        <f>T207/X207</f>
        <v>#DIV/0!</v>
      </c>
      <c r="W207" s="41" t="e">
        <f>V207*AU207</f>
        <v>#DIV/0!</v>
      </c>
      <c r="X207" s="41">
        <f t="shared" si="39"/>
        <v>0</v>
      </c>
      <c r="Y207" s="41">
        <v>0</v>
      </c>
      <c r="Z207" s="41">
        <v>0</v>
      </c>
      <c r="AA207" s="41">
        <v>0</v>
      </c>
      <c r="AB207" s="41"/>
      <c r="AC207" s="41" t="e">
        <f t="shared" si="35"/>
        <v>#DIV/0!</v>
      </c>
      <c r="AD207" s="41"/>
      <c r="AE207" s="41" t="e">
        <f t="shared" si="36"/>
        <v>#DIV/0!</v>
      </c>
      <c r="AF207" s="41" t="e">
        <f>X207/AU207</f>
        <v>#DIV/0!</v>
      </c>
      <c r="AG207" s="41" t="e">
        <f t="shared" ref="AG207:AG270" si="40">_xlfn.CEILING.MATH(AF207)</f>
        <v>#DIV/0!</v>
      </c>
      <c r="AH207" s="36">
        <v>45337</v>
      </c>
      <c r="AI207" s="36"/>
      <c r="AJ207" s="36"/>
      <c r="AK207" s="36"/>
      <c r="AL207" s="36"/>
      <c r="AM207" s="46"/>
      <c r="AN207" s="40"/>
      <c r="AO207" s="40"/>
      <c r="AP207" s="40"/>
      <c r="AQ207" s="40"/>
      <c r="AR207" s="48"/>
      <c r="AS207" s="37"/>
      <c r="AT207" s="37"/>
      <c r="AU207" s="47"/>
      <c r="AV207" s="37"/>
      <c r="AW207" s="37">
        <v>10</v>
      </c>
      <c r="AX207" s="30">
        <f>(J207*10)/100</f>
        <v>2232034.08</v>
      </c>
      <c r="AY207" s="40" t="s">
        <v>431</v>
      </c>
    </row>
    <row r="208" spans="1:51" ht="58.5" customHeight="1" x14ac:dyDescent="0.25">
      <c r="A208" s="44" t="s">
        <v>1478</v>
      </c>
      <c r="B208" s="46">
        <v>45289</v>
      </c>
      <c r="C208" s="40">
        <v>1688</v>
      </c>
      <c r="D208" s="35" t="s">
        <v>431</v>
      </c>
      <c r="E208" s="39" t="s">
        <v>1479</v>
      </c>
      <c r="F208" s="36" t="s">
        <v>431</v>
      </c>
      <c r="G208" s="37" t="s">
        <v>431</v>
      </c>
      <c r="H208" s="40" t="s">
        <v>431</v>
      </c>
      <c r="I208" s="40" t="s">
        <v>1480</v>
      </c>
      <c r="J208" s="54">
        <v>1681405.5</v>
      </c>
      <c r="K208" s="54">
        <v>1681405.5</v>
      </c>
      <c r="L208" s="54">
        <v>0</v>
      </c>
      <c r="M208" s="54">
        <v>0</v>
      </c>
      <c r="N208" s="42">
        <f t="shared" si="30"/>
        <v>100</v>
      </c>
      <c r="O208" s="43">
        <f t="shared" si="37"/>
        <v>1681405.5</v>
      </c>
      <c r="P208" s="41"/>
      <c r="Q208" s="43">
        <f t="shared" si="38"/>
        <v>1681405.5</v>
      </c>
      <c r="R208" s="41">
        <v>0</v>
      </c>
      <c r="S208" s="30">
        <f t="shared" si="33"/>
        <v>0</v>
      </c>
      <c r="T208" s="30">
        <f t="shared" si="33"/>
        <v>0</v>
      </c>
      <c r="U208" s="30" t="e">
        <f>T208/X208</f>
        <v>#DIV/0!</v>
      </c>
      <c r="V208" s="41" t="e">
        <f>T208/X208</f>
        <v>#DIV/0!</v>
      </c>
      <c r="W208" s="41" t="e">
        <f>V208*AU208</f>
        <v>#DIV/0!</v>
      </c>
      <c r="X208" s="41">
        <f t="shared" si="39"/>
        <v>0</v>
      </c>
      <c r="Y208" s="41">
        <v>0</v>
      </c>
      <c r="Z208" s="41">
        <v>0</v>
      </c>
      <c r="AA208" s="41">
        <v>0</v>
      </c>
      <c r="AB208" s="41"/>
      <c r="AC208" s="41" t="e">
        <f t="shared" si="35"/>
        <v>#DIV/0!</v>
      </c>
      <c r="AD208" s="41"/>
      <c r="AE208" s="41" t="e">
        <f t="shared" si="36"/>
        <v>#DIV/0!</v>
      </c>
      <c r="AF208" s="41" t="e">
        <f>X208/AU208</f>
        <v>#DIV/0!</v>
      </c>
      <c r="AG208" s="41" t="e">
        <f t="shared" si="40"/>
        <v>#DIV/0!</v>
      </c>
      <c r="AH208" s="36">
        <v>45337</v>
      </c>
      <c r="AI208" s="36"/>
      <c r="AJ208" s="36"/>
      <c r="AK208" s="36"/>
      <c r="AL208" s="36"/>
      <c r="AM208" s="46"/>
      <c r="AN208" s="40"/>
      <c r="AO208" s="40"/>
      <c r="AP208" s="40"/>
      <c r="AQ208" s="40"/>
      <c r="AR208" s="48"/>
      <c r="AS208" s="37"/>
      <c r="AT208" s="37"/>
      <c r="AU208" s="47"/>
      <c r="AV208" s="37"/>
      <c r="AW208" s="37">
        <v>10</v>
      </c>
      <c r="AX208" s="30">
        <f>(J208*10)/100</f>
        <v>168140.55</v>
      </c>
      <c r="AY208" s="40" t="s">
        <v>431</v>
      </c>
    </row>
    <row r="209" spans="1:51" ht="58.5" customHeight="1" x14ac:dyDescent="0.25">
      <c r="A209" s="44" t="s">
        <v>1481</v>
      </c>
      <c r="B209" s="46">
        <v>45289</v>
      </c>
      <c r="C209" s="40">
        <v>1688</v>
      </c>
      <c r="D209" s="35" t="s">
        <v>431</v>
      </c>
      <c r="E209" s="39" t="s">
        <v>1482</v>
      </c>
      <c r="F209" s="36" t="s">
        <v>431</v>
      </c>
      <c r="G209" s="37" t="s">
        <v>431</v>
      </c>
      <c r="H209" s="40" t="s">
        <v>431</v>
      </c>
      <c r="I209" s="40" t="s">
        <v>1483</v>
      </c>
      <c r="J209" s="54">
        <v>1575266</v>
      </c>
      <c r="K209" s="54">
        <v>1575266</v>
      </c>
      <c r="L209" s="54">
        <v>0</v>
      </c>
      <c r="M209" s="54">
        <v>0</v>
      </c>
      <c r="N209" s="42">
        <f t="shared" si="30"/>
        <v>100</v>
      </c>
      <c r="O209" s="43">
        <f t="shared" si="37"/>
        <v>1575266</v>
      </c>
      <c r="P209" s="41"/>
      <c r="Q209" s="43">
        <f t="shared" si="38"/>
        <v>1575266</v>
      </c>
      <c r="R209" s="41">
        <v>0</v>
      </c>
      <c r="S209" s="30">
        <f t="shared" si="33"/>
        <v>0</v>
      </c>
      <c r="T209" s="30">
        <f t="shared" si="33"/>
        <v>0</v>
      </c>
      <c r="U209" s="30" t="e">
        <f>T209/X209</f>
        <v>#DIV/0!</v>
      </c>
      <c r="V209" s="41" t="e">
        <f>T209/X209</f>
        <v>#DIV/0!</v>
      </c>
      <c r="W209" s="41" t="e">
        <f>V209*AU209</f>
        <v>#DIV/0!</v>
      </c>
      <c r="X209" s="41">
        <f t="shared" si="39"/>
        <v>0</v>
      </c>
      <c r="Y209" s="41">
        <v>0</v>
      </c>
      <c r="Z209" s="41">
        <v>0</v>
      </c>
      <c r="AA209" s="41">
        <v>0</v>
      </c>
      <c r="AB209" s="41"/>
      <c r="AC209" s="41" t="e">
        <f t="shared" si="35"/>
        <v>#DIV/0!</v>
      </c>
      <c r="AD209" s="41"/>
      <c r="AE209" s="41" t="e">
        <f t="shared" si="36"/>
        <v>#DIV/0!</v>
      </c>
      <c r="AF209" s="41" t="e">
        <f>X209/AU209</f>
        <v>#DIV/0!</v>
      </c>
      <c r="AG209" s="41" t="e">
        <f t="shared" si="40"/>
        <v>#DIV/0!</v>
      </c>
      <c r="AH209" s="36">
        <v>45337</v>
      </c>
      <c r="AI209" s="36"/>
      <c r="AJ209" s="36"/>
      <c r="AK209" s="36"/>
      <c r="AL209" s="36"/>
      <c r="AM209" s="46"/>
      <c r="AN209" s="40"/>
      <c r="AO209" s="40"/>
      <c r="AP209" s="40"/>
      <c r="AQ209" s="40"/>
      <c r="AR209" s="48"/>
      <c r="AS209" s="37"/>
      <c r="AT209" s="37"/>
      <c r="AU209" s="47"/>
      <c r="AV209" s="37"/>
      <c r="AW209" s="37">
        <v>10</v>
      </c>
      <c r="AX209" s="30">
        <f>(J209*10)/100</f>
        <v>157526.6</v>
      </c>
      <c r="AY209" s="40" t="s">
        <v>431</v>
      </c>
    </row>
    <row r="210" spans="1:51" ht="58.5" customHeight="1" x14ac:dyDescent="0.25">
      <c r="A210" s="44" t="s">
        <v>1484</v>
      </c>
      <c r="B210" s="46">
        <v>45289</v>
      </c>
      <c r="C210" s="40">
        <v>1688</v>
      </c>
      <c r="D210" s="35" t="s">
        <v>431</v>
      </c>
      <c r="E210" s="39" t="s">
        <v>1485</v>
      </c>
      <c r="F210" s="36" t="s">
        <v>431</v>
      </c>
      <c r="G210" s="37" t="s">
        <v>431</v>
      </c>
      <c r="H210" s="40" t="s">
        <v>431</v>
      </c>
      <c r="I210" s="40" t="s">
        <v>1486</v>
      </c>
      <c r="J210" s="54">
        <v>9131068.6500000004</v>
      </c>
      <c r="K210" s="54">
        <v>9131068.6500000004</v>
      </c>
      <c r="L210" s="54">
        <v>0</v>
      </c>
      <c r="M210" s="54">
        <v>0</v>
      </c>
      <c r="N210" s="42">
        <f t="shared" si="30"/>
        <v>100</v>
      </c>
      <c r="O210" s="43">
        <f t="shared" si="37"/>
        <v>9131068.6500000004</v>
      </c>
      <c r="P210" s="41"/>
      <c r="Q210" s="43">
        <f t="shared" si="38"/>
        <v>9131068.6500000004</v>
      </c>
      <c r="R210" s="41">
        <v>0</v>
      </c>
      <c r="S210" s="30">
        <f t="shared" si="33"/>
        <v>0</v>
      </c>
      <c r="T210" s="30">
        <f t="shared" si="33"/>
        <v>0</v>
      </c>
      <c r="U210" s="30" t="e">
        <f>T210/X210</f>
        <v>#DIV/0!</v>
      </c>
      <c r="V210" s="41" t="e">
        <f>T210/X210</f>
        <v>#DIV/0!</v>
      </c>
      <c r="W210" s="41" t="e">
        <f>V210*AU210</f>
        <v>#DIV/0!</v>
      </c>
      <c r="X210" s="41">
        <f t="shared" si="39"/>
        <v>0</v>
      </c>
      <c r="Y210" s="41">
        <v>0</v>
      </c>
      <c r="Z210" s="41">
        <v>0</v>
      </c>
      <c r="AA210" s="41">
        <v>0</v>
      </c>
      <c r="AB210" s="41"/>
      <c r="AC210" s="41" t="e">
        <f t="shared" si="35"/>
        <v>#DIV/0!</v>
      </c>
      <c r="AD210" s="41"/>
      <c r="AE210" s="41" t="e">
        <f t="shared" si="36"/>
        <v>#DIV/0!</v>
      </c>
      <c r="AF210" s="41" t="e">
        <f>X210/AU210</f>
        <v>#DIV/0!</v>
      </c>
      <c r="AG210" s="41" t="e">
        <f t="shared" si="40"/>
        <v>#DIV/0!</v>
      </c>
      <c r="AH210" s="36">
        <v>45337</v>
      </c>
      <c r="AI210" s="36"/>
      <c r="AJ210" s="36"/>
      <c r="AK210" s="36"/>
      <c r="AL210" s="36"/>
      <c r="AM210" s="46"/>
      <c r="AN210" s="40"/>
      <c r="AO210" s="40"/>
      <c r="AP210" s="40"/>
      <c r="AQ210" s="40"/>
      <c r="AR210" s="48"/>
      <c r="AS210" s="37"/>
      <c r="AT210" s="37"/>
      <c r="AU210" s="47"/>
      <c r="AV210" s="37"/>
      <c r="AW210" s="37">
        <v>10</v>
      </c>
      <c r="AX210" s="30">
        <f>(J210*10)/100</f>
        <v>913106.86499999999</v>
      </c>
      <c r="AY210" s="40" t="s">
        <v>431</v>
      </c>
    </row>
    <row r="211" spans="1:51" ht="58.5" customHeight="1" x14ac:dyDescent="0.25">
      <c r="A211" s="44" t="s">
        <v>1487</v>
      </c>
      <c r="B211" s="46">
        <v>45289</v>
      </c>
      <c r="C211" s="40">
        <v>1688</v>
      </c>
      <c r="D211" s="35" t="s">
        <v>431</v>
      </c>
      <c r="E211" s="39" t="s">
        <v>1488</v>
      </c>
      <c r="F211" s="36" t="s">
        <v>431</v>
      </c>
      <c r="G211" s="37" t="s">
        <v>431</v>
      </c>
      <c r="H211" s="40" t="s">
        <v>431</v>
      </c>
      <c r="I211" s="40" t="s">
        <v>1489</v>
      </c>
      <c r="J211" s="54">
        <v>5736354</v>
      </c>
      <c r="K211" s="54">
        <v>5736354</v>
      </c>
      <c r="L211" s="54">
        <v>0</v>
      </c>
      <c r="M211" s="54">
        <v>0</v>
      </c>
      <c r="N211" s="42">
        <f t="shared" si="30"/>
        <v>100</v>
      </c>
      <c r="O211" s="43">
        <f t="shared" si="37"/>
        <v>5736354</v>
      </c>
      <c r="P211" s="41"/>
      <c r="Q211" s="43">
        <f t="shared" si="38"/>
        <v>5736354</v>
      </c>
      <c r="R211" s="41">
        <v>0</v>
      </c>
      <c r="S211" s="30">
        <f t="shared" si="33"/>
        <v>0</v>
      </c>
      <c r="T211" s="30">
        <f t="shared" si="33"/>
        <v>0</v>
      </c>
      <c r="U211" s="30" t="e">
        <f>T211/X211</f>
        <v>#DIV/0!</v>
      </c>
      <c r="V211" s="41" t="e">
        <f>T211/X211</f>
        <v>#DIV/0!</v>
      </c>
      <c r="W211" s="41" t="e">
        <f>V211*AU211</f>
        <v>#DIV/0!</v>
      </c>
      <c r="X211" s="41">
        <f t="shared" si="39"/>
        <v>0</v>
      </c>
      <c r="Y211" s="41">
        <v>0</v>
      </c>
      <c r="Z211" s="41">
        <v>0</v>
      </c>
      <c r="AA211" s="41">
        <v>0</v>
      </c>
      <c r="AB211" s="41"/>
      <c r="AC211" s="41" t="e">
        <f t="shared" si="35"/>
        <v>#DIV/0!</v>
      </c>
      <c r="AD211" s="41"/>
      <c r="AE211" s="41" t="e">
        <f t="shared" si="36"/>
        <v>#DIV/0!</v>
      </c>
      <c r="AF211" s="41" t="e">
        <f>X211/AU211</f>
        <v>#DIV/0!</v>
      </c>
      <c r="AG211" s="41" t="e">
        <f t="shared" si="40"/>
        <v>#DIV/0!</v>
      </c>
      <c r="AH211" s="36">
        <v>45337</v>
      </c>
      <c r="AI211" s="36"/>
      <c r="AJ211" s="36"/>
      <c r="AK211" s="36"/>
      <c r="AL211" s="36"/>
      <c r="AM211" s="46"/>
      <c r="AN211" s="40"/>
      <c r="AO211" s="40"/>
      <c r="AP211" s="40"/>
      <c r="AQ211" s="40"/>
      <c r="AR211" s="48"/>
      <c r="AS211" s="37"/>
      <c r="AT211" s="37"/>
      <c r="AU211" s="47"/>
      <c r="AV211" s="37"/>
      <c r="AW211" s="37">
        <v>10</v>
      </c>
      <c r="AX211" s="30">
        <f>(J211*10)/100</f>
        <v>573635.4</v>
      </c>
      <c r="AY211" s="40" t="s">
        <v>431</v>
      </c>
    </row>
    <row r="212" spans="1:51" ht="58.5" customHeight="1" x14ac:dyDescent="0.25">
      <c r="A212" s="44" t="s">
        <v>1490</v>
      </c>
      <c r="B212" s="46">
        <v>45289</v>
      </c>
      <c r="C212" s="40">
        <v>1688</v>
      </c>
      <c r="D212" s="35" t="s">
        <v>431</v>
      </c>
      <c r="E212" s="39" t="s">
        <v>1491</v>
      </c>
      <c r="F212" s="36" t="s">
        <v>431</v>
      </c>
      <c r="G212" s="37" t="s">
        <v>431</v>
      </c>
      <c r="H212" s="40" t="s">
        <v>431</v>
      </c>
      <c r="I212" s="40" t="s">
        <v>1492</v>
      </c>
      <c r="J212" s="54">
        <v>48510</v>
      </c>
      <c r="K212" s="54">
        <v>48510</v>
      </c>
      <c r="L212" s="54">
        <v>0</v>
      </c>
      <c r="M212" s="54">
        <v>0</v>
      </c>
      <c r="N212" s="42">
        <f t="shared" si="30"/>
        <v>100</v>
      </c>
      <c r="O212" s="43">
        <f t="shared" si="37"/>
        <v>48510</v>
      </c>
      <c r="P212" s="41"/>
      <c r="Q212" s="43">
        <f t="shared" si="38"/>
        <v>48510</v>
      </c>
      <c r="R212" s="41">
        <v>0</v>
      </c>
      <c r="S212" s="30">
        <f t="shared" si="33"/>
        <v>0</v>
      </c>
      <c r="T212" s="30">
        <f t="shared" si="33"/>
        <v>0</v>
      </c>
      <c r="U212" s="30" t="e">
        <f>T212/X212</f>
        <v>#DIV/0!</v>
      </c>
      <c r="V212" s="41" t="e">
        <f>T212/X212</f>
        <v>#DIV/0!</v>
      </c>
      <c r="W212" s="41" t="e">
        <f>V212*AU212</f>
        <v>#DIV/0!</v>
      </c>
      <c r="X212" s="41">
        <f t="shared" si="39"/>
        <v>0</v>
      </c>
      <c r="Y212" s="41">
        <v>0</v>
      </c>
      <c r="Z212" s="41">
        <v>0</v>
      </c>
      <c r="AA212" s="41">
        <v>0</v>
      </c>
      <c r="AB212" s="41"/>
      <c r="AC212" s="41" t="e">
        <f t="shared" si="35"/>
        <v>#DIV/0!</v>
      </c>
      <c r="AD212" s="41"/>
      <c r="AE212" s="41" t="e">
        <f t="shared" si="36"/>
        <v>#DIV/0!</v>
      </c>
      <c r="AF212" s="41" t="e">
        <f>X212/AU212</f>
        <v>#DIV/0!</v>
      </c>
      <c r="AG212" s="41" t="e">
        <f t="shared" si="40"/>
        <v>#DIV/0!</v>
      </c>
      <c r="AH212" s="36">
        <v>45337</v>
      </c>
      <c r="AI212" s="36"/>
      <c r="AJ212" s="36"/>
      <c r="AK212" s="36"/>
      <c r="AL212" s="36"/>
      <c r="AM212" s="46"/>
      <c r="AN212" s="40"/>
      <c r="AO212" s="40"/>
      <c r="AP212" s="40"/>
      <c r="AQ212" s="40"/>
      <c r="AR212" s="48"/>
      <c r="AS212" s="37"/>
      <c r="AT212" s="37"/>
      <c r="AU212" s="47"/>
      <c r="AV212" s="37"/>
      <c r="AW212" s="37">
        <v>10</v>
      </c>
      <c r="AX212" s="30">
        <f>(J212*10)/100</f>
        <v>4851</v>
      </c>
      <c r="AY212" s="40" t="s">
        <v>431</v>
      </c>
    </row>
    <row r="213" spans="1:51" ht="58.5" customHeight="1" x14ac:dyDescent="0.25">
      <c r="A213" s="44" t="s">
        <v>1493</v>
      </c>
      <c r="B213" s="46">
        <v>45289</v>
      </c>
      <c r="C213" s="40">
        <v>1688</v>
      </c>
      <c r="D213" s="35" t="s">
        <v>431</v>
      </c>
      <c r="E213" s="39" t="s">
        <v>1494</v>
      </c>
      <c r="F213" s="36" t="s">
        <v>431</v>
      </c>
      <c r="G213" s="37" t="s">
        <v>431</v>
      </c>
      <c r="H213" s="40" t="s">
        <v>431</v>
      </c>
      <c r="I213" s="40" t="s">
        <v>1495</v>
      </c>
      <c r="J213" s="54">
        <v>2140185.6000000001</v>
      </c>
      <c r="K213" s="54">
        <v>2140185.6000000001</v>
      </c>
      <c r="L213" s="54">
        <v>0</v>
      </c>
      <c r="M213" s="54">
        <v>0</v>
      </c>
      <c r="N213" s="42">
        <f t="shared" si="30"/>
        <v>100</v>
      </c>
      <c r="O213" s="43">
        <f t="shared" si="37"/>
        <v>2140185.6000000001</v>
      </c>
      <c r="P213" s="41"/>
      <c r="Q213" s="43">
        <f t="shared" si="38"/>
        <v>2140185.6000000001</v>
      </c>
      <c r="R213" s="41">
        <v>0</v>
      </c>
      <c r="S213" s="30">
        <f t="shared" si="33"/>
        <v>0</v>
      </c>
      <c r="T213" s="30">
        <f t="shared" si="33"/>
        <v>0</v>
      </c>
      <c r="U213" s="30" t="e">
        <f>T213/X213</f>
        <v>#DIV/0!</v>
      </c>
      <c r="V213" s="41" t="e">
        <f>T213/X213</f>
        <v>#DIV/0!</v>
      </c>
      <c r="W213" s="41" t="e">
        <f>V213*AU213</f>
        <v>#DIV/0!</v>
      </c>
      <c r="X213" s="41">
        <f t="shared" si="39"/>
        <v>0</v>
      </c>
      <c r="Y213" s="41">
        <v>0</v>
      </c>
      <c r="Z213" s="41">
        <v>0</v>
      </c>
      <c r="AA213" s="41">
        <v>0</v>
      </c>
      <c r="AB213" s="41"/>
      <c r="AC213" s="41" t="e">
        <f t="shared" si="35"/>
        <v>#DIV/0!</v>
      </c>
      <c r="AD213" s="41"/>
      <c r="AE213" s="41" t="e">
        <f t="shared" si="36"/>
        <v>#DIV/0!</v>
      </c>
      <c r="AF213" s="41" t="e">
        <f>X213/AU213</f>
        <v>#DIV/0!</v>
      </c>
      <c r="AG213" s="41" t="e">
        <f t="shared" si="40"/>
        <v>#DIV/0!</v>
      </c>
      <c r="AH213" s="36">
        <v>45337</v>
      </c>
      <c r="AI213" s="36"/>
      <c r="AJ213" s="36"/>
      <c r="AK213" s="36"/>
      <c r="AL213" s="36"/>
      <c r="AM213" s="46"/>
      <c r="AN213" s="40"/>
      <c r="AO213" s="40"/>
      <c r="AP213" s="40"/>
      <c r="AQ213" s="40"/>
      <c r="AR213" s="48"/>
      <c r="AS213" s="37"/>
      <c r="AT213" s="37"/>
      <c r="AU213" s="47"/>
      <c r="AV213" s="37"/>
      <c r="AW213" s="37">
        <v>10</v>
      </c>
      <c r="AX213" s="30">
        <f>(J213*10)/100</f>
        <v>214018.56</v>
      </c>
      <c r="AY213" s="40" t="s">
        <v>431</v>
      </c>
    </row>
    <row r="214" spans="1:51" ht="58.5" customHeight="1" x14ac:dyDescent="0.25">
      <c r="A214" s="44" t="s">
        <v>1496</v>
      </c>
      <c r="B214" s="46">
        <v>45289</v>
      </c>
      <c r="C214" s="40">
        <v>1688</v>
      </c>
      <c r="D214" s="35" t="s">
        <v>431</v>
      </c>
      <c r="E214" s="39" t="s">
        <v>1497</v>
      </c>
      <c r="F214" s="36" t="s">
        <v>431</v>
      </c>
      <c r="G214" s="37" t="s">
        <v>431</v>
      </c>
      <c r="H214" s="40" t="s">
        <v>431</v>
      </c>
      <c r="I214" s="40" t="s">
        <v>1498</v>
      </c>
      <c r="J214" s="54">
        <v>17084253.760000002</v>
      </c>
      <c r="K214" s="54">
        <v>17084253.760000002</v>
      </c>
      <c r="L214" s="54">
        <v>0</v>
      </c>
      <c r="M214" s="54">
        <v>0</v>
      </c>
      <c r="N214" s="42">
        <f t="shared" si="30"/>
        <v>100</v>
      </c>
      <c r="O214" s="43">
        <f t="shared" si="37"/>
        <v>17084253.760000002</v>
      </c>
      <c r="P214" s="41"/>
      <c r="Q214" s="43">
        <f t="shared" si="38"/>
        <v>17084253.760000002</v>
      </c>
      <c r="R214" s="41">
        <v>0</v>
      </c>
      <c r="S214" s="30">
        <f t="shared" si="33"/>
        <v>0</v>
      </c>
      <c r="T214" s="30">
        <f t="shared" si="33"/>
        <v>0</v>
      </c>
      <c r="U214" s="30" t="e">
        <f>T214/X214</f>
        <v>#DIV/0!</v>
      </c>
      <c r="V214" s="41" t="e">
        <f>T214/X214</f>
        <v>#DIV/0!</v>
      </c>
      <c r="W214" s="41" t="e">
        <f>V214*AU214</f>
        <v>#DIV/0!</v>
      </c>
      <c r="X214" s="41">
        <f t="shared" si="39"/>
        <v>0</v>
      </c>
      <c r="Y214" s="41">
        <v>0</v>
      </c>
      <c r="Z214" s="41">
        <v>0</v>
      </c>
      <c r="AA214" s="41">
        <v>0</v>
      </c>
      <c r="AB214" s="41"/>
      <c r="AC214" s="41" t="e">
        <f t="shared" si="35"/>
        <v>#DIV/0!</v>
      </c>
      <c r="AD214" s="41"/>
      <c r="AE214" s="41" t="e">
        <f t="shared" si="36"/>
        <v>#DIV/0!</v>
      </c>
      <c r="AF214" s="41" t="e">
        <f>X214/AU214</f>
        <v>#DIV/0!</v>
      </c>
      <c r="AG214" s="41" t="e">
        <f t="shared" si="40"/>
        <v>#DIV/0!</v>
      </c>
      <c r="AH214" s="36">
        <v>45337</v>
      </c>
      <c r="AI214" s="36"/>
      <c r="AJ214" s="36"/>
      <c r="AK214" s="36"/>
      <c r="AL214" s="36"/>
      <c r="AM214" s="46"/>
      <c r="AN214" s="40"/>
      <c r="AO214" s="40"/>
      <c r="AP214" s="40"/>
      <c r="AQ214" s="40"/>
      <c r="AR214" s="48"/>
      <c r="AS214" s="37"/>
      <c r="AT214" s="37"/>
      <c r="AU214" s="47"/>
      <c r="AV214" s="37"/>
      <c r="AW214" s="37">
        <v>10</v>
      </c>
      <c r="AX214" s="30">
        <f>(J214*10)/100</f>
        <v>1708425.3760000002</v>
      </c>
      <c r="AY214" s="40" t="s">
        <v>431</v>
      </c>
    </row>
    <row r="215" spans="1:51" ht="58.5" customHeight="1" x14ac:dyDescent="0.25">
      <c r="A215" s="44" t="s">
        <v>1499</v>
      </c>
      <c r="B215" s="46">
        <v>45289</v>
      </c>
      <c r="C215" s="40">
        <v>1416</v>
      </c>
      <c r="D215" s="35" t="s">
        <v>1500</v>
      </c>
      <c r="E215" s="39" t="s">
        <v>1501</v>
      </c>
      <c r="F215" s="36">
        <v>45322</v>
      </c>
      <c r="G215" s="37" t="s">
        <v>1502</v>
      </c>
      <c r="H215" s="40" t="s">
        <v>1185</v>
      </c>
      <c r="I215" s="40" t="s">
        <v>1503</v>
      </c>
      <c r="J215" s="54">
        <v>15950302.199999999</v>
      </c>
      <c r="K215" s="54">
        <v>15950302.199999999</v>
      </c>
      <c r="L215" s="54">
        <v>0</v>
      </c>
      <c r="M215" s="54">
        <v>0</v>
      </c>
      <c r="N215" s="42">
        <f t="shared" si="30"/>
        <v>1.9999999749220998</v>
      </c>
      <c r="O215" s="43">
        <f t="shared" si="37"/>
        <v>319006.03999999911</v>
      </c>
      <c r="P215" s="41">
        <v>15631296.16</v>
      </c>
      <c r="Q215" s="43">
        <f t="shared" si="38"/>
        <v>3255571.7999999989</v>
      </c>
      <c r="R215" s="41">
        <v>12694730.4</v>
      </c>
      <c r="S215" s="30">
        <f t="shared" si="33"/>
        <v>12694730.4</v>
      </c>
      <c r="T215" s="30">
        <f t="shared" si="33"/>
        <v>12694730.4</v>
      </c>
      <c r="U215" s="30">
        <f>T215/X215</f>
        <v>133.32</v>
      </c>
      <c r="V215" s="41">
        <f>T215/X215</f>
        <v>133.32</v>
      </c>
      <c r="W215" s="41">
        <f>V215*AU215</f>
        <v>7999.2</v>
      </c>
      <c r="X215" s="41">
        <f t="shared" si="39"/>
        <v>95220</v>
      </c>
      <c r="Y215" s="41">
        <f>3720+37920</f>
        <v>41640</v>
      </c>
      <c r="Z215" s="41">
        <f>4980+48600</f>
        <v>53580</v>
      </c>
      <c r="AA215" s="41">
        <v>0</v>
      </c>
      <c r="AB215" s="41">
        <f>3720+4980</f>
        <v>8700</v>
      </c>
      <c r="AC215" s="41">
        <f t="shared" si="35"/>
        <v>1159884</v>
      </c>
      <c r="AD215" s="41">
        <f>37920+48600</f>
        <v>86520</v>
      </c>
      <c r="AE215" s="41">
        <f t="shared" si="36"/>
        <v>11534846.399999999</v>
      </c>
      <c r="AF215" s="41">
        <f>X215/AU215</f>
        <v>1587</v>
      </c>
      <c r="AG215" s="41">
        <f t="shared" si="40"/>
        <v>1587</v>
      </c>
      <c r="AH215" s="36">
        <v>45352</v>
      </c>
      <c r="AI215" s="36">
        <v>45474</v>
      </c>
      <c r="AJ215" s="36"/>
      <c r="AK215" s="36">
        <v>45383</v>
      </c>
      <c r="AL215" s="36">
        <v>45505</v>
      </c>
      <c r="AM215" s="46"/>
      <c r="AN215" s="40" t="s">
        <v>1187</v>
      </c>
      <c r="AO215" s="40" t="s">
        <v>1504</v>
      </c>
      <c r="AP215" s="40" t="s">
        <v>1189</v>
      </c>
      <c r="AQ215" s="40" t="s">
        <v>80</v>
      </c>
      <c r="AR215" s="48">
        <v>100</v>
      </c>
      <c r="AS215" s="37">
        <v>0</v>
      </c>
      <c r="AT215" s="37" t="s">
        <v>386</v>
      </c>
      <c r="AU215" s="47">
        <v>60</v>
      </c>
      <c r="AV215" s="37" t="s">
        <v>60</v>
      </c>
      <c r="AW215" s="37">
        <v>10</v>
      </c>
      <c r="AX215" s="30">
        <f>(J215*10)/100</f>
        <v>1595030.22</v>
      </c>
      <c r="AY215" s="40" t="s">
        <v>402</v>
      </c>
    </row>
    <row r="216" spans="1:51" ht="58.5" customHeight="1" x14ac:dyDescent="0.25">
      <c r="A216" s="44" t="s">
        <v>1505</v>
      </c>
      <c r="B216" s="46">
        <v>45289</v>
      </c>
      <c r="C216" s="40">
        <v>545</v>
      </c>
      <c r="D216" s="35" t="s">
        <v>1506</v>
      </c>
      <c r="E216" s="39" t="s">
        <v>1507</v>
      </c>
      <c r="F216" s="36">
        <v>45321</v>
      </c>
      <c r="G216" s="37" t="s">
        <v>1508</v>
      </c>
      <c r="H216" s="40" t="s">
        <v>139</v>
      </c>
      <c r="I216" s="40" t="s">
        <v>348</v>
      </c>
      <c r="J216" s="54">
        <v>195352434</v>
      </c>
      <c r="K216" s="54">
        <v>195352434</v>
      </c>
      <c r="L216" s="54">
        <v>0</v>
      </c>
      <c r="M216" s="54">
        <v>0</v>
      </c>
      <c r="N216" s="42">
        <f t="shared" si="30"/>
        <v>0</v>
      </c>
      <c r="O216" s="43">
        <f t="shared" si="37"/>
        <v>0</v>
      </c>
      <c r="P216" s="41">
        <v>195352434</v>
      </c>
      <c r="Q216" s="43">
        <f t="shared" si="38"/>
        <v>0</v>
      </c>
      <c r="R216" s="41">
        <v>195352434</v>
      </c>
      <c r="S216" s="30">
        <v>247446416.40000001</v>
      </c>
      <c r="T216" s="30">
        <f t="shared" ref="T216:T279" si="41">S216</f>
        <v>247446416.40000001</v>
      </c>
      <c r="U216" s="30">
        <f>T216/X216</f>
        <v>868233.04</v>
      </c>
      <c r="V216" s="41">
        <f>T216/X216</f>
        <v>868233.04</v>
      </c>
      <c r="W216" s="41">
        <f>V216*AU216</f>
        <v>4341165.2</v>
      </c>
      <c r="X216" s="41">
        <f t="shared" si="39"/>
        <v>285</v>
      </c>
      <c r="Y216" s="41">
        <v>285</v>
      </c>
      <c r="Z216" s="41">
        <v>0</v>
      </c>
      <c r="AA216" s="41">
        <v>0</v>
      </c>
      <c r="AB216" s="41">
        <v>0</v>
      </c>
      <c r="AC216" s="41">
        <f t="shared" si="35"/>
        <v>0</v>
      </c>
      <c r="AD216" s="41">
        <v>0</v>
      </c>
      <c r="AE216" s="41">
        <f t="shared" si="36"/>
        <v>0</v>
      </c>
      <c r="AF216" s="41">
        <f>X216/AU216</f>
        <v>57</v>
      </c>
      <c r="AG216" s="41">
        <f t="shared" si="40"/>
        <v>57</v>
      </c>
      <c r="AH216" s="36">
        <v>45342</v>
      </c>
      <c r="AI216" s="36"/>
      <c r="AJ216" s="36"/>
      <c r="AK216" s="36">
        <v>45371</v>
      </c>
      <c r="AL216" s="36"/>
      <c r="AM216" s="46"/>
      <c r="AN216" s="40" t="s">
        <v>1509</v>
      </c>
      <c r="AO216" s="40" t="s">
        <v>1510</v>
      </c>
      <c r="AP216" s="40" t="s">
        <v>1511</v>
      </c>
      <c r="AQ216" s="40" t="s">
        <v>146</v>
      </c>
      <c r="AR216" s="48">
        <v>0</v>
      </c>
      <c r="AS216" s="37">
        <v>100</v>
      </c>
      <c r="AT216" s="37" t="s">
        <v>81</v>
      </c>
      <c r="AU216" s="47">
        <v>5</v>
      </c>
      <c r="AV216" s="37" t="s">
        <v>60</v>
      </c>
      <c r="AW216" s="37">
        <v>10</v>
      </c>
      <c r="AX216" s="30">
        <f>(J216*10)/100</f>
        <v>19535243.399999999</v>
      </c>
      <c r="AY216" s="40" t="s">
        <v>402</v>
      </c>
    </row>
    <row r="217" spans="1:51" ht="48.75" customHeight="1" x14ac:dyDescent="0.25">
      <c r="A217" s="59" t="s">
        <v>1512</v>
      </c>
      <c r="B217" s="60">
        <v>45313</v>
      </c>
      <c r="C217" s="40" t="s">
        <v>432</v>
      </c>
      <c r="D217" s="35" t="s">
        <v>431</v>
      </c>
      <c r="E217" s="39" t="s">
        <v>1513</v>
      </c>
      <c r="F217" s="36" t="s">
        <v>431</v>
      </c>
      <c r="G217" s="37" t="s">
        <v>431</v>
      </c>
      <c r="H217" s="40" t="s">
        <v>431</v>
      </c>
      <c r="I217" s="40" t="s">
        <v>1514</v>
      </c>
      <c r="J217" s="61">
        <v>229822000.5</v>
      </c>
      <c r="K217" s="41">
        <v>0</v>
      </c>
      <c r="L217" s="54">
        <v>0</v>
      </c>
      <c r="M217" s="54">
        <v>0</v>
      </c>
      <c r="N217" s="42">
        <f t="shared" si="30"/>
        <v>100</v>
      </c>
      <c r="O217" s="43">
        <f t="shared" si="37"/>
        <v>229822000.5</v>
      </c>
      <c r="P217" s="41"/>
      <c r="Q217" s="43">
        <f t="shared" si="38"/>
        <v>229822000.5</v>
      </c>
      <c r="R217" s="41">
        <v>0</v>
      </c>
      <c r="S217" s="30">
        <f t="shared" ref="S217:T280" si="42">R217</f>
        <v>0</v>
      </c>
      <c r="T217" s="30">
        <f t="shared" si="41"/>
        <v>0</v>
      </c>
      <c r="U217" s="30" t="e">
        <f>T217/X217</f>
        <v>#DIV/0!</v>
      </c>
      <c r="V217" s="41" t="e">
        <f>T217/X217</f>
        <v>#DIV/0!</v>
      </c>
      <c r="W217" s="41" t="e">
        <f>V217*AU217</f>
        <v>#DIV/0!</v>
      </c>
      <c r="X217" s="41">
        <f t="shared" si="39"/>
        <v>0</v>
      </c>
      <c r="Y217" s="41">
        <v>0</v>
      </c>
      <c r="Z217" s="41">
        <v>0</v>
      </c>
      <c r="AA217" s="41">
        <v>0</v>
      </c>
      <c r="AB217" s="41"/>
      <c r="AC217" s="41" t="e">
        <f t="shared" si="35"/>
        <v>#DIV/0!</v>
      </c>
      <c r="AD217" s="41"/>
      <c r="AE217" s="41" t="e">
        <f t="shared" si="36"/>
        <v>#DIV/0!</v>
      </c>
      <c r="AF217" s="41" t="e">
        <f>X217/AU217</f>
        <v>#DIV/0!</v>
      </c>
      <c r="AG217" s="41" t="e">
        <f t="shared" si="40"/>
        <v>#DIV/0!</v>
      </c>
      <c r="AH217" s="36">
        <v>45382</v>
      </c>
      <c r="AI217" s="36"/>
      <c r="AJ217" s="36"/>
      <c r="AK217" s="36"/>
      <c r="AL217" s="36"/>
      <c r="AM217" s="46"/>
      <c r="AN217" s="40"/>
      <c r="AO217" s="40"/>
      <c r="AP217" s="40"/>
      <c r="AQ217" s="40"/>
      <c r="AR217" s="48"/>
      <c r="AS217" s="37"/>
      <c r="AT217" s="37"/>
      <c r="AU217" s="47"/>
      <c r="AV217" s="37"/>
      <c r="AW217" s="37">
        <v>10</v>
      </c>
      <c r="AX217" s="30">
        <f>(J217*10)/100</f>
        <v>22982200.050000001</v>
      </c>
      <c r="AY217" s="40" t="s">
        <v>431</v>
      </c>
    </row>
    <row r="218" spans="1:51" ht="48.75" customHeight="1" x14ac:dyDescent="0.25">
      <c r="A218" s="59" t="s">
        <v>1515</v>
      </c>
      <c r="B218" s="60">
        <v>45313</v>
      </c>
      <c r="C218" s="40" t="s">
        <v>432</v>
      </c>
      <c r="D218" s="35" t="s">
        <v>1516</v>
      </c>
      <c r="E218" s="39" t="s">
        <v>1517</v>
      </c>
      <c r="F218" s="36">
        <v>45334</v>
      </c>
      <c r="G218" s="37" t="s">
        <v>1518</v>
      </c>
      <c r="H218" s="40" t="s">
        <v>203</v>
      </c>
      <c r="I218" s="40" t="s">
        <v>1519</v>
      </c>
      <c r="J218" s="61">
        <v>3858140</v>
      </c>
      <c r="K218" s="41">
        <v>0</v>
      </c>
      <c r="L218" s="54">
        <v>0</v>
      </c>
      <c r="M218" s="54">
        <v>0</v>
      </c>
      <c r="N218" s="42">
        <f t="shared" si="30"/>
        <v>0</v>
      </c>
      <c r="O218" s="43">
        <f t="shared" si="37"/>
        <v>0</v>
      </c>
      <c r="P218" s="41">
        <v>3858140</v>
      </c>
      <c r="Q218" s="43">
        <f t="shared" si="38"/>
        <v>0</v>
      </c>
      <c r="R218" s="41">
        <v>3858140</v>
      </c>
      <c r="S218" s="30">
        <f t="shared" si="42"/>
        <v>3858140</v>
      </c>
      <c r="T218" s="30">
        <f t="shared" si="41"/>
        <v>3858140</v>
      </c>
      <c r="U218" s="30">
        <f>T218/X218</f>
        <v>2.09</v>
      </c>
      <c r="V218" s="41">
        <f>T218/X218</f>
        <v>2.09</v>
      </c>
      <c r="W218" s="41">
        <f>V218*AU218</f>
        <v>418</v>
      </c>
      <c r="X218" s="41">
        <f t="shared" si="39"/>
        <v>1846000</v>
      </c>
      <c r="Y218" s="41">
        <v>1846000</v>
      </c>
      <c r="Z218" s="41">
        <v>0</v>
      </c>
      <c r="AA218" s="41">
        <v>0</v>
      </c>
      <c r="AB218" s="41">
        <v>0</v>
      </c>
      <c r="AC218" s="41">
        <f t="shared" si="35"/>
        <v>0</v>
      </c>
      <c r="AD218" s="41">
        <v>0</v>
      </c>
      <c r="AE218" s="41">
        <f t="shared" si="36"/>
        <v>0</v>
      </c>
      <c r="AF218" s="41">
        <f>X218/AU218</f>
        <v>9230</v>
      </c>
      <c r="AG218" s="41">
        <f t="shared" si="40"/>
        <v>9230</v>
      </c>
      <c r="AH218" s="36">
        <v>45382</v>
      </c>
      <c r="AI218" s="36"/>
      <c r="AJ218" s="36"/>
      <c r="AK218" s="36">
        <v>45413</v>
      </c>
      <c r="AL218" s="36"/>
      <c r="AM218" s="46"/>
      <c r="AN218" s="40" t="s">
        <v>1520</v>
      </c>
      <c r="AO218" s="40" t="s">
        <v>1521</v>
      </c>
      <c r="AP218" s="40" t="s">
        <v>1522</v>
      </c>
      <c r="AQ218" s="40" t="s">
        <v>80</v>
      </c>
      <c r="AR218" s="48">
        <v>100</v>
      </c>
      <c r="AS218" s="37">
        <v>0</v>
      </c>
      <c r="AT218" s="37" t="s">
        <v>81</v>
      </c>
      <c r="AU218" s="47">
        <v>200</v>
      </c>
      <c r="AV218" s="37" t="s">
        <v>219</v>
      </c>
      <c r="AW218" s="37">
        <v>10</v>
      </c>
      <c r="AX218" s="30">
        <f>(J218*10)/100</f>
        <v>385814</v>
      </c>
      <c r="AY218" s="40" t="s">
        <v>402</v>
      </c>
    </row>
    <row r="219" spans="1:51" ht="48.75" customHeight="1" x14ac:dyDescent="0.25">
      <c r="A219" s="59" t="s">
        <v>1523</v>
      </c>
      <c r="B219" s="60">
        <v>45313</v>
      </c>
      <c r="C219" s="40" t="s">
        <v>432</v>
      </c>
      <c r="D219" s="35" t="s">
        <v>1524</v>
      </c>
      <c r="E219" s="39" t="s">
        <v>1525</v>
      </c>
      <c r="F219" s="36">
        <v>45334</v>
      </c>
      <c r="G219" s="37" t="s">
        <v>1526</v>
      </c>
      <c r="H219" s="40" t="s">
        <v>203</v>
      </c>
      <c r="I219" s="40" t="s">
        <v>1527</v>
      </c>
      <c r="J219" s="61">
        <v>331056</v>
      </c>
      <c r="K219" s="41">
        <v>0</v>
      </c>
      <c r="L219" s="54">
        <v>0</v>
      </c>
      <c r="M219" s="54">
        <v>0</v>
      </c>
      <c r="N219" s="42">
        <f t="shared" si="30"/>
        <v>0</v>
      </c>
      <c r="O219" s="43">
        <f t="shared" si="37"/>
        <v>0</v>
      </c>
      <c r="P219" s="41">
        <v>331056</v>
      </c>
      <c r="Q219" s="43">
        <f t="shared" si="38"/>
        <v>0</v>
      </c>
      <c r="R219" s="41">
        <v>331056</v>
      </c>
      <c r="S219" s="30">
        <f t="shared" si="42"/>
        <v>331056</v>
      </c>
      <c r="T219" s="30">
        <f t="shared" si="41"/>
        <v>331056</v>
      </c>
      <c r="U219" s="30">
        <f>T219/X219</f>
        <v>183.92</v>
      </c>
      <c r="V219" s="41">
        <f>T219/X219</f>
        <v>183.92</v>
      </c>
      <c r="W219" s="41">
        <f>V219*AU219</f>
        <v>11035.199999999999</v>
      </c>
      <c r="X219" s="41">
        <f t="shared" si="39"/>
        <v>1800</v>
      </c>
      <c r="Y219" s="41">
        <v>1800</v>
      </c>
      <c r="Z219" s="41">
        <v>0</v>
      </c>
      <c r="AA219" s="41">
        <v>0</v>
      </c>
      <c r="AB219" s="41">
        <v>0</v>
      </c>
      <c r="AC219" s="41">
        <f t="shared" si="35"/>
        <v>0</v>
      </c>
      <c r="AD219" s="41">
        <v>0</v>
      </c>
      <c r="AE219" s="41">
        <f t="shared" si="36"/>
        <v>0</v>
      </c>
      <c r="AF219" s="41">
        <f>X219/AU219</f>
        <v>30</v>
      </c>
      <c r="AG219" s="41">
        <f t="shared" si="40"/>
        <v>30</v>
      </c>
      <c r="AH219" s="36">
        <v>45366</v>
      </c>
      <c r="AI219" s="36"/>
      <c r="AJ219" s="36"/>
      <c r="AK219" s="36">
        <v>45397</v>
      </c>
      <c r="AL219" s="36"/>
      <c r="AM219" s="46"/>
      <c r="AN219" s="40" t="s">
        <v>1528</v>
      </c>
      <c r="AO219" s="40" t="s">
        <v>1529</v>
      </c>
      <c r="AP219" s="40" t="s">
        <v>1530</v>
      </c>
      <c r="AQ219" s="40" t="s">
        <v>92</v>
      </c>
      <c r="AR219" s="48">
        <v>0</v>
      </c>
      <c r="AS219" s="37">
        <v>100</v>
      </c>
      <c r="AT219" s="37" t="s">
        <v>386</v>
      </c>
      <c r="AU219" s="47">
        <v>60</v>
      </c>
      <c r="AV219" s="37" t="s">
        <v>219</v>
      </c>
      <c r="AW219" s="37">
        <v>10</v>
      </c>
      <c r="AX219" s="30">
        <f>(J219*10)/100</f>
        <v>33105.599999999999</v>
      </c>
      <c r="AY219" s="40" t="s">
        <v>402</v>
      </c>
    </row>
    <row r="220" spans="1:51" ht="48.75" customHeight="1" x14ac:dyDescent="0.25">
      <c r="A220" s="59" t="s">
        <v>1531</v>
      </c>
      <c r="B220" s="60">
        <v>45313</v>
      </c>
      <c r="C220" s="40" t="s">
        <v>432</v>
      </c>
      <c r="D220" s="35" t="s">
        <v>431</v>
      </c>
      <c r="E220" s="39" t="s">
        <v>1532</v>
      </c>
      <c r="F220" s="36" t="s">
        <v>431</v>
      </c>
      <c r="G220" s="37" t="s">
        <v>431</v>
      </c>
      <c r="H220" s="40" t="s">
        <v>431</v>
      </c>
      <c r="I220" s="40" t="s">
        <v>1533</v>
      </c>
      <c r="J220" s="61">
        <v>388170432</v>
      </c>
      <c r="K220" s="41">
        <v>0</v>
      </c>
      <c r="L220" s="54">
        <v>0</v>
      </c>
      <c r="M220" s="54">
        <v>0</v>
      </c>
      <c r="N220" s="42">
        <f t="shared" si="30"/>
        <v>100</v>
      </c>
      <c r="O220" s="43">
        <f t="shared" si="37"/>
        <v>388170432</v>
      </c>
      <c r="P220" s="41"/>
      <c r="Q220" s="43">
        <f t="shared" si="38"/>
        <v>388170432</v>
      </c>
      <c r="R220" s="41">
        <v>0</v>
      </c>
      <c r="S220" s="30">
        <f t="shared" si="42"/>
        <v>0</v>
      </c>
      <c r="T220" s="30">
        <f t="shared" si="41"/>
        <v>0</v>
      </c>
      <c r="U220" s="30" t="e">
        <f>T220/X220</f>
        <v>#DIV/0!</v>
      </c>
      <c r="V220" s="41" t="e">
        <f>T220/X220</f>
        <v>#DIV/0!</v>
      </c>
      <c r="W220" s="41" t="e">
        <f>V220*AU220</f>
        <v>#DIV/0!</v>
      </c>
      <c r="X220" s="41">
        <f t="shared" si="39"/>
        <v>0</v>
      </c>
      <c r="Y220" s="41">
        <v>0</v>
      </c>
      <c r="Z220" s="41">
        <v>0</v>
      </c>
      <c r="AA220" s="41">
        <v>0</v>
      </c>
      <c r="AB220" s="41"/>
      <c r="AC220" s="41" t="e">
        <f t="shared" si="35"/>
        <v>#DIV/0!</v>
      </c>
      <c r="AD220" s="41"/>
      <c r="AE220" s="41" t="e">
        <f t="shared" si="36"/>
        <v>#DIV/0!</v>
      </c>
      <c r="AF220" s="41" t="e">
        <f>X220/AU220</f>
        <v>#DIV/0!</v>
      </c>
      <c r="AG220" s="41" t="e">
        <f t="shared" si="40"/>
        <v>#DIV/0!</v>
      </c>
      <c r="AH220" s="36">
        <v>45383</v>
      </c>
      <c r="AI220" s="36"/>
      <c r="AJ220" s="36"/>
      <c r="AK220" s="36"/>
      <c r="AL220" s="36"/>
      <c r="AM220" s="46"/>
      <c r="AN220" s="40"/>
      <c r="AO220" s="40"/>
      <c r="AP220" s="40"/>
      <c r="AQ220" s="40"/>
      <c r="AR220" s="48"/>
      <c r="AS220" s="37"/>
      <c r="AT220" s="37"/>
      <c r="AU220" s="47"/>
      <c r="AV220" s="37"/>
      <c r="AW220" s="37">
        <v>10</v>
      </c>
      <c r="AX220" s="30">
        <f>(J220*10)/100</f>
        <v>38817043.200000003</v>
      </c>
      <c r="AY220" s="40" t="s">
        <v>431</v>
      </c>
    </row>
    <row r="221" spans="1:51" ht="48.75" customHeight="1" x14ac:dyDescent="0.25">
      <c r="A221" s="59" t="s">
        <v>1534</v>
      </c>
      <c r="B221" s="60">
        <v>45313</v>
      </c>
      <c r="C221" s="40" t="s">
        <v>432</v>
      </c>
      <c r="D221" s="35" t="s">
        <v>1535</v>
      </c>
      <c r="E221" s="39" t="s">
        <v>1536</v>
      </c>
      <c r="F221" s="36">
        <v>45334</v>
      </c>
      <c r="G221" s="37" t="s">
        <v>1537</v>
      </c>
      <c r="H221" s="40" t="s">
        <v>224</v>
      </c>
      <c r="I221" s="40" t="s">
        <v>1538</v>
      </c>
      <c r="J221" s="61">
        <v>46479725.399999999</v>
      </c>
      <c r="K221" s="41">
        <v>0</v>
      </c>
      <c r="L221" s="54">
        <v>0</v>
      </c>
      <c r="M221" s="54">
        <v>0</v>
      </c>
      <c r="N221" s="42">
        <f t="shared" si="30"/>
        <v>0</v>
      </c>
      <c r="O221" s="43">
        <f t="shared" si="37"/>
        <v>0</v>
      </c>
      <c r="P221" s="41">
        <v>46479725.399999999</v>
      </c>
      <c r="Q221" s="43">
        <f t="shared" si="38"/>
        <v>0</v>
      </c>
      <c r="R221" s="41">
        <v>46479725.399999999</v>
      </c>
      <c r="S221" s="30">
        <f t="shared" si="42"/>
        <v>46479725.399999999</v>
      </c>
      <c r="T221" s="30">
        <f t="shared" si="41"/>
        <v>46479725.399999999</v>
      </c>
      <c r="U221" s="30">
        <f>T221/X221</f>
        <v>4.66</v>
      </c>
      <c r="V221" s="41">
        <f>T221/X221</f>
        <v>4.66</v>
      </c>
      <c r="W221" s="41">
        <f>V221*AU221</f>
        <v>139.80000000000001</v>
      </c>
      <c r="X221" s="41">
        <f t="shared" si="39"/>
        <v>9974190</v>
      </c>
      <c r="Y221" s="41">
        <v>9974190</v>
      </c>
      <c r="Z221" s="41">
        <v>0</v>
      </c>
      <c r="AA221" s="41">
        <v>0</v>
      </c>
      <c r="AB221" s="41">
        <v>0</v>
      </c>
      <c r="AC221" s="41">
        <f t="shared" si="35"/>
        <v>0</v>
      </c>
      <c r="AD221" s="41">
        <v>0</v>
      </c>
      <c r="AE221" s="41">
        <f t="shared" si="36"/>
        <v>0</v>
      </c>
      <c r="AF221" s="41">
        <f>X221/AU221</f>
        <v>332473</v>
      </c>
      <c r="AG221" s="41">
        <f t="shared" si="40"/>
        <v>332473</v>
      </c>
      <c r="AH221" s="36">
        <v>45383</v>
      </c>
      <c r="AI221" s="36"/>
      <c r="AJ221" s="36"/>
      <c r="AK221" s="36">
        <v>45413</v>
      </c>
      <c r="AL221" s="36"/>
      <c r="AM221" s="46"/>
      <c r="AN221" s="40" t="s">
        <v>1539</v>
      </c>
      <c r="AO221" s="40" t="s">
        <v>1540</v>
      </c>
      <c r="AP221" s="40" t="s">
        <v>1541</v>
      </c>
      <c r="AQ221" s="40" t="s">
        <v>80</v>
      </c>
      <c r="AR221" s="48">
        <v>100</v>
      </c>
      <c r="AS221" s="37">
        <v>0</v>
      </c>
      <c r="AT221" s="37" t="s">
        <v>386</v>
      </c>
      <c r="AU221" s="47">
        <v>30</v>
      </c>
      <c r="AV221" s="37" t="s">
        <v>60</v>
      </c>
      <c r="AW221" s="37">
        <v>10</v>
      </c>
      <c r="AX221" s="30">
        <f>(J221*10)/100</f>
        <v>4647972.54</v>
      </c>
      <c r="AY221" s="40" t="s">
        <v>402</v>
      </c>
    </row>
    <row r="222" spans="1:51" ht="48.75" customHeight="1" x14ac:dyDescent="0.25">
      <c r="A222" s="59" t="s">
        <v>1542</v>
      </c>
      <c r="B222" s="60">
        <v>45313</v>
      </c>
      <c r="C222" s="40" t="s">
        <v>432</v>
      </c>
      <c r="D222" s="35" t="s">
        <v>1543</v>
      </c>
      <c r="E222" s="39" t="s">
        <v>1544</v>
      </c>
      <c r="F222" s="36">
        <v>45334</v>
      </c>
      <c r="G222" s="37" t="s">
        <v>1545</v>
      </c>
      <c r="H222" s="40" t="s">
        <v>53</v>
      </c>
      <c r="I222" s="37" t="s">
        <v>1546</v>
      </c>
      <c r="J222" s="61">
        <v>822463.2</v>
      </c>
      <c r="K222" s="41">
        <v>0</v>
      </c>
      <c r="L222" s="54">
        <v>0</v>
      </c>
      <c r="M222" s="54">
        <v>0</v>
      </c>
      <c r="N222" s="42">
        <f t="shared" si="30"/>
        <v>0</v>
      </c>
      <c r="O222" s="43">
        <f t="shared" si="37"/>
        <v>0</v>
      </c>
      <c r="P222" s="41">
        <v>822463.2</v>
      </c>
      <c r="Q222" s="43">
        <f t="shared" si="38"/>
        <v>0</v>
      </c>
      <c r="R222" s="41">
        <v>822463.2</v>
      </c>
      <c r="S222" s="30">
        <f t="shared" si="42"/>
        <v>822463.2</v>
      </c>
      <c r="T222" s="30">
        <f t="shared" si="41"/>
        <v>822463.2</v>
      </c>
      <c r="U222" s="30">
        <f>T222/X222</f>
        <v>33.93</v>
      </c>
      <c r="V222" s="41">
        <f>T222/X222</f>
        <v>33.93</v>
      </c>
      <c r="W222" s="41">
        <f>V222*AU222</f>
        <v>2035.8</v>
      </c>
      <c r="X222" s="41">
        <f t="shared" si="39"/>
        <v>24240</v>
      </c>
      <c r="Y222" s="41">
        <v>24240</v>
      </c>
      <c r="Z222" s="41">
        <v>0</v>
      </c>
      <c r="AA222" s="41">
        <v>0</v>
      </c>
      <c r="AB222" s="41">
        <v>0</v>
      </c>
      <c r="AC222" s="41">
        <f t="shared" si="35"/>
        <v>0</v>
      </c>
      <c r="AD222" s="41">
        <v>0</v>
      </c>
      <c r="AE222" s="41">
        <f t="shared" si="36"/>
        <v>0</v>
      </c>
      <c r="AF222" s="41">
        <f>X222/AU222</f>
        <v>404</v>
      </c>
      <c r="AG222" s="41">
        <f t="shared" si="40"/>
        <v>404</v>
      </c>
      <c r="AH222" s="36">
        <v>45366</v>
      </c>
      <c r="AI222" s="36"/>
      <c r="AJ222" s="36"/>
      <c r="AK222" s="36">
        <v>45397</v>
      </c>
      <c r="AL222" s="36"/>
      <c r="AM222" s="46"/>
      <c r="AN222" s="40" t="s">
        <v>1547</v>
      </c>
      <c r="AO222" s="40" t="s">
        <v>1548</v>
      </c>
      <c r="AP222" s="40" t="s">
        <v>1549</v>
      </c>
      <c r="AQ222" s="40" t="s">
        <v>385</v>
      </c>
      <c r="AR222" s="48">
        <v>0</v>
      </c>
      <c r="AS222" s="37">
        <v>100</v>
      </c>
      <c r="AT222" s="37" t="s">
        <v>386</v>
      </c>
      <c r="AU222" s="47">
        <v>60</v>
      </c>
      <c r="AV222" s="37" t="s">
        <v>60</v>
      </c>
      <c r="AW222" s="37">
        <v>10</v>
      </c>
      <c r="AX222" s="30">
        <f>(J222*10)/100</f>
        <v>82246.320000000007</v>
      </c>
      <c r="AY222" s="40" t="s">
        <v>402</v>
      </c>
    </row>
    <row r="223" spans="1:51" ht="48.75" customHeight="1" x14ac:dyDescent="0.25">
      <c r="A223" s="59" t="s">
        <v>1550</v>
      </c>
      <c r="B223" s="60">
        <v>45313</v>
      </c>
      <c r="C223" s="40" t="s">
        <v>432</v>
      </c>
      <c r="D223" s="35" t="s">
        <v>1551</v>
      </c>
      <c r="E223" s="39" t="s">
        <v>1552</v>
      </c>
      <c r="F223" s="36">
        <v>45334</v>
      </c>
      <c r="G223" s="37" t="s">
        <v>1553</v>
      </c>
      <c r="H223" s="40" t="s">
        <v>53</v>
      </c>
      <c r="I223" s="37" t="s">
        <v>1554</v>
      </c>
      <c r="J223" s="61">
        <v>79713664.799999997</v>
      </c>
      <c r="K223" s="41">
        <v>0</v>
      </c>
      <c r="L223" s="54">
        <v>0</v>
      </c>
      <c r="M223" s="54">
        <v>0</v>
      </c>
      <c r="N223" s="42">
        <f t="shared" si="30"/>
        <v>0</v>
      </c>
      <c r="O223" s="43">
        <f t="shared" si="37"/>
        <v>0</v>
      </c>
      <c r="P223" s="41">
        <v>79713664.799999997</v>
      </c>
      <c r="Q223" s="43">
        <f t="shared" si="38"/>
        <v>0</v>
      </c>
      <c r="R223" s="41">
        <v>79713664.799999997</v>
      </c>
      <c r="S223" s="30">
        <f t="shared" si="42"/>
        <v>79713664.799999997</v>
      </c>
      <c r="T223" s="30">
        <f t="shared" si="41"/>
        <v>79713664.799999997</v>
      </c>
      <c r="U223" s="30">
        <f>T223/X223</f>
        <v>127.82</v>
      </c>
      <c r="V223" s="41">
        <f>T223/X223</f>
        <v>127.82</v>
      </c>
      <c r="W223" s="41">
        <f>V223*AU223</f>
        <v>7669.2</v>
      </c>
      <c r="X223" s="41">
        <f t="shared" si="39"/>
        <v>623640</v>
      </c>
      <c r="Y223" s="41">
        <v>180000</v>
      </c>
      <c r="Z223" s="41">
        <v>443640</v>
      </c>
      <c r="AA223" s="41">
        <v>0</v>
      </c>
      <c r="AB223" s="41">
        <v>0</v>
      </c>
      <c r="AC223" s="41">
        <f t="shared" si="35"/>
        <v>0</v>
      </c>
      <c r="AD223" s="41">
        <v>0</v>
      </c>
      <c r="AE223" s="41">
        <f t="shared" si="36"/>
        <v>0</v>
      </c>
      <c r="AF223" s="41">
        <f>X223/AU223</f>
        <v>10394</v>
      </c>
      <c r="AG223" s="41">
        <f t="shared" si="40"/>
        <v>10394</v>
      </c>
      <c r="AH223" s="36">
        <v>45352</v>
      </c>
      <c r="AI223" s="36">
        <v>45397</v>
      </c>
      <c r="AJ223" s="36"/>
      <c r="AK223" s="36">
        <v>45383</v>
      </c>
      <c r="AL223" s="36">
        <v>45427</v>
      </c>
      <c r="AM223" s="46"/>
      <c r="AN223" s="40" t="s">
        <v>1547</v>
      </c>
      <c r="AO223" s="40" t="s">
        <v>1555</v>
      </c>
      <c r="AP223" s="40" t="s">
        <v>1549</v>
      </c>
      <c r="AQ223" s="40" t="s">
        <v>385</v>
      </c>
      <c r="AR223" s="48">
        <v>0</v>
      </c>
      <c r="AS223" s="37">
        <v>100</v>
      </c>
      <c r="AT223" s="37" t="s">
        <v>386</v>
      </c>
      <c r="AU223" s="47">
        <v>60</v>
      </c>
      <c r="AV223" s="37" t="s">
        <v>60</v>
      </c>
      <c r="AW223" s="37">
        <v>10</v>
      </c>
      <c r="AX223" s="30">
        <f>(J223*10)/100</f>
        <v>7971366.4800000004</v>
      </c>
      <c r="AY223" s="40" t="s">
        <v>402</v>
      </c>
    </row>
    <row r="224" spans="1:51" ht="48.75" customHeight="1" x14ac:dyDescent="0.25">
      <c r="A224" s="59" t="s">
        <v>1556</v>
      </c>
      <c r="B224" s="60">
        <v>45313</v>
      </c>
      <c r="C224" s="40" t="s">
        <v>432</v>
      </c>
      <c r="D224" s="35" t="s">
        <v>1557</v>
      </c>
      <c r="E224" s="39" t="s">
        <v>1558</v>
      </c>
      <c r="F224" s="36">
        <v>45348</v>
      </c>
      <c r="G224" s="37" t="s">
        <v>1559</v>
      </c>
      <c r="H224" s="40" t="s">
        <v>224</v>
      </c>
      <c r="I224" s="37" t="s">
        <v>1560</v>
      </c>
      <c r="J224" s="61">
        <v>1115237257.2</v>
      </c>
      <c r="K224" s="41">
        <v>0</v>
      </c>
      <c r="L224" s="54">
        <v>0</v>
      </c>
      <c r="M224" s="54">
        <v>0</v>
      </c>
      <c r="N224" s="42">
        <f t="shared" ref="N224:N287" si="43">((J224-P224)/J224)*100</f>
        <v>0</v>
      </c>
      <c r="O224" s="43">
        <f t="shared" si="37"/>
        <v>0</v>
      </c>
      <c r="P224" s="61">
        <v>1115237257.2</v>
      </c>
      <c r="Q224" s="43">
        <f t="shared" si="38"/>
        <v>0</v>
      </c>
      <c r="R224" s="61">
        <v>1115237257.2</v>
      </c>
      <c r="S224" s="30">
        <f t="shared" si="42"/>
        <v>1115237257.2</v>
      </c>
      <c r="T224" s="30">
        <f t="shared" si="41"/>
        <v>1115237257.2</v>
      </c>
      <c r="U224" s="30">
        <f>T224/X224</f>
        <v>201.96</v>
      </c>
      <c r="V224" s="41">
        <f>T224/X224</f>
        <v>201.96</v>
      </c>
      <c r="W224" s="41">
        <f>V224*AU224</f>
        <v>12117.6</v>
      </c>
      <c r="X224" s="41">
        <f t="shared" si="39"/>
        <v>5522070</v>
      </c>
      <c r="Y224" s="41">
        <v>5522070</v>
      </c>
      <c r="Z224" s="41">
        <v>0</v>
      </c>
      <c r="AA224" s="41">
        <v>0</v>
      </c>
      <c r="AB224" s="41">
        <v>0</v>
      </c>
      <c r="AC224" s="41">
        <f t="shared" si="35"/>
        <v>0</v>
      </c>
      <c r="AD224" s="41">
        <v>0</v>
      </c>
      <c r="AE224" s="41">
        <f t="shared" si="36"/>
        <v>0</v>
      </c>
      <c r="AF224" s="41">
        <f>X224/AU224</f>
        <v>92034.5</v>
      </c>
      <c r="AG224" s="41">
        <f t="shared" si="40"/>
        <v>92035</v>
      </c>
      <c r="AH224" s="36">
        <v>45383</v>
      </c>
      <c r="AI224" s="36"/>
      <c r="AJ224" s="36"/>
      <c r="AK224" s="36">
        <v>45413</v>
      </c>
      <c r="AL224" s="36"/>
      <c r="AM224" s="46"/>
      <c r="AN224" s="40" t="s">
        <v>1561</v>
      </c>
      <c r="AO224" s="40" t="s">
        <v>1562</v>
      </c>
      <c r="AP224" s="40" t="s">
        <v>1563</v>
      </c>
      <c r="AQ224" s="40" t="s">
        <v>80</v>
      </c>
      <c r="AR224" s="48">
        <v>100</v>
      </c>
      <c r="AS224" s="37">
        <v>0</v>
      </c>
      <c r="AT224" s="37" t="s">
        <v>386</v>
      </c>
      <c r="AU224" s="47">
        <v>60</v>
      </c>
      <c r="AV224" s="37" t="s">
        <v>386</v>
      </c>
      <c r="AW224" s="37">
        <v>10</v>
      </c>
      <c r="AX224" s="30">
        <f>(J224*10)/100</f>
        <v>111523725.72</v>
      </c>
      <c r="AY224" s="40" t="s">
        <v>402</v>
      </c>
    </row>
    <row r="225" spans="1:51" ht="48.75" customHeight="1" x14ac:dyDescent="0.25">
      <c r="A225" s="59" t="s">
        <v>1564</v>
      </c>
      <c r="B225" s="60">
        <v>45313</v>
      </c>
      <c r="C225" s="40" t="s">
        <v>432</v>
      </c>
      <c r="D225" s="35" t="s">
        <v>431</v>
      </c>
      <c r="E225" s="39" t="s">
        <v>1565</v>
      </c>
      <c r="F225" s="36" t="s">
        <v>431</v>
      </c>
      <c r="G225" s="37" t="s">
        <v>431</v>
      </c>
      <c r="H225" s="40" t="s">
        <v>431</v>
      </c>
      <c r="I225" s="37" t="s">
        <v>1566</v>
      </c>
      <c r="J225" s="61">
        <v>64233933</v>
      </c>
      <c r="K225" s="41">
        <v>0</v>
      </c>
      <c r="L225" s="54">
        <v>0</v>
      </c>
      <c r="M225" s="54">
        <v>0</v>
      </c>
      <c r="N225" s="42">
        <f t="shared" si="43"/>
        <v>100</v>
      </c>
      <c r="O225" s="43">
        <f t="shared" si="37"/>
        <v>64233933</v>
      </c>
      <c r="P225" s="41"/>
      <c r="Q225" s="43">
        <f t="shared" si="38"/>
        <v>64233933</v>
      </c>
      <c r="R225" s="41">
        <v>0</v>
      </c>
      <c r="S225" s="30">
        <f t="shared" si="42"/>
        <v>0</v>
      </c>
      <c r="T225" s="30">
        <f t="shared" si="41"/>
        <v>0</v>
      </c>
      <c r="U225" s="30" t="e">
        <f>T225/X225</f>
        <v>#DIV/0!</v>
      </c>
      <c r="V225" s="41" t="e">
        <f>T225/X225</f>
        <v>#DIV/0!</v>
      </c>
      <c r="W225" s="41" t="e">
        <f>V225*AU225</f>
        <v>#DIV/0!</v>
      </c>
      <c r="X225" s="41">
        <f t="shared" si="39"/>
        <v>0</v>
      </c>
      <c r="Y225" s="41">
        <v>0</v>
      </c>
      <c r="Z225" s="41">
        <v>0</v>
      </c>
      <c r="AA225" s="41">
        <v>0</v>
      </c>
      <c r="AB225" s="41"/>
      <c r="AC225" s="41" t="e">
        <f t="shared" si="35"/>
        <v>#DIV/0!</v>
      </c>
      <c r="AD225" s="41"/>
      <c r="AE225" s="41" t="e">
        <f t="shared" si="36"/>
        <v>#DIV/0!</v>
      </c>
      <c r="AF225" s="41" t="e">
        <f>X225/AU225</f>
        <v>#DIV/0!</v>
      </c>
      <c r="AG225" s="41" t="e">
        <f t="shared" si="40"/>
        <v>#DIV/0!</v>
      </c>
      <c r="AH225" s="36">
        <v>45383</v>
      </c>
      <c r="AI225" s="36"/>
      <c r="AJ225" s="36"/>
      <c r="AK225" s="36"/>
      <c r="AL225" s="36"/>
      <c r="AM225" s="46"/>
      <c r="AN225" s="40"/>
      <c r="AO225" s="40"/>
      <c r="AP225" s="40"/>
      <c r="AQ225" s="40"/>
      <c r="AR225" s="48"/>
      <c r="AS225" s="37"/>
      <c r="AT225" s="37"/>
      <c r="AU225" s="47"/>
      <c r="AV225" s="37"/>
      <c r="AW225" s="37">
        <v>10</v>
      </c>
      <c r="AX225" s="30">
        <f>(J225*10)/100</f>
        <v>6423393.2999999998</v>
      </c>
      <c r="AY225" s="40" t="s">
        <v>431</v>
      </c>
    </row>
    <row r="226" spans="1:51" ht="48.75" customHeight="1" x14ac:dyDescent="0.25">
      <c r="A226" s="59" t="s">
        <v>1567</v>
      </c>
      <c r="B226" s="60">
        <v>45313</v>
      </c>
      <c r="C226" s="40" t="s">
        <v>432</v>
      </c>
      <c r="D226" s="35" t="s">
        <v>1568</v>
      </c>
      <c r="E226" s="39" t="s">
        <v>1569</v>
      </c>
      <c r="F226" s="36">
        <v>45334</v>
      </c>
      <c r="G226" s="37" t="s">
        <v>1570</v>
      </c>
      <c r="H226" s="40" t="s">
        <v>224</v>
      </c>
      <c r="I226" s="40" t="s">
        <v>1571</v>
      </c>
      <c r="J226" s="61">
        <v>113162592</v>
      </c>
      <c r="K226" s="41">
        <v>0</v>
      </c>
      <c r="L226" s="54">
        <v>0</v>
      </c>
      <c r="M226" s="54">
        <v>0</v>
      </c>
      <c r="N226" s="42">
        <f t="shared" si="43"/>
        <v>0</v>
      </c>
      <c r="O226" s="43">
        <f t="shared" si="37"/>
        <v>0</v>
      </c>
      <c r="P226" s="41">
        <v>113162592</v>
      </c>
      <c r="Q226" s="43">
        <f t="shared" si="38"/>
        <v>0</v>
      </c>
      <c r="R226" s="41">
        <v>113162592</v>
      </c>
      <c r="S226" s="30">
        <f t="shared" si="42"/>
        <v>113162592</v>
      </c>
      <c r="T226" s="30">
        <f t="shared" si="41"/>
        <v>113162592</v>
      </c>
      <c r="U226" s="30">
        <f>T226/X226</f>
        <v>23.05</v>
      </c>
      <c r="V226" s="41">
        <f>T226/X226</f>
        <v>23.05</v>
      </c>
      <c r="W226" s="41" t="e">
        <f>V226*AU226</f>
        <v>#VALUE!</v>
      </c>
      <c r="X226" s="41">
        <f t="shared" si="39"/>
        <v>4909440</v>
      </c>
      <c r="Y226" s="41">
        <v>4909440</v>
      </c>
      <c r="Z226" s="41">
        <v>0</v>
      </c>
      <c r="AA226" s="41">
        <v>0</v>
      </c>
      <c r="AB226" s="41">
        <v>0</v>
      </c>
      <c r="AC226" s="41">
        <f t="shared" si="35"/>
        <v>0</v>
      </c>
      <c r="AD226" s="41">
        <v>0</v>
      </c>
      <c r="AE226" s="41">
        <f t="shared" si="36"/>
        <v>0</v>
      </c>
      <c r="AF226" s="41" t="e">
        <f>X226/AU226</f>
        <v>#VALUE!</v>
      </c>
      <c r="AG226" s="41" t="e">
        <f t="shared" si="40"/>
        <v>#VALUE!</v>
      </c>
      <c r="AH226" s="36">
        <v>45383</v>
      </c>
      <c r="AI226" s="36"/>
      <c r="AJ226" s="36"/>
      <c r="AK226" s="36">
        <v>45413</v>
      </c>
      <c r="AL226" s="36"/>
      <c r="AM226" s="46"/>
      <c r="AN226" s="40" t="s">
        <v>1572</v>
      </c>
      <c r="AO226" s="40" t="s">
        <v>1573</v>
      </c>
      <c r="AP226" s="40" t="s">
        <v>1574</v>
      </c>
      <c r="AQ226" s="40" t="s">
        <v>80</v>
      </c>
      <c r="AR226" s="48">
        <v>100</v>
      </c>
      <c r="AS226" s="37">
        <v>0</v>
      </c>
      <c r="AT226" s="37" t="s">
        <v>386</v>
      </c>
      <c r="AU226" s="51" t="s">
        <v>1575</v>
      </c>
      <c r="AV226" s="37" t="s">
        <v>60</v>
      </c>
      <c r="AW226" s="37">
        <v>10</v>
      </c>
      <c r="AX226" s="30">
        <f>(J226*10)/100</f>
        <v>11316259.199999999</v>
      </c>
      <c r="AY226" s="40" t="s">
        <v>402</v>
      </c>
    </row>
    <row r="227" spans="1:51" ht="48.75" customHeight="1" x14ac:dyDescent="0.25">
      <c r="A227" s="59" t="s">
        <v>1576</v>
      </c>
      <c r="B227" s="60">
        <v>45313</v>
      </c>
      <c r="C227" s="40" t="s">
        <v>432</v>
      </c>
      <c r="D227" s="35" t="s">
        <v>1577</v>
      </c>
      <c r="E227" s="39" t="s">
        <v>1578</v>
      </c>
      <c r="F227" s="36">
        <v>45334</v>
      </c>
      <c r="G227" s="37" t="s">
        <v>1579</v>
      </c>
      <c r="H227" s="40" t="s">
        <v>224</v>
      </c>
      <c r="I227" s="40" t="s">
        <v>1580</v>
      </c>
      <c r="J227" s="61">
        <v>113308.8</v>
      </c>
      <c r="K227" s="41">
        <v>0</v>
      </c>
      <c r="L227" s="54">
        <v>0</v>
      </c>
      <c r="M227" s="54">
        <v>0</v>
      </c>
      <c r="N227" s="42">
        <f t="shared" si="43"/>
        <v>0</v>
      </c>
      <c r="O227" s="43">
        <f t="shared" si="37"/>
        <v>0</v>
      </c>
      <c r="P227" s="41">
        <v>113308.8</v>
      </c>
      <c r="Q227" s="43">
        <f t="shared" si="38"/>
        <v>0</v>
      </c>
      <c r="R227" s="41">
        <v>113308.8</v>
      </c>
      <c r="S227" s="30">
        <f t="shared" si="42"/>
        <v>113308.8</v>
      </c>
      <c r="T227" s="30">
        <f t="shared" si="41"/>
        <v>113308.8</v>
      </c>
      <c r="U227" s="30">
        <f>T227/X227</f>
        <v>6.38</v>
      </c>
      <c r="V227" s="41">
        <f>T227/X227</f>
        <v>6.38</v>
      </c>
      <c r="W227" s="41">
        <f>V227*AU227</f>
        <v>382.8</v>
      </c>
      <c r="X227" s="41">
        <f t="shared" si="39"/>
        <v>17760</v>
      </c>
      <c r="Y227" s="41">
        <v>17760</v>
      </c>
      <c r="Z227" s="41">
        <v>0</v>
      </c>
      <c r="AA227" s="41">
        <v>0</v>
      </c>
      <c r="AB227" s="41">
        <v>0</v>
      </c>
      <c r="AC227" s="41">
        <f t="shared" si="35"/>
        <v>0</v>
      </c>
      <c r="AD227" s="41">
        <v>0</v>
      </c>
      <c r="AE227" s="41">
        <f t="shared" si="36"/>
        <v>0</v>
      </c>
      <c r="AF227" s="41">
        <f>X227/AU227</f>
        <v>296</v>
      </c>
      <c r="AG227" s="41">
        <f t="shared" si="40"/>
        <v>296</v>
      </c>
      <c r="AH227" s="36">
        <v>45366</v>
      </c>
      <c r="AI227" s="36"/>
      <c r="AJ227" s="36"/>
      <c r="AK227" s="36">
        <v>45397</v>
      </c>
      <c r="AL227" s="36"/>
      <c r="AM227" s="46"/>
      <c r="AN227" s="40" t="s">
        <v>1581</v>
      </c>
      <c r="AO227" s="40" t="s">
        <v>1582</v>
      </c>
      <c r="AP227" s="40" t="s">
        <v>1583</v>
      </c>
      <c r="AQ227" s="40" t="s">
        <v>80</v>
      </c>
      <c r="AR227" s="48">
        <v>100</v>
      </c>
      <c r="AS227" s="37">
        <v>0</v>
      </c>
      <c r="AT227" s="37" t="s">
        <v>386</v>
      </c>
      <c r="AU227" s="47">
        <v>60</v>
      </c>
      <c r="AV227" s="37" t="s">
        <v>60</v>
      </c>
      <c r="AW227" s="37">
        <v>10</v>
      </c>
      <c r="AX227" s="30">
        <f>(J227*10)/100</f>
        <v>11330.88</v>
      </c>
      <c r="AY227" s="40" t="s">
        <v>402</v>
      </c>
    </row>
    <row r="228" spans="1:51" ht="48.75" customHeight="1" x14ac:dyDescent="0.25">
      <c r="A228" s="59" t="s">
        <v>1584</v>
      </c>
      <c r="B228" s="60">
        <v>45313</v>
      </c>
      <c r="C228" s="40" t="s">
        <v>432</v>
      </c>
      <c r="D228" s="35" t="s">
        <v>431</v>
      </c>
      <c r="E228" s="39" t="s">
        <v>1585</v>
      </c>
      <c r="F228" s="36" t="s">
        <v>431</v>
      </c>
      <c r="G228" s="37" t="s">
        <v>431</v>
      </c>
      <c r="H228" s="40" t="s">
        <v>431</v>
      </c>
      <c r="I228" s="40" t="s">
        <v>1586</v>
      </c>
      <c r="J228" s="61">
        <v>6380774.4000000004</v>
      </c>
      <c r="K228" s="41">
        <v>0</v>
      </c>
      <c r="L228" s="54">
        <v>0</v>
      </c>
      <c r="M228" s="54">
        <v>0</v>
      </c>
      <c r="N228" s="42">
        <f t="shared" si="43"/>
        <v>100</v>
      </c>
      <c r="O228" s="43">
        <f t="shared" si="37"/>
        <v>6380774.4000000004</v>
      </c>
      <c r="P228" s="41"/>
      <c r="Q228" s="43">
        <f t="shared" si="38"/>
        <v>6380774.4000000004</v>
      </c>
      <c r="R228" s="41">
        <v>0</v>
      </c>
      <c r="S228" s="30">
        <f t="shared" si="42"/>
        <v>0</v>
      </c>
      <c r="T228" s="30">
        <f t="shared" si="41"/>
        <v>0</v>
      </c>
      <c r="U228" s="30" t="e">
        <f>T228/X228</f>
        <v>#DIV/0!</v>
      </c>
      <c r="V228" s="41" t="e">
        <f>T228/X228</f>
        <v>#DIV/0!</v>
      </c>
      <c r="W228" s="41" t="e">
        <f>V228*AU228</f>
        <v>#DIV/0!</v>
      </c>
      <c r="X228" s="41">
        <f t="shared" si="39"/>
        <v>0</v>
      </c>
      <c r="Y228" s="41">
        <v>0</v>
      </c>
      <c r="Z228" s="41">
        <v>0</v>
      </c>
      <c r="AA228" s="41">
        <v>0</v>
      </c>
      <c r="AB228" s="41"/>
      <c r="AC228" s="41" t="e">
        <f t="shared" si="35"/>
        <v>#DIV/0!</v>
      </c>
      <c r="AD228" s="41"/>
      <c r="AE228" s="41" t="e">
        <f t="shared" si="36"/>
        <v>#DIV/0!</v>
      </c>
      <c r="AF228" s="41" t="e">
        <f>X228/AU228</f>
        <v>#DIV/0!</v>
      </c>
      <c r="AG228" s="41" t="e">
        <f t="shared" si="40"/>
        <v>#DIV/0!</v>
      </c>
      <c r="AH228" s="36">
        <v>45382</v>
      </c>
      <c r="AI228" s="36">
        <v>45473</v>
      </c>
      <c r="AJ228" s="36"/>
      <c r="AK228" s="36"/>
      <c r="AL228" s="36"/>
      <c r="AM228" s="46"/>
      <c r="AN228" s="40"/>
      <c r="AO228" s="40"/>
      <c r="AP228" s="40"/>
      <c r="AQ228" s="40"/>
      <c r="AR228" s="48"/>
      <c r="AS228" s="37"/>
      <c r="AT228" s="37"/>
      <c r="AU228" s="47"/>
      <c r="AV228" s="37"/>
      <c r="AW228" s="37">
        <v>10</v>
      </c>
      <c r="AX228" s="30">
        <f>(J228*10)/100</f>
        <v>638077.43999999994</v>
      </c>
      <c r="AY228" s="40" t="s">
        <v>431</v>
      </c>
    </row>
    <row r="229" spans="1:51" ht="48.75" customHeight="1" x14ac:dyDescent="0.25">
      <c r="A229" s="59" t="s">
        <v>1587</v>
      </c>
      <c r="B229" s="60">
        <v>45313</v>
      </c>
      <c r="C229" s="40" t="s">
        <v>432</v>
      </c>
      <c r="D229" s="35" t="s">
        <v>1588</v>
      </c>
      <c r="E229" s="39" t="s">
        <v>1589</v>
      </c>
      <c r="F229" s="36">
        <v>45334</v>
      </c>
      <c r="G229" s="37" t="s">
        <v>1590</v>
      </c>
      <c r="H229" s="40" t="s">
        <v>203</v>
      </c>
      <c r="I229" s="40" t="s">
        <v>1591</v>
      </c>
      <c r="J229" s="61">
        <v>1209780</v>
      </c>
      <c r="K229" s="41">
        <v>0</v>
      </c>
      <c r="L229" s="54">
        <v>0</v>
      </c>
      <c r="M229" s="54">
        <v>0</v>
      </c>
      <c r="N229" s="42">
        <f t="shared" si="43"/>
        <v>0</v>
      </c>
      <c r="O229" s="43">
        <f t="shared" si="37"/>
        <v>0</v>
      </c>
      <c r="P229" s="41">
        <v>1209780</v>
      </c>
      <c r="Q229" s="43">
        <f t="shared" si="38"/>
        <v>0</v>
      </c>
      <c r="R229" s="41">
        <v>1209780</v>
      </c>
      <c r="S229" s="30">
        <f t="shared" si="42"/>
        <v>1209780</v>
      </c>
      <c r="T229" s="30">
        <f t="shared" si="41"/>
        <v>1209780</v>
      </c>
      <c r="U229" s="30">
        <f>T229/X229</f>
        <v>336.05</v>
      </c>
      <c r="V229" s="41">
        <f>T229/X229</f>
        <v>336.05</v>
      </c>
      <c r="W229" s="41">
        <f>V229*AU229</f>
        <v>20163</v>
      </c>
      <c r="X229" s="41">
        <f t="shared" si="39"/>
        <v>3600</v>
      </c>
      <c r="Y229" s="41">
        <v>3600</v>
      </c>
      <c r="Z229" s="41">
        <v>0</v>
      </c>
      <c r="AA229" s="41">
        <v>0</v>
      </c>
      <c r="AB229" s="41">
        <v>0</v>
      </c>
      <c r="AC229" s="41">
        <f t="shared" si="35"/>
        <v>0</v>
      </c>
      <c r="AD229" s="41">
        <v>0</v>
      </c>
      <c r="AE229" s="41">
        <f t="shared" si="36"/>
        <v>0</v>
      </c>
      <c r="AF229" s="41">
        <f>X229/AU229</f>
        <v>60</v>
      </c>
      <c r="AG229" s="41">
        <f t="shared" si="40"/>
        <v>60</v>
      </c>
      <c r="AH229" s="36">
        <v>45366</v>
      </c>
      <c r="AI229" s="36"/>
      <c r="AJ229" s="36"/>
      <c r="AK229" s="36">
        <v>45397</v>
      </c>
      <c r="AL229" s="36"/>
      <c r="AM229" s="46"/>
      <c r="AN229" s="40" t="s">
        <v>1528</v>
      </c>
      <c r="AO229" s="40" t="s">
        <v>1592</v>
      </c>
      <c r="AP229" s="40" t="s">
        <v>1530</v>
      </c>
      <c r="AQ229" s="40" t="s">
        <v>92</v>
      </c>
      <c r="AR229" s="48">
        <v>0</v>
      </c>
      <c r="AS229" s="37">
        <v>100</v>
      </c>
      <c r="AT229" s="37" t="s">
        <v>386</v>
      </c>
      <c r="AU229" s="47">
        <v>60</v>
      </c>
      <c r="AV229" s="37" t="s">
        <v>219</v>
      </c>
      <c r="AW229" s="37">
        <v>10</v>
      </c>
      <c r="AX229" s="30">
        <f>(J229*10)/100</f>
        <v>120978</v>
      </c>
      <c r="AY229" s="40" t="s">
        <v>402</v>
      </c>
    </row>
    <row r="230" spans="1:51" ht="48.75" customHeight="1" x14ac:dyDescent="0.25">
      <c r="A230" s="59" t="s">
        <v>1593</v>
      </c>
      <c r="B230" s="60">
        <v>45313</v>
      </c>
      <c r="C230" s="40">
        <v>545</v>
      </c>
      <c r="D230" s="35" t="s">
        <v>431</v>
      </c>
      <c r="E230" s="39" t="s">
        <v>1594</v>
      </c>
      <c r="F230" s="36" t="s">
        <v>431</v>
      </c>
      <c r="G230" s="37" t="s">
        <v>431</v>
      </c>
      <c r="H230" s="40" t="s">
        <v>431</v>
      </c>
      <c r="I230" s="37" t="s">
        <v>590</v>
      </c>
      <c r="J230" s="61">
        <v>11343667.5</v>
      </c>
      <c r="K230" s="41">
        <v>0</v>
      </c>
      <c r="L230" s="54">
        <v>0</v>
      </c>
      <c r="M230" s="54">
        <v>0</v>
      </c>
      <c r="N230" s="42">
        <f t="shared" si="43"/>
        <v>100</v>
      </c>
      <c r="O230" s="43">
        <f t="shared" si="37"/>
        <v>11343667.5</v>
      </c>
      <c r="P230" s="41"/>
      <c r="Q230" s="43">
        <f t="shared" si="38"/>
        <v>11343667.5</v>
      </c>
      <c r="R230" s="41">
        <v>0</v>
      </c>
      <c r="S230" s="30">
        <f t="shared" si="42"/>
        <v>0</v>
      </c>
      <c r="T230" s="30">
        <f t="shared" si="41"/>
        <v>0</v>
      </c>
      <c r="U230" s="30" t="e">
        <f>T230/X230</f>
        <v>#DIV/0!</v>
      </c>
      <c r="V230" s="41" t="e">
        <f>T230/X230</f>
        <v>#DIV/0!</v>
      </c>
      <c r="W230" s="41" t="e">
        <f>V230*AU230</f>
        <v>#DIV/0!</v>
      </c>
      <c r="X230" s="41">
        <f t="shared" si="39"/>
        <v>0</v>
      </c>
      <c r="Y230" s="41">
        <v>0</v>
      </c>
      <c r="Z230" s="41">
        <v>0</v>
      </c>
      <c r="AA230" s="41">
        <v>0</v>
      </c>
      <c r="AB230" s="41"/>
      <c r="AC230" s="41" t="e">
        <f t="shared" si="35"/>
        <v>#DIV/0!</v>
      </c>
      <c r="AD230" s="41"/>
      <c r="AE230" s="41" t="e">
        <f t="shared" si="36"/>
        <v>#DIV/0!</v>
      </c>
      <c r="AF230" s="41" t="e">
        <f>X230/AU230</f>
        <v>#DIV/0!</v>
      </c>
      <c r="AG230" s="41" t="e">
        <f t="shared" si="40"/>
        <v>#DIV/0!</v>
      </c>
      <c r="AH230" s="36">
        <v>45383</v>
      </c>
      <c r="AI230" s="36"/>
      <c r="AJ230" s="36"/>
      <c r="AK230" s="36"/>
      <c r="AL230" s="36"/>
      <c r="AM230" s="46"/>
      <c r="AN230" s="40"/>
      <c r="AO230" s="40"/>
      <c r="AP230" s="40"/>
      <c r="AQ230" s="40"/>
      <c r="AR230" s="48"/>
      <c r="AS230" s="37"/>
      <c r="AT230" s="37"/>
      <c r="AU230" s="47"/>
      <c r="AV230" s="37"/>
      <c r="AW230" s="37">
        <v>10</v>
      </c>
      <c r="AX230" s="30">
        <f>(J230*10)/100</f>
        <v>1134366.75</v>
      </c>
      <c r="AY230" s="40" t="s">
        <v>431</v>
      </c>
    </row>
    <row r="231" spans="1:51" ht="48.75" customHeight="1" x14ac:dyDescent="0.25">
      <c r="A231" s="59" t="s">
        <v>1595</v>
      </c>
      <c r="B231" s="60">
        <v>45313</v>
      </c>
      <c r="C231" s="40" t="s">
        <v>432</v>
      </c>
      <c r="D231" s="35" t="s">
        <v>431</v>
      </c>
      <c r="E231" s="39" t="s">
        <v>1596</v>
      </c>
      <c r="F231" s="36" t="s">
        <v>431</v>
      </c>
      <c r="G231" s="37" t="s">
        <v>431</v>
      </c>
      <c r="H231" s="40" t="s">
        <v>431</v>
      </c>
      <c r="I231" s="40" t="s">
        <v>1597</v>
      </c>
      <c r="J231" s="61">
        <v>64033200</v>
      </c>
      <c r="K231" s="41">
        <v>0</v>
      </c>
      <c r="L231" s="54">
        <v>0</v>
      </c>
      <c r="M231" s="54">
        <v>0</v>
      </c>
      <c r="N231" s="42">
        <f t="shared" si="43"/>
        <v>100</v>
      </c>
      <c r="O231" s="43">
        <f t="shared" si="37"/>
        <v>64033200</v>
      </c>
      <c r="P231" s="41"/>
      <c r="Q231" s="43">
        <f t="shared" si="38"/>
        <v>64033200</v>
      </c>
      <c r="R231" s="41">
        <v>0</v>
      </c>
      <c r="S231" s="30">
        <f t="shared" si="42"/>
        <v>0</v>
      </c>
      <c r="T231" s="30">
        <f t="shared" si="41"/>
        <v>0</v>
      </c>
      <c r="U231" s="30" t="e">
        <f>T231/X231</f>
        <v>#DIV/0!</v>
      </c>
      <c r="V231" s="41" t="e">
        <f>T231/X231</f>
        <v>#DIV/0!</v>
      </c>
      <c r="W231" s="41" t="e">
        <f>V231*AU231</f>
        <v>#DIV/0!</v>
      </c>
      <c r="X231" s="41">
        <f t="shared" si="39"/>
        <v>0</v>
      </c>
      <c r="Y231" s="41">
        <v>0</v>
      </c>
      <c r="Z231" s="41">
        <v>0</v>
      </c>
      <c r="AA231" s="41">
        <v>0</v>
      </c>
      <c r="AB231" s="41"/>
      <c r="AC231" s="41" t="e">
        <f t="shared" si="35"/>
        <v>#DIV/0!</v>
      </c>
      <c r="AD231" s="41"/>
      <c r="AE231" s="41" t="e">
        <f t="shared" si="36"/>
        <v>#DIV/0!</v>
      </c>
      <c r="AF231" s="41" t="e">
        <f>X231/AU231</f>
        <v>#DIV/0!</v>
      </c>
      <c r="AG231" s="41" t="e">
        <f t="shared" si="40"/>
        <v>#DIV/0!</v>
      </c>
      <c r="AH231" s="36">
        <v>45383</v>
      </c>
      <c r="AI231" s="36"/>
      <c r="AJ231" s="36"/>
      <c r="AK231" s="36"/>
      <c r="AL231" s="36"/>
      <c r="AM231" s="46"/>
      <c r="AN231" s="40"/>
      <c r="AO231" s="40"/>
      <c r="AP231" s="40"/>
      <c r="AQ231" s="40"/>
      <c r="AR231" s="48"/>
      <c r="AS231" s="37"/>
      <c r="AT231" s="37"/>
      <c r="AU231" s="47"/>
      <c r="AV231" s="37"/>
      <c r="AW231" s="37">
        <v>10</v>
      </c>
      <c r="AX231" s="30">
        <f>(J231*10)/100</f>
        <v>6403320</v>
      </c>
      <c r="AY231" s="40" t="s">
        <v>431</v>
      </c>
    </row>
    <row r="232" spans="1:51" ht="48.75" customHeight="1" x14ac:dyDescent="0.25">
      <c r="A232" s="59" t="s">
        <v>1598</v>
      </c>
      <c r="B232" s="60">
        <v>45315</v>
      </c>
      <c r="C232" s="40">
        <v>545</v>
      </c>
      <c r="D232" s="35" t="s">
        <v>1599</v>
      </c>
      <c r="E232" s="39" t="s">
        <v>1600</v>
      </c>
      <c r="F232" s="36">
        <v>45348</v>
      </c>
      <c r="G232" s="37" t="s">
        <v>1601</v>
      </c>
      <c r="H232" s="40" t="s">
        <v>86</v>
      </c>
      <c r="I232" s="40" t="s">
        <v>338</v>
      </c>
      <c r="J232" s="61">
        <v>395718042.30000001</v>
      </c>
      <c r="K232" s="41">
        <v>0</v>
      </c>
      <c r="L232" s="54">
        <v>0</v>
      </c>
      <c r="M232" s="54">
        <v>0</v>
      </c>
      <c r="N232" s="42">
        <f t="shared" si="43"/>
        <v>0</v>
      </c>
      <c r="O232" s="43">
        <f t="shared" si="37"/>
        <v>0</v>
      </c>
      <c r="P232" s="41">
        <v>395718042.30000001</v>
      </c>
      <c r="Q232" s="43">
        <f t="shared" si="38"/>
        <v>0</v>
      </c>
      <c r="R232" s="41">
        <v>395718042.30000001</v>
      </c>
      <c r="S232" s="30">
        <v>470834774.39999998</v>
      </c>
      <c r="T232" s="30">
        <f t="shared" si="41"/>
        <v>470834774.39999998</v>
      </c>
      <c r="U232" s="30">
        <f>T232/X232</f>
        <v>25813.309999999998</v>
      </c>
      <c r="V232" s="41">
        <f>T232/X232</f>
        <v>25813.309999999998</v>
      </c>
      <c r="W232" s="41">
        <f>V232*AU232</f>
        <v>774399.29999999993</v>
      </c>
      <c r="X232" s="41">
        <f t="shared" si="39"/>
        <v>18240</v>
      </c>
      <c r="Y232" s="41">
        <f>15330+2910</f>
        <v>18240</v>
      </c>
      <c r="Z232" s="41">
        <v>0</v>
      </c>
      <c r="AA232" s="41">
        <v>0</v>
      </c>
      <c r="AB232" s="41">
        <v>0</v>
      </c>
      <c r="AC232" s="41">
        <f t="shared" si="35"/>
        <v>0</v>
      </c>
      <c r="AD232" s="41">
        <v>0</v>
      </c>
      <c r="AE232" s="41">
        <f t="shared" si="36"/>
        <v>0</v>
      </c>
      <c r="AF232" s="41">
        <f>X232/AU232</f>
        <v>608</v>
      </c>
      <c r="AG232" s="41">
        <f t="shared" si="40"/>
        <v>608</v>
      </c>
      <c r="AH232" s="36">
        <v>45383</v>
      </c>
      <c r="AI232" s="36"/>
      <c r="AJ232" s="36"/>
      <c r="AK232" s="36">
        <v>45413</v>
      </c>
      <c r="AL232" s="36"/>
      <c r="AM232" s="46"/>
      <c r="AN232" s="40" t="s">
        <v>339</v>
      </c>
      <c r="AO232" s="40" t="s">
        <v>340</v>
      </c>
      <c r="AP232" s="40" t="s">
        <v>341</v>
      </c>
      <c r="AQ232" s="40" t="s">
        <v>342</v>
      </c>
      <c r="AR232" s="48">
        <v>0</v>
      </c>
      <c r="AS232" s="37">
        <v>100</v>
      </c>
      <c r="AT232" s="37" t="s">
        <v>343</v>
      </c>
      <c r="AU232" s="47">
        <v>30</v>
      </c>
      <c r="AV232" s="37" t="s">
        <v>60</v>
      </c>
      <c r="AW232" s="37">
        <v>10</v>
      </c>
      <c r="AX232" s="30">
        <f>(J232*10)/100</f>
        <v>39571804.229999997</v>
      </c>
      <c r="AY232" s="40" t="s">
        <v>402</v>
      </c>
    </row>
    <row r="233" spans="1:51" ht="48.75" customHeight="1" x14ac:dyDescent="0.25">
      <c r="A233" s="59" t="s">
        <v>1602</v>
      </c>
      <c r="B233" s="60">
        <v>45315</v>
      </c>
      <c r="C233" s="40">
        <v>545</v>
      </c>
      <c r="D233" s="35" t="s">
        <v>1603</v>
      </c>
      <c r="E233" s="39" t="s">
        <v>1604</v>
      </c>
      <c r="F233" s="36">
        <v>45341</v>
      </c>
      <c r="G233" s="37" t="s">
        <v>1605</v>
      </c>
      <c r="H233" s="40" t="s">
        <v>86</v>
      </c>
      <c r="I233" s="40" t="s">
        <v>413</v>
      </c>
      <c r="J233" s="61">
        <v>32524846.199999999</v>
      </c>
      <c r="K233" s="41">
        <v>0</v>
      </c>
      <c r="L233" s="54">
        <v>0</v>
      </c>
      <c r="M233" s="54">
        <v>0</v>
      </c>
      <c r="N233" s="42">
        <f t="shared" si="43"/>
        <v>0</v>
      </c>
      <c r="O233" s="43">
        <f t="shared" si="37"/>
        <v>0</v>
      </c>
      <c r="P233" s="41">
        <v>32524846.199999999</v>
      </c>
      <c r="Q233" s="43">
        <f t="shared" si="38"/>
        <v>0</v>
      </c>
      <c r="R233" s="41">
        <v>32524846.199999999</v>
      </c>
      <c r="S233" s="30">
        <v>42204859.950000003</v>
      </c>
      <c r="T233" s="30">
        <v>42204859.950000003</v>
      </c>
      <c r="U233" s="30">
        <f>T233/X233</f>
        <v>25813.370000000003</v>
      </c>
      <c r="V233" s="41">
        <f>T233/X233</f>
        <v>25813.370000000003</v>
      </c>
      <c r="W233" s="41">
        <f>V233*AU233</f>
        <v>387200.55000000005</v>
      </c>
      <c r="X233" s="41">
        <f t="shared" si="39"/>
        <v>1635</v>
      </c>
      <c r="Y233" s="41">
        <v>1635</v>
      </c>
      <c r="Z233" s="41">
        <v>0</v>
      </c>
      <c r="AA233" s="41">
        <v>0</v>
      </c>
      <c r="AB233" s="41"/>
      <c r="AC233" s="41">
        <f t="shared" si="35"/>
        <v>0</v>
      </c>
      <c r="AD233" s="41"/>
      <c r="AE233" s="41">
        <f t="shared" si="36"/>
        <v>0</v>
      </c>
      <c r="AF233" s="41">
        <f>X233/AU233</f>
        <v>109</v>
      </c>
      <c r="AG233" s="41">
        <f t="shared" si="40"/>
        <v>109</v>
      </c>
      <c r="AH233" s="36">
        <v>45383</v>
      </c>
      <c r="AI233" s="36"/>
      <c r="AJ233" s="36"/>
      <c r="AK233" s="36">
        <v>45413</v>
      </c>
      <c r="AL233" s="36"/>
      <c r="AM233" s="46"/>
      <c r="AN233" s="40" t="s">
        <v>339</v>
      </c>
      <c r="AO233" s="40" t="s">
        <v>339</v>
      </c>
      <c r="AP233" s="40" t="s">
        <v>339</v>
      </c>
      <c r="AQ233" s="40" t="s">
        <v>342</v>
      </c>
      <c r="AR233" s="48">
        <v>0</v>
      </c>
      <c r="AS233" s="37">
        <v>100</v>
      </c>
      <c r="AT233" s="37" t="s">
        <v>343</v>
      </c>
      <c r="AU233" s="47">
        <v>15</v>
      </c>
      <c r="AV233" s="37" t="s">
        <v>60</v>
      </c>
      <c r="AW233" s="37">
        <v>10</v>
      </c>
      <c r="AX233" s="30">
        <f>(J233*10)/100</f>
        <v>3252484.62</v>
      </c>
      <c r="AY233" s="40" t="s">
        <v>402</v>
      </c>
    </row>
    <row r="234" spans="1:51" ht="48.75" customHeight="1" x14ac:dyDescent="0.25">
      <c r="A234" s="59" t="s">
        <v>1606</v>
      </c>
      <c r="B234" s="60">
        <v>45315</v>
      </c>
      <c r="C234" s="40">
        <v>545</v>
      </c>
      <c r="D234" s="35" t="s">
        <v>1607</v>
      </c>
      <c r="E234" s="39" t="s">
        <v>1608</v>
      </c>
      <c r="F234" s="36">
        <v>45335</v>
      </c>
      <c r="G234" s="37" t="s">
        <v>1609</v>
      </c>
      <c r="H234" s="40" t="s">
        <v>356</v>
      </c>
      <c r="I234" s="40" t="s">
        <v>1610</v>
      </c>
      <c r="J234" s="61">
        <v>80605931.120000005</v>
      </c>
      <c r="K234" s="41">
        <v>0</v>
      </c>
      <c r="L234" s="54">
        <v>0</v>
      </c>
      <c r="M234" s="54">
        <v>0</v>
      </c>
      <c r="N234" s="42">
        <f t="shared" si="43"/>
        <v>0</v>
      </c>
      <c r="O234" s="43">
        <f t="shared" si="37"/>
        <v>0</v>
      </c>
      <c r="P234" s="41">
        <v>80605931.120000005</v>
      </c>
      <c r="Q234" s="43">
        <f t="shared" si="38"/>
        <v>0</v>
      </c>
      <c r="R234" s="41">
        <v>80605931.120000005</v>
      </c>
      <c r="S234" s="30">
        <f t="shared" si="42"/>
        <v>80605931.120000005</v>
      </c>
      <c r="T234" s="30">
        <f t="shared" si="41"/>
        <v>80605931.120000005</v>
      </c>
      <c r="U234" s="30">
        <f>T234/X234</f>
        <v>333082.36000000004</v>
      </c>
      <c r="V234" s="41">
        <f>T234/X234</f>
        <v>333082.36000000004</v>
      </c>
      <c r="W234" s="41">
        <f>V234*AU234</f>
        <v>666164.72000000009</v>
      </c>
      <c r="X234" s="41">
        <f t="shared" si="39"/>
        <v>242</v>
      </c>
      <c r="Y234" s="41">
        <v>242</v>
      </c>
      <c r="Z234" s="41">
        <v>0</v>
      </c>
      <c r="AA234" s="41">
        <v>0</v>
      </c>
      <c r="AB234" s="41">
        <v>0</v>
      </c>
      <c r="AC234" s="41">
        <f t="shared" si="35"/>
        <v>0</v>
      </c>
      <c r="AD234" s="41">
        <v>0</v>
      </c>
      <c r="AE234" s="41">
        <f t="shared" si="36"/>
        <v>0</v>
      </c>
      <c r="AF234" s="41">
        <f>X234/AU234</f>
        <v>121</v>
      </c>
      <c r="AG234" s="41">
        <f t="shared" si="40"/>
        <v>121</v>
      </c>
      <c r="AH234" s="36">
        <v>45352</v>
      </c>
      <c r="AI234" s="36"/>
      <c r="AJ234" s="36"/>
      <c r="AK234" s="36">
        <v>45383</v>
      </c>
      <c r="AL234" s="36"/>
      <c r="AM234" s="46"/>
      <c r="AN234" s="40" t="s">
        <v>1611</v>
      </c>
      <c r="AO234" s="40" t="s">
        <v>1612</v>
      </c>
      <c r="AP234" s="40" t="s">
        <v>1613</v>
      </c>
      <c r="AQ234" s="40" t="s">
        <v>293</v>
      </c>
      <c r="AR234" s="48">
        <v>0</v>
      </c>
      <c r="AS234" s="37">
        <v>100</v>
      </c>
      <c r="AT234" s="37" t="s">
        <v>343</v>
      </c>
      <c r="AU234" s="47">
        <v>2</v>
      </c>
      <c r="AV234" s="37" t="s">
        <v>60</v>
      </c>
      <c r="AW234" s="37">
        <v>10</v>
      </c>
      <c r="AX234" s="30">
        <f>(J234*10)/100</f>
        <v>8060593.1120000007</v>
      </c>
      <c r="AY234" s="40" t="s">
        <v>402</v>
      </c>
    </row>
    <row r="235" spans="1:51" ht="48.75" customHeight="1" x14ac:dyDescent="0.25">
      <c r="A235" s="59" t="s">
        <v>1614</v>
      </c>
      <c r="B235" s="60">
        <v>45315</v>
      </c>
      <c r="C235" s="40" t="s">
        <v>432</v>
      </c>
      <c r="D235" s="35" t="s">
        <v>1615</v>
      </c>
      <c r="E235" s="39" t="s">
        <v>1616</v>
      </c>
      <c r="F235" s="36">
        <v>45335</v>
      </c>
      <c r="G235" s="37" t="s">
        <v>1617</v>
      </c>
      <c r="H235" s="40" t="s">
        <v>53</v>
      </c>
      <c r="I235" s="40" t="s">
        <v>1618</v>
      </c>
      <c r="J235" s="61">
        <v>13141958.4</v>
      </c>
      <c r="K235" s="41">
        <v>0</v>
      </c>
      <c r="L235" s="54">
        <v>0</v>
      </c>
      <c r="M235" s="54">
        <v>0</v>
      </c>
      <c r="N235" s="42">
        <f t="shared" si="43"/>
        <v>0</v>
      </c>
      <c r="O235" s="43">
        <f t="shared" si="37"/>
        <v>0</v>
      </c>
      <c r="P235" s="41">
        <v>13141958.4</v>
      </c>
      <c r="Q235" s="43">
        <f t="shared" si="38"/>
        <v>0</v>
      </c>
      <c r="R235" s="41">
        <v>13141958.4</v>
      </c>
      <c r="S235" s="30">
        <f t="shared" si="42"/>
        <v>13141958.4</v>
      </c>
      <c r="T235" s="30">
        <f t="shared" si="41"/>
        <v>13141958.4</v>
      </c>
      <c r="U235" s="30">
        <f>T235/X235</f>
        <v>54.54</v>
      </c>
      <c r="V235" s="41">
        <f>T235/X235</f>
        <v>54.54</v>
      </c>
      <c r="W235" s="41">
        <f>V235*AU235</f>
        <v>3272.4</v>
      </c>
      <c r="X235" s="41">
        <f t="shared" si="39"/>
        <v>240960</v>
      </c>
      <c r="Y235" s="41">
        <v>178920</v>
      </c>
      <c r="Z235" s="41">
        <v>62040</v>
      </c>
      <c r="AA235" s="41">
        <v>0</v>
      </c>
      <c r="AB235" s="41">
        <v>0</v>
      </c>
      <c r="AC235" s="41">
        <f t="shared" si="35"/>
        <v>0</v>
      </c>
      <c r="AD235" s="41">
        <v>0</v>
      </c>
      <c r="AE235" s="41">
        <f t="shared" si="36"/>
        <v>0</v>
      </c>
      <c r="AF235" s="41">
        <f>X235/AU235</f>
        <v>4016</v>
      </c>
      <c r="AG235" s="41">
        <f t="shared" si="40"/>
        <v>4016</v>
      </c>
      <c r="AH235" s="36">
        <v>45444</v>
      </c>
      <c r="AI235" s="36">
        <v>45505</v>
      </c>
      <c r="AJ235" s="36"/>
      <c r="AK235" s="36">
        <v>45474</v>
      </c>
      <c r="AL235" s="36">
        <v>45536</v>
      </c>
      <c r="AM235" s="46"/>
      <c r="AN235" s="40" t="s">
        <v>1619</v>
      </c>
      <c r="AO235" s="40" t="s">
        <v>1620</v>
      </c>
      <c r="AP235" s="40" t="s">
        <v>1621</v>
      </c>
      <c r="AQ235" s="40" t="s">
        <v>92</v>
      </c>
      <c r="AR235" s="48">
        <v>0</v>
      </c>
      <c r="AS235" s="37">
        <v>100</v>
      </c>
      <c r="AT235" s="37" t="s">
        <v>386</v>
      </c>
      <c r="AU235" s="47">
        <v>60</v>
      </c>
      <c r="AV235" s="37" t="s">
        <v>60</v>
      </c>
      <c r="AW235" s="37">
        <v>10</v>
      </c>
      <c r="AX235" s="30">
        <f>(J235*10)/100</f>
        <v>1314195.8400000001</v>
      </c>
      <c r="AY235" s="40" t="s">
        <v>402</v>
      </c>
    </row>
    <row r="236" spans="1:51" ht="48.75" customHeight="1" x14ac:dyDescent="0.25">
      <c r="A236" s="59" t="s">
        <v>1622</v>
      </c>
      <c r="B236" s="60">
        <v>45315</v>
      </c>
      <c r="C236" s="40" t="s">
        <v>432</v>
      </c>
      <c r="D236" s="35" t="s">
        <v>1623</v>
      </c>
      <c r="E236" s="39" t="s">
        <v>1624</v>
      </c>
      <c r="F236" s="36">
        <v>45348</v>
      </c>
      <c r="G236" s="37" t="s">
        <v>1625</v>
      </c>
      <c r="H236" s="40" t="s">
        <v>53</v>
      </c>
      <c r="I236" s="40" t="s">
        <v>1626</v>
      </c>
      <c r="J236" s="61">
        <v>1645354403.7</v>
      </c>
      <c r="K236" s="41">
        <v>0</v>
      </c>
      <c r="L236" s="54">
        <v>0</v>
      </c>
      <c r="M236" s="54">
        <v>0</v>
      </c>
      <c r="N236" s="42">
        <f t="shared" si="43"/>
        <v>0</v>
      </c>
      <c r="O236" s="43">
        <f t="shared" si="37"/>
        <v>0</v>
      </c>
      <c r="P236" s="61">
        <v>1645354403.7</v>
      </c>
      <c r="Q236" s="43">
        <f t="shared" si="38"/>
        <v>0</v>
      </c>
      <c r="R236" s="61">
        <v>1645354403.7</v>
      </c>
      <c r="S236" s="30">
        <f t="shared" si="42"/>
        <v>1645354403.7</v>
      </c>
      <c r="T236" s="30">
        <f t="shared" si="41"/>
        <v>1645354403.7</v>
      </c>
      <c r="U236" s="30">
        <f>T236/X236</f>
        <v>37.67</v>
      </c>
      <c r="V236" s="41">
        <f>T236/X236</f>
        <v>37.67</v>
      </c>
      <c r="W236" s="41">
        <f>V236*AU236</f>
        <v>4520.4000000000005</v>
      </c>
      <c r="X236" s="41">
        <f t="shared" si="39"/>
        <v>43678110</v>
      </c>
      <c r="Y236" s="41">
        <v>21843330</v>
      </c>
      <c r="Z236" s="41">
        <v>21834780</v>
      </c>
      <c r="AA236" s="41">
        <v>0</v>
      </c>
      <c r="AB236" s="41">
        <v>0</v>
      </c>
      <c r="AC236" s="41">
        <f t="shared" si="35"/>
        <v>0</v>
      </c>
      <c r="AD236" s="41">
        <v>0</v>
      </c>
      <c r="AE236" s="41">
        <f t="shared" si="36"/>
        <v>0</v>
      </c>
      <c r="AF236" s="41">
        <f>X236/AU236</f>
        <v>363984.25</v>
      </c>
      <c r="AG236" s="41">
        <f t="shared" si="40"/>
        <v>363985</v>
      </c>
      <c r="AH236" s="36">
        <v>45352</v>
      </c>
      <c r="AI236" s="36">
        <v>45474</v>
      </c>
      <c r="AJ236" s="36"/>
      <c r="AK236" s="36"/>
      <c r="AL236" s="36">
        <v>45383</v>
      </c>
      <c r="AM236" s="46">
        <v>45505</v>
      </c>
      <c r="AN236" s="40" t="s">
        <v>1627</v>
      </c>
      <c r="AO236" s="40" t="s">
        <v>1628</v>
      </c>
      <c r="AP236" s="40" t="s">
        <v>1629</v>
      </c>
      <c r="AQ236" s="40" t="s">
        <v>80</v>
      </c>
      <c r="AR236" s="48">
        <v>100</v>
      </c>
      <c r="AS236" s="37">
        <v>0</v>
      </c>
      <c r="AT236" s="37" t="s">
        <v>386</v>
      </c>
      <c r="AU236" s="47">
        <v>120</v>
      </c>
      <c r="AV236" s="37" t="s">
        <v>60</v>
      </c>
      <c r="AW236" s="37">
        <v>10</v>
      </c>
      <c r="AX236" s="30">
        <f>(J236*10)/100</f>
        <v>164535440.37</v>
      </c>
      <c r="AY236" s="40" t="s">
        <v>402</v>
      </c>
    </row>
    <row r="237" spans="1:51" ht="48.75" customHeight="1" x14ac:dyDescent="0.25">
      <c r="A237" s="59" t="s">
        <v>1630</v>
      </c>
      <c r="B237" s="60">
        <v>45315</v>
      </c>
      <c r="C237" s="40" t="s">
        <v>432</v>
      </c>
      <c r="D237" s="35" t="s">
        <v>431</v>
      </c>
      <c r="E237" s="39" t="s">
        <v>1631</v>
      </c>
      <c r="F237" s="36" t="s">
        <v>431</v>
      </c>
      <c r="G237" s="37" t="s">
        <v>431</v>
      </c>
      <c r="H237" s="40" t="s">
        <v>431</v>
      </c>
      <c r="I237" s="40" t="s">
        <v>1632</v>
      </c>
      <c r="J237" s="61">
        <v>25002721.199999999</v>
      </c>
      <c r="K237" s="41">
        <v>0</v>
      </c>
      <c r="L237" s="54">
        <v>0</v>
      </c>
      <c r="M237" s="54">
        <v>0</v>
      </c>
      <c r="N237" s="42">
        <f t="shared" si="43"/>
        <v>100</v>
      </c>
      <c r="O237" s="43">
        <f t="shared" si="37"/>
        <v>25002721.199999999</v>
      </c>
      <c r="P237" s="41"/>
      <c r="Q237" s="43">
        <f t="shared" si="38"/>
        <v>25002721.199999999</v>
      </c>
      <c r="R237" s="41">
        <v>0</v>
      </c>
      <c r="S237" s="30">
        <f t="shared" si="42"/>
        <v>0</v>
      </c>
      <c r="T237" s="30">
        <f t="shared" si="41"/>
        <v>0</v>
      </c>
      <c r="U237" s="30" t="e">
        <f>T237/X237</f>
        <v>#DIV/0!</v>
      </c>
      <c r="V237" s="41" t="e">
        <f>T237/X237</f>
        <v>#DIV/0!</v>
      </c>
      <c r="W237" s="41" t="e">
        <f>V237*AU237</f>
        <v>#DIV/0!</v>
      </c>
      <c r="X237" s="41">
        <f t="shared" si="39"/>
        <v>0</v>
      </c>
      <c r="Y237" s="41">
        <v>0</v>
      </c>
      <c r="Z237" s="41">
        <v>0</v>
      </c>
      <c r="AA237" s="41">
        <v>0</v>
      </c>
      <c r="AB237" s="41"/>
      <c r="AC237" s="41" t="e">
        <f t="shared" si="35"/>
        <v>#DIV/0!</v>
      </c>
      <c r="AD237" s="41"/>
      <c r="AE237" s="41" t="e">
        <f t="shared" si="36"/>
        <v>#DIV/0!</v>
      </c>
      <c r="AF237" s="41" t="e">
        <f>X237/AU237</f>
        <v>#DIV/0!</v>
      </c>
      <c r="AG237" s="41" t="e">
        <f t="shared" si="40"/>
        <v>#DIV/0!</v>
      </c>
      <c r="AH237" s="36">
        <v>45383</v>
      </c>
      <c r="AI237" s="36"/>
      <c r="AJ237" s="36"/>
      <c r="AK237" s="36"/>
      <c r="AL237" s="36"/>
      <c r="AM237" s="46"/>
      <c r="AN237" s="40"/>
      <c r="AO237" s="40"/>
      <c r="AP237" s="40"/>
      <c r="AQ237" s="40"/>
      <c r="AR237" s="48"/>
      <c r="AS237" s="37"/>
      <c r="AT237" s="37"/>
      <c r="AU237" s="47"/>
      <c r="AV237" s="37"/>
      <c r="AW237" s="37">
        <v>10</v>
      </c>
      <c r="AX237" s="30">
        <f>(J237*10)/100</f>
        <v>2500272.12</v>
      </c>
      <c r="AY237" s="40" t="s">
        <v>431</v>
      </c>
    </row>
    <row r="238" spans="1:51" ht="48.75" customHeight="1" x14ac:dyDescent="0.25">
      <c r="A238" s="59" t="s">
        <v>1633</v>
      </c>
      <c r="B238" s="60">
        <v>45315</v>
      </c>
      <c r="C238" s="40" t="s">
        <v>432</v>
      </c>
      <c r="D238" s="35" t="s">
        <v>1634</v>
      </c>
      <c r="E238" s="39" t="s">
        <v>1635</v>
      </c>
      <c r="F238" s="36">
        <v>45335</v>
      </c>
      <c r="G238" s="37" t="s">
        <v>1636</v>
      </c>
      <c r="H238" s="57" t="s">
        <v>1637</v>
      </c>
      <c r="I238" s="40" t="s">
        <v>1638</v>
      </c>
      <c r="J238" s="61">
        <v>12275383.800000001</v>
      </c>
      <c r="K238" s="41">
        <v>0</v>
      </c>
      <c r="L238" s="54">
        <v>0</v>
      </c>
      <c r="M238" s="54">
        <v>0</v>
      </c>
      <c r="N238" s="42">
        <f t="shared" si="43"/>
        <v>2.5715204114432657</v>
      </c>
      <c r="O238" s="43">
        <f t="shared" si="37"/>
        <v>315664</v>
      </c>
      <c r="P238" s="41">
        <v>11959719.800000001</v>
      </c>
      <c r="Q238" s="43">
        <f t="shared" si="38"/>
        <v>315664</v>
      </c>
      <c r="R238" s="41">
        <v>11959719.800000001</v>
      </c>
      <c r="S238" s="30">
        <f t="shared" si="42"/>
        <v>11959719.800000001</v>
      </c>
      <c r="T238" s="30">
        <f t="shared" si="41"/>
        <v>11959719.800000001</v>
      </c>
      <c r="U238" s="30">
        <f>T238/X238</f>
        <v>30.310000000000002</v>
      </c>
      <c r="V238" s="41">
        <f>T238/X238</f>
        <v>30.310000000000002</v>
      </c>
      <c r="W238" s="41">
        <f>V238*AU238</f>
        <v>606.20000000000005</v>
      </c>
      <c r="X238" s="41">
        <f t="shared" si="39"/>
        <v>394580</v>
      </c>
      <c r="Y238" s="41">
        <v>394580</v>
      </c>
      <c r="Z238" s="41">
        <v>0</v>
      </c>
      <c r="AA238" s="41">
        <v>0</v>
      </c>
      <c r="AB238" s="41">
        <v>0</v>
      </c>
      <c r="AC238" s="41">
        <f t="shared" si="35"/>
        <v>0</v>
      </c>
      <c r="AD238" s="41">
        <v>0</v>
      </c>
      <c r="AE238" s="41">
        <f t="shared" si="36"/>
        <v>0</v>
      </c>
      <c r="AF238" s="41">
        <f>X238/AU238</f>
        <v>19729</v>
      </c>
      <c r="AG238" s="41">
        <f t="shared" si="40"/>
        <v>19729</v>
      </c>
      <c r="AH238" s="36">
        <v>45383</v>
      </c>
      <c r="AI238" s="36"/>
      <c r="AJ238" s="36"/>
      <c r="AK238" s="36">
        <v>45413</v>
      </c>
      <c r="AL238" s="36"/>
      <c r="AM238" s="46"/>
      <c r="AN238" s="40" t="s">
        <v>1639</v>
      </c>
      <c r="AO238" s="40" t="s">
        <v>1640</v>
      </c>
      <c r="AP238" s="40" t="s">
        <v>1641</v>
      </c>
      <c r="AQ238" s="40" t="s">
        <v>80</v>
      </c>
      <c r="AR238" s="48">
        <v>100</v>
      </c>
      <c r="AS238" s="37">
        <v>0</v>
      </c>
      <c r="AT238" s="37" t="s">
        <v>386</v>
      </c>
      <c r="AU238" s="47">
        <v>20</v>
      </c>
      <c r="AV238" s="37" t="s">
        <v>60</v>
      </c>
      <c r="AW238" s="37">
        <v>10</v>
      </c>
      <c r="AX238" s="30">
        <f>(J238*10)/100</f>
        <v>1227538.3799999999</v>
      </c>
      <c r="AY238" s="40" t="s">
        <v>402</v>
      </c>
    </row>
    <row r="239" spans="1:51" ht="48.75" customHeight="1" x14ac:dyDescent="0.25">
      <c r="A239" s="59" t="s">
        <v>1642</v>
      </c>
      <c r="B239" s="60">
        <v>45315</v>
      </c>
      <c r="C239" s="40" t="s">
        <v>432</v>
      </c>
      <c r="D239" s="35" t="s">
        <v>1643</v>
      </c>
      <c r="E239" s="39" t="s">
        <v>1644</v>
      </c>
      <c r="F239" s="36">
        <v>45335</v>
      </c>
      <c r="G239" s="37" t="s">
        <v>1645</v>
      </c>
      <c r="H239" s="40" t="s">
        <v>224</v>
      </c>
      <c r="I239" s="40" t="s">
        <v>1646</v>
      </c>
      <c r="J239" s="61">
        <v>901309.5</v>
      </c>
      <c r="K239" s="41">
        <v>0</v>
      </c>
      <c r="L239" s="54">
        <v>0</v>
      </c>
      <c r="M239" s="54">
        <v>0</v>
      </c>
      <c r="N239" s="42">
        <f t="shared" si="43"/>
        <v>0</v>
      </c>
      <c r="O239" s="43">
        <f t="shared" si="37"/>
        <v>0</v>
      </c>
      <c r="P239" s="41">
        <v>901309.5</v>
      </c>
      <c r="Q239" s="43">
        <f t="shared" si="38"/>
        <v>0</v>
      </c>
      <c r="R239" s="41">
        <v>901309.5</v>
      </c>
      <c r="S239" s="30">
        <f t="shared" si="42"/>
        <v>901309.5</v>
      </c>
      <c r="T239" s="30">
        <f t="shared" si="41"/>
        <v>901309.5</v>
      </c>
      <c r="U239" s="30">
        <f>T239/X239</f>
        <v>4.97</v>
      </c>
      <c r="V239" s="41">
        <f>T239/X239</f>
        <v>4.97</v>
      </c>
      <c r="W239" s="41">
        <f>V239*AU239</f>
        <v>298.2</v>
      </c>
      <c r="X239" s="41">
        <f t="shared" si="39"/>
        <v>181350</v>
      </c>
      <c r="Y239" s="41">
        <v>181350</v>
      </c>
      <c r="Z239" s="41">
        <v>0</v>
      </c>
      <c r="AA239" s="41">
        <v>0</v>
      </c>
      <c r="AB239" s="41">
        <v>0</v>
      </c>
      <c r="AC239" s="41">
        <f t="shared" si="35"/>
        <v>0</v>
      </c>
      <c r="AD239" s="41">
        <v>0</v>
      </c>
      <c r="AE239" s="41">
        <f t="shared" si="36"/>
        <v>0</v>
      </c>
      <c r="AF239" s="41">
        <f>X239/AU239</f>
        <v>3022.5</v>
      </c>
      <c r="AG239" s="41">
        <f t="shared" si="40"/>
        <v>3023</v>
      </c>
      <c r="AH239" s="36">
        <v>45383</v>
      </c>
      <c r="AI239" s="36"/>
      <c r="AJ239" s="36"/>
      <c r="AK239" s="36">
        <v>45413</v>
      </c>
      <c r="AL239" s="36"/>
      <c r="AM239" s="46"/>
      <c r="AN239" s="40" t="s">
        <v>1647</v>
      </c>
      <c r="AO239" s="40" t="s">
        <v>1648</v>
      </c>
      <c r="AP239" s="40" t="s">
        <v>1649</v>
      </c>
      <c r="AQ239" s="40" t="s">
        <v>80</v>
      </c>
      <c r="AR239" s="48">
        <v>100</v>
      </c>
      <c r="AS239" s="37">
        <v>0</v>
      </c>
      <c r="AT239" s="37" t="s">
        <v>386</v>
      </c>
      <c r="AU239" s="47">
        <v>60</v>
      </c>
      <c r="AV239" s="37" t="s">
        <v>219</v>
      </c>
      <c r="AW239" s="37">
        <v>10</v>
      </c>
      <c r="AX239" s="30">
        <f>(J239*10)/100</f>
        <v>90130.95</v>
      </c>
      <c r="AY239" s="40" t="s">
        <v>402</v>
      </c>
    </row>
    <row r="240" spans="1:51" ht="48.75" customHeight="1" x14ac:dyDescent="0.25">
      <c r="A240" s="59" t="s">
        <v>1650</v>
      </c>
      <c r="B240" s="60">
        <v>45315</v>
      </c>
      <c r="C240" s="40" t="s">
        <v>432</v>
      </c>
      <c r="D240" s="35" t="s">
        <v>1651</v>
      </c>
      <c r="E240" s="39" t="s">
        <v>1652</v>
      </c>
      <c r="F240" s="36">
        <v>45343</v>
      </c>
      <c r="G240" s="37" t="s">
        <v>1653</v>
      </c>
      <c r="H240" s="40" t="s">
        <v>1654</v>
      </c>
      <c r="I240" s="40" t="s">
        <v>1655</v>
      </c>
      <c r="J240" s="61">
        <v>62961254.399999999</v>
      </c>
      <c r="K240" s="41">
        <v>0</v>
      </c>
      <c r="L240" s="54">
        <v>0</v>
      </c>
      <c r="M240" s="54">
        <v>0</v>
      </c>
      <c r="N240" s="42">
        <f t="shared" si="43"/>
        <v>1.1718749999999929</v>
      </c>
      <c r="O240" s="43">
        <f t="shared" si="37"/>
        <v>737827.19999999553</v>
      </c>
      <c r="P240" s="41">
        <v>62223427.200000003</v>
      </c>
      <c r="Q240" s="43">
        <f t="shared" si="38"/>
        <v>737827.19999999553</v>
      </c>
      <c r="R240" s="41">
        <v>62223427.200000003</v>
      </c>
      <c r="S240" s="30">
        <f t="shared" si="42"/>
        <v>62223427.200000003</v>
      </c>
      <c r="T240" s="30">
        <f t="shared" si="41"/>
        <v>62223427.200000003</v>
      </c>
      <c r="U240" s="30">
        <f>T240/X240</f>
        <v>27.830000000000002</v>
      </c>
      <c r="V240" s="41">
        <f>T240/X240</f>
        <v>27.830000000000002</v>
      </c>
      <c r="W240" s="41">
        <f>V240*AU240</f>
        <v>556.6</v>
      </c>
      <c r="X240" s="41">
        <f t="shared" si="39"/>
        <v>2235840</v>
      </c>
      <c r="Y240" s="41">
        <v>846360</v>
      </c>
      <c r="Z240" s="41">
        <v>1389480</v>
      </c>
      <c r="AA240" s="41">
        <v>0</v>
      </c>
      <c r="AB240" s="41">
        <v>0</v>
      </c>
      <c r="AC240" s="41">
        <f t="shared" si="35"/>
        <v>0</v>
      </c>
      <c r="AD240" s="41">
        <v>0</v>
      </c>
      <c r="AE240" s="41">
        <f t="shared" si="36"/>
        <v>0</v>
      </c>
      <c r="AF240" s="41">
        <f>X240/AU240</f>
        <v>111792</v>
      </c>
      <c r="AG240" s="41">
        <f t="shared" si="40"/>
        <v>111792</v>
      </c>
      <c r="AH240" s="36">
        <v>45383</v>
      </c>
      <c r="AI240" s="36">
        <v>45444</v>
      </c>
      <c r="AJ240" s="36"/>
      <c r="AK240" s="36">
        <v>45413</v>
      </c>
      <c r="AL240" s="36">
        <v>45474</v>
      </c>
      <c r="AM240" s="46"/>
      <c r="AN240" s="40" t="s">
        <v>1656</v>
      </c>
      <c r="AO240" s="40" t="s">
        <v>1657</v>
      </c>
      <c r="AP240" s="40" t="s">
        <v>1658</v>
      </c>
      <c r="AQ240" s="40" t="s">
        <v>80</v>
      </c>
      <c r="AR240" s="48">
        <v>100</v>
      </c>
      <c r="AS240" s="37">
        <v>0</v>
      </c>
      <c r="AT240" s="37" t="s">
        <v>386</v>
      </c>
      <c r="AU240" s="47">
        <v>20</v>
      </c>
      <c r="AV240" s="37" t="s">
        <v>60</v>
      </c>
      <c r="AW240" s="37">
        <v>10</v>
      </c>
      <c r="AX240" s="30">
        <f>(J240*10)/100</f>
        <v>6296125.4400000004</v>
      </c>
      <c r="AY240" s="40" t="s">
        <v>402</v>
      </c>
    </row>
    <row r="241" spans="1:51" ht="48.75" customHeight="1" x14ac:dyDescent="0.25">
      <c r="A241" s="59" t="s">
        <v>1659</v>
      </c>
      <c r="B241" s="60">
        <v>45315</v>
      </c>
      <c r="C241" s="40" t="s">
        <v>432</v>
      </c>
      <c r="D241" s="37" t="s">
        <v>431</v>
      </c>
      <c r="E241" s="39" t="s">
        <v>1660</v>
      </c>
      <c r="F241" s="37" t="s">
        <v>431</v>
      </c>
      <c r="G241" s="37" t="s">
        <v>431</v>
      </c>
      <c r="H241" s="37" t="s">
        <v>431</v>
      </c>
      <c r="I241" s="40" t="s">
        <v>1661</v>
      </c>
      <c r="J241" s="61">
        <v>21929927.280000001</v>
      </c>
      <c r="K241" s="41">
        <v>0</v>
      </c>
      <c r="L241" s="54">
        <v>0</v>
      </c>
      <c r="M241" s="54">
        <v>0</v>
      </c>
      <c r="N241" s="42">
        <f t="shared" si="43"/>
        <v>100</v>
      </c>
      <c r="O241" s="43">
        <f t="shared" si="37"/>
        <v>21929927.280000001</v>
      </c>
      <c r="P241" s="41"/>
      <c r="Q241" s="43">
        <f t="shared" si="38"/>
        <v>21929927.280000001</v>
      </c>
      <c r="R241" s="41">
        <v>0</v>
      </c>
      <c r="S241" s="30">
        <f t="shared" si="42"/>
        <v>0</v>
      </c>
      <c r="T241" s="30">
        <f t="shared" si="41"/>
        <v>0</v>
      </c>
      <c r="U241" s="30" t="e">
        <f>T241/X241</f>
        <v>#DIV/0!</v>
      </c>
      <c r="V241" s="41" t="e">
        <f>T241/X241</f>
        <v>#DIV/0!</v>
      </c>
      <c r="W241" s="41" t="e">
        <f>V241*AU241</f>
        <v>#DIV/0!</v>
      </c>
      <c r="X241" s="41">
        <f t="shared" si="39"/>
        <v>0</v>
      </c>
      <c r="Y241" s="41">
        <v>0</v>
      </c>
      <c r="Z241" s="41">
        <v>0</v>
      </c>
      <c r="AA241" s="41">
        <v>0</v>
      </c>
      <c r="AB241" s="41"/>
      <c r="AC241" s="41" t="e">
        <f t="shared" si="35"/>
        <v>#DIV/0!</v>
      </c>
      <c r="AD241" s="41"/>
      <c r="AE241" s="41" t="e">
        <f t="shared" si="36"/>
        <v>#DIV/0!</v>
      </c>
      <c r="AF241" s="41" t="e">
        <f>X241/AU241</f>
        <v>#DIV/0!</v>
      </c>
      <c r="AG241" s="41" t="e">
        <f t="shared" si="40"/>
        <v>#DIV/0!</v>
      </c>
      <c r="AH241" s="36">
        <v>45382</v>
      </c>
      <c r="AI241" s="36"/>
      <c r="AJ241" s="36"/>
      <c r="AK241" s="36"/>
      <c r="AL241" s="36"/>
      <c r="AM241" s="46"/>
      <c r="AN241" s="40"/>
      <c r="AO241" s="40"/>
      <c r="AP241" s="40"/>
      <c r="AQ241" s="40"/>
      <c r="AR241" s="48"/>
      <c r="AS241" s="37"/>
      <c r="AT241" s="37"/>
      <c r="AU241" s="47"/>
      <c r="AV241" s="37"/>
      <c r="AW241" s="37">
        <v>10</v>
      </c>
      <c r="AX241" s="30">
        <f>(J241*10)/100</f>
        <v>2192992.7280000001</v>
      </c>
      <c r="AY241" s="40" t="s">
        <v>431</v>
      </c>
    </row>
    <row r="242" spans="1:51" ht="48.75" customHeight="1" x14ac:dyDescent="0.25">
      <c r="A242" s="59" t="s">
        <v>1662</v>
      </c>
      <c r="B242" s="60">
        <v>45315</v>
      </c>
      <c r="C242" s="40" t="s">
        <v>432</v>
      </c>
      <c r="D242" s="37" t="s">
        <v>431</v>
      </c>
      <c r="E242" s="39" t="s">
        <v>1663</v>
      </c>
      <c r="F242" s="37" t="s">
        <v>431</v>
      </c>
      <c r="G242" s="37" t="s">
        <v>431</v>
      </c>
      <c r="H242" s="37" t="s">
        <v>431</v>
      </c>
      <c r="I242" s="40" t="s">
        <v>1664</v>
      </c>
      <c r="J242" s="61">
        <v>187929721.19999999</v>
      </c>
      <c r="K242" s="41">
        <v>0</v>
      </c>
      <c r="L242" s="54">
        <v>0</v>
      </c>
      <c r="M242" s="54">
        <v>0</v>
      </c>
      <c r="N242" s="42">
        <f t="shared" si="43"/>
        <v>100</v>
      </c>
      <c r="O242" s="43">
        <f t="shared" si="37"/>
        <v>187929721.19999999</v>
      </c>
      <c r="P242" s="41"/>
      <c r="Q242" s="43">
        <f t="shared" si="38"/>
        <v>187929721.19999999</v>
      </c>
      <c r="R242" s="41">
        <v>0</v>
      </c>
      <c r="S242" s="30">
        <f t="shared" si="42"/>
        <v>0</v>
      </c>
      <c r="T242" s="30">
        <f t="shared" si="41"/>
        <v>0</v>
      </c>
      <c r="U242" s="30" t="e">
        <f>T242/X242</f>
        <v>#DIV/0!</v>
      </c>
      <c r="V242" s="41" t="e">
        <f>T242/X242</f>
        <v>#DIV/0!</v>
      </c>
      <c r="W242" s="41" t="e">
        <f>V242*AU242</f>
        <v>#DIV/0!</v>
      </c>
      <c r="X242" s="41">
        <f t="shared" si="39"/>
        <v>0</v>
      </c>
      <c r="Y242" s="41">
        <v>0</v>
      </c>
      <c r="Z242" s="41">
        <v>0</v>
      </c>
      <c r="AA242" s="41">
        <v>0</v>
      </c>
      <c r="AB242" s="41"/>
      <c r="AC242" s="41" t="e">
        <f t="shared" si="35"/>
        <v>#DIV/0!</v>
      </c>
      <c r="AD242" s="41"/>
      <c r="AE242" s="41" t="e">
        <f t="shared" si="36"/>
        <v>#DIV/0!</v>
      </c>
      <c r="AF242" s="41" t="e">
        <f>X242/AU242</f>
        <v>#DIV/0!</v>
      </c>
      <c r="AG242" s="41" t="e">
        <f t="shared" si="40"/>
        <v>#DIV/0!</v>
      </c>
      <c r="AH242" s="36">
        <v>45382</v>
      </c>
      <c r="AI242" s="36"/>
      <c r="AJ242" s="36"/>
      <c r="AK242" s="36"/>
      <c r="AL242" s="36"/>
      <c r="AM242" s="46"/>
      <c r="AN242" s="40"/>
      <c r="AO242" s="40"/>
      <c r="AP242" s="40"/>
      <c r="AQ242" s="40"/>
      <c r="AR242" s="48"/>
      <c r="AS242" s="37"/>
      <c r="AT242" s="37"/>
      <c r="AU242" s="47"/>
      <c r="AV242" s="37"/>
      <c r="AW242" s="37">
        <v>10</v>
      </c>
      <c r="AX242" s="30">
        <f>(J242*10)/100</f>
        <v>18792972.120000001</v>
      </c>
      <c r="AY242" s="40" t="s">
        <v>431</v>
      </c>
    </row>
    <row r="243" spans="1:51" ht="48.75" customHeight="1" x14ac:dyDescent="0.25">
      <c r="A243" s="59" t="s">
        <v>1665</v>
      </c>
      <c r="B243" s="60">
        <v>45315</v>
      </c>
      <c r="C243" s="40" t="s">
        <v>432</v>
      </c>
      <c r="D243" s="37" t="s">
        <v>431</v>
      </c>
      <c r="E243" s="39" t="s">
        <v>1666</v>
      </c>
      <c r="F243" s="37" t="s">
        <v>431</v>
      </c>
      <c r="G243" s="37" t="s">
        <v>431</v>
      </c>
      <c r="H243" s="37" t="s">
        <v>431</v>
      </c>
      <c r="I243" s="40" t="s">
        <v>1667</v>
      </c>
      <c r="J243" s="61">
        <v>35170380</v>
      </c>
      <c r="K243" s="41">
        <v>0</v>
      </c>
      <c r="L243" s="54">
        <v>0</v>
      </c>
      <c r="M243" s="54">
        <v>0</v>
      </c>
      <c r="N243" s="42">
        <f t="shared" si="43"/>
        <v>100</v>
      </c>
      <c r="O243" s="43">
        <f t="shared" si="37"/>
        <v>35170380</v>
      </c>
      <c r="P243" s="41"/>
      <c r="Q243" s="43">
        <f t="shared" si="38"/>
        <v>35170380</v>
      </c>
      <c r="R243" s="41">
        <v>0</v>
      </c>
      <c r="S243" s="30">
        <f t="shared" si="42"/>
        <v>0</v>
      </c>
      <c r="T243" s="30">
        <f t="shared" si="41"/>
        <v>0</v>
      </c>
      <c r="U243" s="30" t="e">
        <f>T243/X243</f>
        <v>#DIV/0!</v>
      </c>
      <c r="V243" s="41" t="e">
        <f>T243/X243</f>
        <v>#DIV/0!</v>
      </c>
      <c r="W243" s="41" t="e">
        <f>V243*AU243</f>
        <v>#DIV/0!</v>
      </c>
      <c r="X243" s="41">
        <f t="shared" si="39"/>
        <v>0</v>
      </c>
      <c r="Y243" s="41">
        <v>0</v>
      </c>
      <c r="Z243" s="41">
        <v>0</v>
      </c>
      <c r="AA243" s="41">
        <v>0</v>
      </c>
      <c r="AB243" s="41"/>
      <c r="AC243" s="41" t="e">
        <f t="shared" si="35"/>
        <v>#DIV/0!</v>
      </c>
      <c r="AD243" s="41"/>
      <c r="AE243" s="41" t="e">
        <f t="shared" si="36"/>
        <v>#DIV/0!</v>
      </c>
      <c r="AF243" s="41" t="e">
        <f>X243/AU243</f>
        <v>#DIV/0!</v>
      </c>
      <c r="AG243" s="41" t="e">
        <f t="shared" si="40"/>
        <v>#DIV/0!</v>
      </c>
      <c r="AH243" s="36">
        <v>45383</v>
      </c>
      <c r="AI243" s="36"/>
      <c r="AJ243" s="36"/>
      <c r="AK243" s="36"/>
      <c r="AL243" s="36"/>
      <c r="AM243" s="46"/>
      <c r="AN243" s="40"/>
      <c r="AO243" s="40"/>
      <c r="AP243" s="40"/>
      <c r="AQ243" s="40"/>
      <c r="AR243" s="48"/>
      <c r="AS243" s="37"/>
      <c r="AT243" s="37"/>
      <c r="AU243" s="47"/>
      <c r="AV243" s="37"/>
      <c r="AW243" s="37">
        <v>10</v>
      </c>
      <c r="AX243" s="30">
        <f>(J243*10)/100</f>
        <v>3517038</v>
      </c>
      <c r="AY243" s="40" t="s">
        <v>431</v>
      </c>
    </row>
    <row r="244" spans="1:51" ht="48.75" customHeight="1" x14ac:dyDescent="0.25">
      <c r="A244" s="59" t="s">
        <v>1668</v>
      </c>
      <c r="B244" s="60">
        <v>45315</v>
      </c>
      <c r="C244" s="40" t="s">
        <v>432</v>
      </c>
      <c r="D244" s="37" t="s">
        <v>431</v>
      </c>
      <c r="E244" s="39" t="s">
        <v>1669</v>
      </c>
      <c r="F244" s="37" t="s">
        <v>431</v>
      </c>
      <c r="G244" s="37" t="s">
        <v>431</v>
      </c>
      <c r="H244" s="37" t="s">
        <v>431</v>
      </c>
      <c r="I244" s="40" t="s">
        <v>1670</v>
      </c>
      <c r="J244" s="61">
        <v>1138737.6000000001</v>
      </c>
      <c r="K244" s="41">
        <v>0</v>
      </c>
      <c r="L244" s="54">
        <v>0</v>
      </c>
      <c r="M244" s="54">
        <v>0</v>
      </c>
      <c r="N244" s="42">
        <f t="shared" si="43"/>
        <v>100</v>
      </c>
      <c r="O244" s="43">
        <f t="shared" si="37"/>
        <v>1138737.6000000001</v>
      </c>
      <c r="P244" s="41"/>
      <c r="Q244" s="43">
        <f t="shared" si="38"/>
        <v>1138737.6000000001</v>
      </c>
      <c r="R244" s="41">
        <v>0</v>
      </c>
      <c r="S244" s="30">
        <f t="shared" si="42"/>
        <v>0</v>
      </c>
      <c r="T244" s="30">
        <f t="shared" si="41"/>
        <v>0</v>
      </c>
      <c r="U244" s="30" t="e">
        <f>T244/X244</f>
        <v>#DIV/0!</v>
      </c>
      <c r="V244" s="41" t="e">
        <f>T244/X244</f>
        <v>#DIV/0!</v>
      </c>
      <c r="W244" s="41" t="e">
        <f>V244*AU244</f>
        <v>#DIV/0!</v>
      </c>
      <c r="X244" s="41">
        <f t="shared" si="39"/>
        <v>0</v>
      </c>
      <c r="Y244" s="41">
        <v>0</v>
      </c>
      <c r="Z244" s="41">
        <v>0</v>
      </c>
      <c r="AA244" s="41">
        <v>0</v>
      </c>
      <c r="AB244" s="41"/>
      <c r="AC244" s="41" t="e">
        <f t="shared" si="35"/>
        <v>#DIV/0!</v>
      </c>
      <c r="AD244" s="41"/>
      <c r="AE244" s="41" t="e">
        <f t="shared" si="36"/>
        <v>#DIV/0!</v>
      </c>
      <c r="AF244" s="41" t="e">
        <f>X244/AU244</f>
        <v>#DIV/0!</v>
      </c>
      <c r="AG244" s="41" t="e">
        <f t="shared" si="40"/>
        <v>#DIV/0!</v>
      </c>
      <c r="AH244" s="36">
        <v>45383</v>
      </c>
      <c r="AI244" s="36"/>
      <c r="AJ244" s="36"/>
      <c r="AK244" s="36"/>
      <c r="AL244" s="36"/>
      <c r="AM244" s="46"/>
      <c r="AN244" s="40"/>
      <c r="AO244" s="40"/>
      <c r="AP244" s="40"/>
      <c r="AQ244" s="40"/>
      <c r="AR244" s="48"/>
      <c r="AS244" s="37"/>
      <c r="AT244" s="37"/>
      <c r="AU244" s="47"/>
      <c r="AV244" s="37"/>
      <c r="AW244" s="37">
        <v>10</v>
      </c>
      <c r="AX244" s="30">
        <f>(J244*10)/100</f>
        <v>113873.76</v>
      </c>
      <c r="AY244" s="40" t="s">
        <v>431</v>
      </c>
    </row>
    <row r="245" spans="1:51" ht="48.75" customHeight="1" x14ac:dyDescent="0.25">
      <c r="A245" s="59" t="s">
        <v>1671</v>
      </c>
      <c r="B245" s="60">
        <v>45315</v>
      </c>
      <c r="C245" s="40" t="s">
        <v>432</v>
      </c>
      <c r="D245" s="35" t="s">
        <v>1672</v>
      </c>
      <c r="E245" s="39" t="s">
        <v>1673</v>
      </c>
      <c r="F245" s="36">
        <v>45335</v>
      </c>
      <c r="G245" s="37" t="s">
        <v>1674</v>
      </c>
      <c r="H245" s="40" t="s">
        <v>203</v>
      </c>
      <c r="I245" s="40" t="s">
        <v>1675</v>
      </c>
      <c r="J245" s="61">
        <v>8321227.2000000002</v>
      </c>
      <c r="K245" s="41">
        <v>0</v>
      </c>
      <c r="L245" s="54">
        <v>0</v>
      </c>
      <c r="M245" s="54">
        <v>0</v>
      </c>
      <c r="N245" s="42">
        <f t="shared" si="43"/>
        <v>0</v>
      </c>
      <c r="O245" s="43">
        <f t="shared" si="37"/>
        <v>0</v>
      </c>
      <c r="P245" s="41">
        <v>8321227.2000000002</v>
      </c>
      <c r="Q245" s="43">
        <f t="shared" si="38"/>
        <v>0</v>
      </c>
      <c r="R245" s="41">
        <v>8321227.2000000002</v>
      </c>
      <c r="S245" s="30">
        <f t="shared" si="42"/>
        <v>8321227.2000000002</v>
      </c>
      <c r="T245" s="30">
        <f t="shared" si="41"/>
        <v>8321227.2000000002</v>
      </c>
      <c r="U245" s="30">
        <f>T245/X245</f>
        <v>25.740000000000002</v>
      </c>
      <c r="V245" s="41">
        <f>T245/X245</f>
        <v>25.740000000000002</v>
      </c>
      <c r="W245" s="41">
        <f>V245*AU245</f>
        <v>1544.4</v>
      </c>
      <c r="X245" s="41">
        <f t="shared" si="39"/>
        <v>323280</v>
      </c>
      <c r="Y245" s="41">
        <v>323280</v>
      </c>
      <c r="Z245" s="41">
        <v>0</v>
      </c>
      <c r="AA245" s="41">
        <v>0</v>
      </c>
      <c r="AB245" s="41">
        <v>0</v>
      </c>
      <c r="AC245" s="41">
        <f t="shared" si="35"/>
        <v>0</v>
      </c>
      <c r="AD245" s="41">
        <v>0</v>
      </c>
      <c r="AE245" s="41">
        <f t="shared" si="36"/>
        <v>0</v>
      </c>
      <c r="AF245" s="41">
        <f>X245/AU245</f>
        <v>5388</v>
      </c>
      <c r="AG245" s="41">
        <f t="shared" si="40"/>
        <v>5388</v>
      </c>
      <c r="AH245" s="36">
        <v>45382</v>
      </c>
      <c r="AI245" s="36"/>
      <c r="AJ245" s="36"/>
      <c r="AK245" s="36">
        <v>45413</v>
      </c>
      <c r="AL245" s="36"/>
      <c r="AM245" s="46"/>
      <c r="AN245" s="40" t="s">
        <v>1676</v>
      </c>
      <c r="AO245" s="40" t="s">
        <v>1677</v>
      </c>
      <c r="AP245" s="40" t="s">
        <v>1678</v>
      </c>
      <c r="AQ245" s="40" t="s">
        <v>80</v>
      </c>
      <c r="AR245" s="48">
        <v>100</v>
      </c>
      <c r="AS245" s="37">
        <v>0</v>
      </c>
      <c r="AT245" s="37" t="s">
        <v>386</v>
      </c>
      <c r="AU245" s="47">
        <v>60</v>
      </c>
      <c r="AV245" s="37" t="s">
        <v>219</v>
      </c>
      <c r="AW245" s="37">
        <v>10</v>
      </c>
      <c r="AX245" s="30">
        <f>(J245*10)/100</f>
        <v>832122.72</v>
      </c>
      <c r="AY245" s="40" t="s">
        <v>402</v>
      </c>
    </row>
    <row r="246" spans="1:51" ht="48.75" customHeight="1" x14ac:dyDescent="0.25">
      <c r="A246" s="59" t="s">
        <v>1679</v>
      </c>
      <c r="B246" s="60">
        <v>45315</v>
      </c>
      <c r="C246" s="40" t="s">
        <v>432</v>
      </c>
      <c r="D246" s="35" t="s">
        <v>1680</v>
      </c>
      <c r="E246" s="39" t="s">
        <v>1681</v>
      </c>
      <c r="F246" s="36">
        <v>45335</v>
      </c>
      <c r="G246" s="37" t="s">
        <v>1682</v>
      </c>
      <c r="H246" s="40" t="s">
        <v>203</v>
      </c>
      <c r="I246" s="40" t="s">
        <v>1683</v>
      </c>
      <c r="J246" s="61">
        <v>7038016</v>
      </c>
      <c r="K246" s="41">
        <v>0</v>
      </c>
      <c r="L246" s="54">
        <v>0</v>
      </c>
      <c r="M246" s="54">
        <v>0</v>
      </c>
      <c r="N246" s="42">
        <f t="shared" si="43"/>
        <v>0</v>
      </c>
      <c r="O246" s="43">
        <f t="shared" si="37"/>
        <v>0</v>
      </c>
      <c r="P246" s="41">
        <v>7038016</v>
      </c>
      <c r="Q246" s="43">
        <f t="shared" si="38"/>
        <v>0</v>
      </c>
      <c r="R246" s="41">
        <v>7038016</v>
      </c>
      <c r="S246" s="30">
        <v>6987200</v>
      </c>
      <c r="T246" s="30">
        <f t="shared" si="41"/>
        <v>6987200</v>
      </c>
      <c r="U246" s="30">
        <f>T246/X246</f>
        <v>11</v>
      </c>
      <c r="V246" s="41">
        <f>T246/X246</f>
        <v>11</v>
      </c>
      <c r="W246" s="41">
        <f>V246*AU246</f>
        <v>3300</v>
      </c>
      <c r="X246" s="41">
        <f t="shared" si="39"/>
        <v>635200</v>
      </c>
      <c r="Y246" s="41">
        <v>635200</v>
      </c>
      <c r="Z246" s="41">
        <v>0</v>
      </c>
      <c r="AA246" s="41">
        <v>0</v>
      </c>
      <c r="AB246" s="41">
        <v>0</v>
      </c>
      <c r="AC246" s="41">
        <f t="shared" si="35"/>
        <v>0</v>
      </c>
      <c r="AD246" s="41">
        <v>0</v>
      </c>
      <c r="AE246" s="41">
        <f t="shared" si="36"/>
        <v>0</v>
      </c>
      <c r="AF246" s="41">
        <f>X246/AU246</f>
        <v>2117.3333333333335</v>
      </c>
      <c r="AG246" s="41">
        <f t="shared" si="40"/>
        <v>2118</v>
      </c>
      <c r="AH246" s="36">
        <v>45366</v>
      </c>
      <c r="AI246" s="36"/>
      <c r="AJ246" s="36"/>
      <c r="AK246" s="36">
        <v>45397</v>
      </c>
      <c r="AL246" s="36"/>
      <c r="AM246" s="46"/>
      <c r="AN246" s="40" t="s">
        <v>1684</v>
      </c>
      <c r="AO246" s="40" t="s">
        <v>1685</v>
      </c>
      <c r="AP246" s="40" t="s">
        <v>1686</v>
      </c>
      <c r="AQ246" s="40" t="s">
        <v>80</v>
      </c>
      <c r="AR246" s="48">
        <v>100</v>
      </c>
      <c r="AS246" s="37">
        <v>0</v>
      </c>
      <c r="AT246" s="37" t="s">
        <v>81</v>
      </c>
      <c r="AU246" s="47">
        <v>300</v>
      </c>
      <c r="AV246" s="37" t="s">
        <v>219</v>
      </c>
      <c r="AW246" s="37">
        <v>10</v>
      </c>
      <c r="AX246" s="30">
        <f>(J246*10)/100</f>
        <v>703801.6</v>
      </c>
      <c r="AY246" s="40" t="s">
        <v>402</v>
      </c>
    </row>
    <row r="247" spans="1:51" ht="48.75" customHeight="1" x14ac:dyDescent="0.25">
      <c r="A247" s="59" t="s">
        <v>1687</v>
      </c>
      <c r="B247" s="60">
        <v>45316</v>
      </c>
      <c r="C247" s="40" t="s">
        <v>432</v>
      </c>
      <c r="D247" s="35" t="s">
        <v>1688</v>
      </c>
      <c r="E247" s="39" t="s">
        <v>1689</v>
      </c>
      <c r="F247" s="36">
        <v>45335</v>
      </c>
      <c r="G247" s="37" t="s">
        <v>1690</v>
      </c>
      <c r="H247" s="40" t="s">
        <v>224</v>
      </c>
      <c r="I247" s="40" t="s">
        <v>1691</v>
      </c>
      <c r="J247" s="61">
        <v>12870732</v>
      </c>
      <c r="K247" s="41">
        <v>0</v>
      </c>
      <c r="L247" s="54">
        <v>0</v>
      </c>
      <c r="M247" s="54">
        <v>0</v>
      </c>
      <c r="N247" s="42">
        <f t="shared" si="43"/>
        <v>0</v>
      </c>
      <c r="O247" s="43">
        <f t="shared" si="37"/>
        <v>0</v>
      </c>
      <c r="P247" s="41">
        <v>12870732</v>
      </c>
      <c r="Q247" s="43">
        <f t="shared" si="38"/>
        <v>0</v>
      </c>
      <c r="R247" s="41">
        <v>12870732</v>
      </c>
      <c r="S247" s="30">
        <f t="shared" si="42"/>
        <v>12870732</v>
      </c>
      <c r="T247" s="30">
        <f t="shared" si="41"/>
        <v>12870732</v>
      </c>
      <c r="U247" s="30">
        <f>T247/X247</f>
        <v>62.54</v>
      </c>
      <c r="V247" s="41">
        <f>T247/X247</f>
        <v>62.54</v>
      </c>
      <c r="W247" s="41">
        <f>V247*AU247</f>
        <v>7504.8</v>
      </c>
      <c r="X247" s="41">
        <f t="shared" si="39"/>
        <v>205800</v>
      </c>
      <c r="Y247" s="41">
        <v>205800</v>
      </c>
      <c r="Z247" s="41">
        <v>0</v>
      </c>
      <c r="AA247" s="41">
        <v>0</v>
      </c>
      <c r="AB247" s="41">
        <v>0</v>
      </c>
      <c r="AC247" s="41">
        <f t="shared" si="35"/>
        <v>0</v>
      </c>
      <c r="AD247" s="41">
        <v>0</v>
      </c>
      <c r="AE247" s="41">
        <f t="shared" si="36"/>
        <v>0</v>
      </c>
      <c r="AF247" s="41">
        <f>X247/AU247</f>
        <v>1715</v>
      </c>
      <c r="AG247" s="41">
        <f t="shared" si="40"/>
        <v>1715</v>
      </c>
      <c r="AH247" s="36">
        <v>45366</v>
      </c>
      <c r="AI247" s="36"/>
      <c r="AJ247" s="36"/>
      <c r="AK247" s="36">
        <v>45397</v>
      </c>
      <c r="AL247" s="36"/>
      <c r="AM247" s="46"/>
      <c r="AN247" s="40" t="s">
        <v>1692</v>
      </c>
      <c r="AO247" s="40" t="s">
        <v>1693</v>
      </c>
      <c r="AP247" s="40" t="s">
        <v>1694</v>
      </c>
      <c r="AQ247" s="40" t="s">
        <v>80</v>
      </c>
      <c r="AR247" s="48">
        <v>100</v>
      </c>
      <c r="AS247" s="37">
        <v>0</v>
      </c>
      <c r="AT247" s="37" t="s">
        <v>386</v>
      </c>
      <c r="AU247" s="47">
        <v>120</v>
      </c>
      <c r="AV247" s="37" t="s">
        <v>60</v>
      </c>
      <c r="AW247" s="37">
        <v>10</v>
      </c>
      <c r="AX247" s="30">
        <f>(J247*10)/100</f>
        <v>1287073.2</v>
      </c>
      <c r="AY247" s="40" t="s">
        <v>402</v>
      </c>
    </row>
    <row r="248" spans="1:51" ht="48.75" customHeight="1" x14ac:dyDescent="0.25">
      <c r="A248" s="59" t="s">
        <v>1695</v>
      </c>
      <c r="B248" s="60">
        <v>45316</v>
      </c>
      <c r="C248" s="40" t="s">
        <v>432</v>
      </c>
      <c r="D248" s="35" t="s">
        <v>1696</v>
      </c>
      <c r="E248" s="39" t="s">
        <v>1697</v>
      </c>
      <c r="F248" s="36">
        <v>45335</v>
      </c>
      <c r="G248" s="37" t="s">
        <v>1698</v>
      </c>
      <c r="H248" s="40" t="s">
        <v>224</v>
      </c>
      <c r="I248" s="40" t="s">
        <v>1699</v>
      </c>
      <c r="J248" s="61">
        <v>10821789</v>
      </c>
      <c r="K248" s="41">
        <v>0</v>
      </c>
      <c r="L248" s="54">
        <v>0</v>
      </c>
      <c r="M248" s="54">
        <v>0</v>
      </c>
      <c r="N248" s="42">
        <f t="shared" si="43"/>
        <v>0</v>
      </c>
      <c r="O248" s="43">
        <f t="shared" si="37"/>
        <v>0</v>
      </c>
      <c r="P248" s="41">
        <v>10821789</v>
      </c>
      <c r="Q248" s="43">
        <f t="shared" si="38"/>
        <v>0</v>
      </c>
      <c r="R248" s="41">
        <v>10821789</v>
      </c>
      <c r="S248" s="30">
        <f t="shared" si="42"/>
        <v>10821789</v>
      </c>
      <c r="T248" s="30">
        <f t="shared" si="41"/>
        <v>10821789</v>
      </c>
      <c r="U248" s="30">
        <f>T248/X248</f>
        <v>9.1300000000000008</v>
      </c>
      <c r="V248" s="41">
        <f>T248/X248</f>
        <v>9.1300000000000008</v>
      </c>
      <c r="W248" s="41">
        <f>V248*AU248</f>
        <v>547.80000000000007</v>
      </c>
      <c r="X248" s="41">
        <f t="shared" si="39"/>
        <v>1185300</v>
      </c>
      <c r="Y248" s="41">
        <v>1185300</v>
      </c>
      <c r="Z248" s="41">
        <v>0</v>
      </c>
      <c r="AA248" s="41">
        <v>0</v>
      </c>
      <c r="AB248" s="41">
        <v>0</v>
      </c>
      <c r="AC248" s="41">
        <f t="shared" si="35"/>
        <v>0</v>
      </c>
      <c r="AD248" s="41">
        <v>0</v>
      </c>
      <c r="AE248" s="41">
        <f t="shared" si="36"/>
        <v>0</v>
      </c>
      <c r="AF248" s="41">
        <f>X248/AU248</f>
        <v>19755</v>
      </c>
      <c r="AG248" s="41">
        <f t="shared" si="40"/>
        <v>19755</v>
      </c>
      <c r="AH248" s="36">
        <v>45383</v>
      </c>
      <c r="AI248" s="36"/>
      <c r="AJ248" s="36"/>
      <c r="AK248" s="36">
        <v>45413</v>
      </c>
      <c r="AL248" s="36"/>
      <c r="AM248" s="46"/>
      <c r="AN248" s="40" t="s">
        <v>1647</v>
      </c>
      <c r="AO248" s="40" t="s">
        <v>1700</v>
      </c>
      <c r="AP248" s="40" t="s">
        <v>1649</v>
      </c>
      <c r="AQ248" s="40" t="s">
        <v>80</v>
      </c>
      <c r="AR248" s="48">
        <v>100</v>
      </c>
      <c r="AS248" s="37">
        <v>0</v>
      </c>
      <c r="AT248" s="37" t="s">
        <v>386</v>
      </c>
      <c r="AU248" s="47">
        <v>60</v>
      </c>
      <c r="AV248" s="37" t="s">
        <v>60</v>
      </c>
      <c r="AW248" s="37">
        <v>10</v>
      </c>
      <c r="AX248" s="30">
        <f>(J248*10)/100</f>
        <v>1082178.8999999999</v>
      </c>
      <c r="AY248" s="40" t="s">
        <v>402</v>
      </c>
    </row>
    <row r="249" spans="1:51" ht="48.75" customHeight="1" x14ac:dyDescent="0.25">
      <c r="A249" s="59" t="s">
        <v>1701</v>
      </c>
      <c r="B249" s="60">
        <v>45316</v>
      </c>
      <c r="C249" s="40" t="s">
        <v>432</v>
      </c>
      <c r="D249" s="35" t="s">
        <v>1702</v>
      </c>
      <c r="E249" s="39" t="s">
        <v>1703</v>
      </c>
      <c r="F249" s="36">
        <v>45335</v>
      </c>
      <c r="G249" s="37" t="s">
        <v>1704</v>
      </c>
      <c r="H249" s="40" t="s">
        <v>224</v>
      </c>
      <c r="I249" s="40" t="s">
        <v>1705</v>
      </c>
      <c r="J249" s="61">
        <v>2895874.56</v>
      </c>
      <c r="K249" s="41">
        <v>0</v>
      </c>
      <c r="L249" s="54">
        <v>0</v>
      </c>
      <c r="M249" s="54">
        <v>0</v>
      </c>
      <c r="N249" s="42">
        <f t="shared" si="43"/>
        <v>0</v>
      </c>
      <c r="O249" s="43">
        <f t="shared" si="37"/>
        <v>0</v>
      </c>
      <c r="P249" s="41">
        <v>2895874.56</v>
      </c>
      <c r="Q249" s="43">
        <f t="shared" si="38"/>
        <v>0</v>
      </c>
      <c r="R249" s="41">
        <v>2895874.56</v>
      </c>
      <c r="S249" s="30">
        <f t="shared" si="42"/>
        <v>2895874.56</v>
      </c>
      <c r="T249" s="30">
        <f t="shared" si="41"/>
        <v>2895874.56</v>
      </c>
      <c r="U249" s="30">
        <f>T249/X249</f>
        <v>2.58</v>
      </c>
      <c r="V249" s="41">
        <f>T249/X249</f>
        <v>2.58</v>
      </c>
      <c r="W249" s="41">
        <f>V249*AU249</f>
        <v>154.80000000000001</v>
      </c>
      <c r="X249" s="41">
        <f t="shared" si="39"/>
        <v>1122432</v>
      </c>
      <c r="Y249" s="41">
        <v>1122432</v>
      </c>
      <c r="Z249" s="41">
        <v>0</v>
      </c>
      <c r="AA249" s="41">
        <v>0</v>
      </c>
      <c r="AB249" s="41">
        <v>0</v>
      </c>
      <c r="AC249" s="41">
        <f t="shared" si="35"/>
        <v>0</v>
      </c>
      <c r="AD249" s="41">
        <v>0</v>
      </c>
      <c r="AE249" s="41">
        <f t="shared" si="36"/>
        <v>0</v>
      </c>
      <c r="AF249" s="41">
        <f>X249/AU249</f>
        <v>18707.2</v>
      </c>
      <c r="AG249" s="41">
        <f t="shared" si="40"/>
        <v>18708</v>
      </c>
      <c r="AH249" s="36">
        <v>45366</v>
      </c>
      <c r="AI249" s="36"/>
      <c r="AJ249" s="36"/>
      <c r="AK249" s="36">
        <v>45397</v>
      </c>
      <c r="AL249" s="36"/>
      <c r="AM249" s="46"/>
      <c r="AN249" s="40" t="s">
        <v>1706</v>
      </c>
      <c r="AO249" s="40" t="s">
        <v>1707</v>
      </c>
      <c r="AP249" s="40" t="s">
        <v>1708</v>
      </c>
      <c r="AQ249" s="40" t="s">
        <v>80</v>
      </c>
      <c r="AR249" s="48">
        <v>100</v>
      </c>
      <c r="AS249" s="37">
        <v>0</v>
      </c>
      <c r="AT249" s="37" t="s">
        <v>386</v>
      </c>
      <c r="AU249" s="47">
        <v>60</v>
      </c>
      <c r="AV249" s="37" t="s">
        <v>60</v>
      </c>
      <c r="AW249" s="37">
        <v>10</v>
      </c>
      <c r="AX249" s="30">
        <f>(J249*10)/100</f>
        <v>289587.45600000001</v>
      </c>
      <c r="AY249" s="40" t="s">
        <v>402</v>
      </c>
    </row>
    <row r="250" spans="1:51" ht="48.75" customHeight="1" x14ac:dyDescent="0.25">
      <c r="A250" s="59" t="s">
        <v>1709</v>
      </c>
      <c r="B250" s="60">
        <v>45316</v>
      </c>
      <c r="C250" s="40" t="s">
        <v>432</v>
      </c>
      <c r="D250" s="35" t="s">
        <v>431</v>
      </c>
      <c r="E250" s="39" t="s">
        <v>1710</v>
      </c>
      <c r="F250" s="36" t="s">
        <v>431</v>
      </c>
      <c r="G250" s="37" t="s">
        <v>431</v>
      </c>
      <c r="H250" s="40" t="s">
        <v>431</v>
      </c>
      <c r="I250" s="40" t="s">
        <v>1711</v>
      </c>
      <c r="J250" s="61">
        <v>95225220</v>
      </c>
      <c r="K250" s="41">
        <v>0</v>
      </c>
      <c r="L250" s="54">
        <v>0</v>
      </c>
      <c r="M250" s="54">
        <v>0</v>
      </c>
      <c r="N250" s="42">
        <f t="shared" si="43"/>
        <v>100</v>
      </c>
      <c r="O250" s="43">
        <f t="shared" si="37"/>
        <v>95225220</v>
      </c>
      <c r="P250" s="41"/>
      <c r="Q250" s="43">
        <f t="shared" si="38"/>
        <v>95225220</v>
      </c>
      <c r="R250" s="41">
        <v>0</v>
      </c>
      <c r="S250" s="30">
        <f t="shared" si="42"/>
        <v>0</v>
      </c>
      <c r="T250" s="30">
        <f t="shared" si="41"/>
        <v>0</v>
      </c>
      <c r="U250" s="30" t="e">
        <f>T250/X250</f>
        <v>#DIV/0!</v>
      </c>
      <c r="V250" s="41" t="e">
        <f>T250/X250</f>
        <v>#DIV/0!</v>
      </c>
      <c r="W250" s="41" t="e">
        <f>V250*AU250</f>
        <v>#DIV/0!</v>
      </c>
      <c r="X250" s="41">
        <f t="shared" si="39"/>
        <v>0</v>
      </c>
      <c r="Y250" s="41">
        <v>0</v>
      </c>
      <c r="Z250" s="41">
        <v>0</v>
      </c>
      <c r="AA250" s="41">
        <v>0</v>
      </c>
      <c r="AB250" s="41"/>
      <c r="AC250" s="41" t="e">
        <f t="shared" si="35"/>
        <v>#DIV/0!</v>
      </c>
      <c r="AD250" s="41"/>
      <c r="AE250" s="41" t="e">
        <f t="shared" si="36"/>
        <v>#DIV/0!</v>
      </c>
      <c r="AF250" s="41" t="e">
        <f>X250/AU250</f>
        <v>#DIV/0!</v>
      </c>
      <c r="AG250" s="41" t="e">
        <f t="shared" si="40"/>
        <v>#DIV/0!</v>
      </c>
      <c r="AH250" s="36">
        <v>45383</v>
      </c>
      <c r="AI250" s="36"/>
      <c r="AJ250" s="36"/>
      <c r="AK250" s="36"/>
      <c r="AL250" s="36"/>
      <c r="AM250" s="46"/>
      <c r="AN250" s="40"/>
      <c r="AO250" s="40"/>
      <c r="AP250" s="40"/>
      <c r="AQ250" s="40"/>
      <c r="AR250" s="48"/>
      <c r="AS250" s="37"/>
      <c r="AT250" s="37"/>
      <c r="AU250" s="47"/>
      <c r="AV250" s="37"/>
      <c r="AW250" s="37">
        <v>10</v>
      </c>
      <c r="AX250" s="30">
        <f>(J250*10)/100</f>
        <v>9522522</v>
      </c>
      <c r="AY250" s="40" t="s">
        <v>431</v>
      </c>
    </row>
    <row r="251" spans="1:51" ht="48.75" customHeight="1" x14ac:dyDescent="0.25">
      <c r="A251" s="59" t="s">
        <v>1712</v>
      </c>
      <c r="B251" s="60">
        <v>45316</v>
      </c>
      <c r="C251" s="40" t="s">
        <v>432</v>
      </c>
      <c r="D251" s="35" t="s">
        <v>1713</v>
      </c>
      <c r="E251" s="39" t="s">
        <v>1714</v>
      </c>
      <c r="F251" s="36">
        <v>45335</v>
      </c>
      <c r="G251" s="37" t="s">
        <v>1715</v>
      </c>
      <c r="H251" s="40" t="s">
        <v>224</v>
      </c>
      <c r="I251" s="40" t="s">
        <v>1716</v>
      </c>
      <c r="J251" s="61">
        <v>78794.100000000006</v>
      </c>
      <c r="K251" s="41">
        <v>0</v>
      </c>
      <c r="L251" s="54">
        <v>0</v>
      </c>
      <c r="M251" s="54">
        <v>0</v>
      </c>
      <c r="N251" s="42">
        <f t="shared" si="43"/>
        <v>0</v>
      </c>
      <c r="O251" s="43">
        <f t="shared" si="37"/>
        <v>0</v>
      </c>
      <c r="P251" s="61">
        <v>78794.100000000006</v>
      </c>
      <c r="Q251" s="43">
        <f t="shared" si="38"/>
        <v>0</v>
      </c>
      <c r="R251" s="61">
        <v>78794.100000000006</v>
      </c>
      <c r="S251" s="30">
        <f t="shared" si="42"/>
        <v>78794.100000000006</v>
      </c>
      <c r="T251" s="30">
        <f t="shared" si="41"/>
        <v>78794.100000000006</v>
      </c>
      <c r="U251" s="30">
        <f>T251/X251</f>
        <v>2.31</v>
      </c>
      <c r="V251" s="41">
        <f>T251/X251</f>
        <v>2.31</v>
      </c>
      <c r="W251" s="41">
        <f>V251*AU251</f>
        <v>69.3</v>
      </c>
      <c r="X251" s="41">
        <f t="shared" si="39"/>
        <v>34110</v>
      </c>
      <c r="Y251" s="41">
        <v>34110</v>
      </c>
      <c r="Z251" s="41">
        <v>0</v>
      </c>
      <c r="AA251" s="41">
        <v>0</v>
      </c>
      <c r="AB251" s="41">
        <v>0</v>
      </c>
      <c r="AC251" s="41">
        <f t="shared" si="35"/>
        <v>0</v>
      </c>
      <c r="AD251" s="41">
        <v>0</v>
      </c>
      <c r="AE251" s="41">
        <f t="shared" si="36"/>
        <v>0</v>
      </c>
      <c r="AF251" s="41">
        <f>X251/AU251</f>
        <v>1137</v>
      </c>
      <c r="AG251" s="41">
        <f t="shared" si="40"/>
        <v>1137</v>
      </c>
      <c r="AH251" s="36">
        <v>45383</v>
      </c>
      <c r="AI251" s="36"/>
      <c r="AJ251" s="36"/>
      <c r="AK251" s="36">
        <v>45413</v>
      </c>
      <c r="AL251" s="36"/>
      <c r="AM251" s="46"/>
      <c r="AN251" s="40" t="s">
        <v>1539</v>
      </c>
      <c r="AO251" s="40" t="s">
        <v>1376</v>
      </c>
      <c r="AP251" s="40" t="s">
        <v>1541</v>
      </c>
      <c r="AQ251" s="40" t="s">
        <v>80</v>
      </c>
      <c r="AR251" s="48">
        <v>100</v>
      </c>
      <c r="AS251" s="37">
        <v>0</v>
      </c>
      <c r="AT251" s="37" t="s">
        <v>386</v>
      </c>
      <c r="AU251" s="47">
        <v>30</v>
      </c>
      <c r="AV251" s="37" t="s">
        <v>219</v>
      </c>
      <c r="AW251" s="37">
        <v>10</v>
      </c>
      <c r="AX251" s="30">
        <f>(J251*10)/100</f>
        <v>7879.41</v>
      </c>
      <c r="AY251" s="40" t="s">
        <v>402</v>
      </c>
    </row>
    <row r="252" spans="1:51" ht="48.75" customHeight="1" x14ac:dyDescent="0.25">
      <c r="A252" s="59" t="s">
        <v>1717</v>
      </c>
      <c r="B252" s="60">
        <v>45316</v>
      </c>
      <c r="C252" s="40" t="s">
        <v>432</v>
      </c>
      <c r="D252" s="35" t="s">
        <v>1718</v>
      </c>
      <c r="E252" s="39" t="s">
        <v>1719</v>
      </c>
      <c r="F252" s="36">
        <v>45335</v>
      </c>
      <c r="G252" s="37" t="s">
        <v>1720</v>
      </c>
      <c r="H252" s="40" t="s">
        <v>53</v>
      </c>
      <c r="I252" s="40" t="s">
        <v>1721</v>
      </c>
      <c r="J252" s="61">
        <v>1866913.68</v>
      </c>
      <c r="K252" s="41">
        <v>0</v>
      </c>
      <c r="L252" s="54">
        <v>0</v>
      </c>
      <c r="M252" s="54">
        <v>0</v>
      </c>
      <c r="N252" s="42">
        <f t="shared" si="43"/>
        <v>0</v>
      </c>
      <c r="O252" s="43">
        <f t="shared" si="37"/>
        <v>0</v>
      </c>
      <c r="P252" s="41">
        <v>1866913.68</v>
      </c>
      <c r="Q252" s="43">
        <f t="shared" si="38"/>
        <v>0</v>
      </c>
      <c r="R252" s="41">
        <v>1866913.68</v>
      </c>
      <c r="S252" s="30">
        <f t="shared" si="42"/>
        <v>1866913.68</v>
      </c>
      <c r="T252" s="30">
        <f t="shared" si="41"/>
        <v>1866913.68</v>
      </c>
      <c r="U252" s="30">
        <f>T252/X252</f>
        <v>2.92</v>
      </c>
      <c r="V252" s="41">
        <f>T252/X252</f>
        <v>2.92</v>
      </c>
      <c r="W252" s="41">
        <f>V252*AU252</f>
        <v>700.8</v>
      </c>
      <c r="X252" s="41">
        <f t="shared" si="39"/>
        <v>639354</v>
      </c>
      <c r="Y252" s="41">
        <v>639354</v>
      </c>
      <c r="Z252" s="41">
        <v>0</v>
      </c>
      <c r="AA252" s="41">
        <v>0</v>
      </c>
      <c r="AB252" s="41">
        <v>0</v>
      </c>
      <c r="AC252" s="41">
        <f t="shared" si="35"/>
        <v>0</v>
      </c>
      <c r="AD252" s="41">
        <v>0</v>
      </c>
      <c r="AE252" s="41">
        <f t="shared" si="36"/>
        <v>0</v>
      </c>
      <c r="AF252" s="41">
        <f>X252/AU252</f>
        <v>2663.9749999999999</v>
      </c>
      <c r="AG252" s="41">
        <f t="shared" si="40"/>
        <v>2664</v>
      </c>
      <c r="AH252" s="36">
        <v>45383</v>
      </c>
      <c r="AI252" s="36"/>
      <c r="AJ252" s="36"/>
      <c r="AK252" s="36">
        <v>45413</v>
      </c>
      <c r="AL252" s="36"/>
      <c r="AM252" s="46"/>
      <c r="AN252" s="40" t="s">
        <v>1722</v>
      </c>
      <c r="AO252" s="40" t="s">
        <v>1723</v>
      </c>
      <c r="AP252" s="40" t="s">
        <v>1724</v>
      </c>
      <c r="AQ252" s="40" t="s">
        <v>385</v>
      </c>
      <c r="AR252" s="48">
        <v>0</v>
      </c>
      <c r="AS252" s="37">
        <v>100</v>
      </c>
      <c r="AT252" s="37" t="s">
        <v>81</v>
      </c>
      <c r="AU252" s="47">
        <v>240</v>
      </c>
      <c r="AV252" s="37" t="s">
        <v>60</v>
      </c>
      <c r="AW252" s="37">
        <v>10</v>
      </c>
      <c r="AX252" s="30">
        <f>(J252*10)/100</f>
        <v>186691.36800000002</v>
      </c>
      <c r="AY252" s="40" t="s">
        <v>402</v>
      </c>
    </row>
    <row r="253" spans="1:51" ht="48.75" customHeight="1" x14ac:dyDescent="0.25">
      <c r="A253" s="59" t="s">
        <v>1725</v>
      </c>
      <c r="B253" s="60">
        <v>45316</v>
      </c>
      <c r="C253" s="40">
        <v>1688</v>
      </c>
      <c r="D253" s="35" t="s">
        <v>1726</v>
      </c>
      <c r="E253" s="39" t="s">
        <v>1727</v>
      </c>
      <c r="F253" s="36">
        <v>45336</v>
      </c>
      <c r="G253" s="37" t="s">
        <v>1728</v>
      </c>
      <c r="H253" s="40" t="s">
        <v>203</v>
      </c>
      <c r="I253" s="40" t="s">
        <v>1729</v>
      </c>
      <c r="J253" s="61">
        <v>63865214.5</v>
      </c>
      <c r="K253" s="41">
        <v>0</v>
      </c>
      <c r="L253" s="54">
        <v>0</v>
      </c>
      <c r="M253" s="54">
        <v>0</v>
      </c>
      <c r="N253" s="42">
        <f t="shared" si="43"/>
        <v>0</v>
      </c>
      <c r="O253" s="43">
        <f t="shared" si="37"/>
        <v>0</v>
      </c>
      <c r="P253" s="41">
        <v>63865214.5</v>
      </c>
      <c r="Q253" s="43">
        <f t="shared" si="38"/>
        <v>0</v>
      </c>
      <c r="R253" s="41">
        <v>63865214.5</v>
      </c>
      <c r="S253" s="30">
        <f t="shared" si="42"/>
        <v>63865214.5</v>
      </c>
      <c r="T253" s="30">
        <f t="shared" si="41"/>
        <v>63865214.5</v>
      </c>
      <c r="U253" s="30">
        <f>T253/X253</f>
        <v>77.95</v>
      </c>
      <c r="V253" s="41">
        <f>T253/X253</f>
        <v>77.95</v>
      </c>
      <c r="W253" s="41">
        <f>V253*AU253</f>
        <v>779.5</v>
      </c>
      <c r="X253" s="41">
        <f t="shared" si="39"/>
        <v>819310</v>
      </c>
      <c r="Y253" s="41">
        <v>819310</v>
      </c>
      <c r="Z253" s="41">
        <v>0</v>
      </c>
      <c r="AA253" s="41">
        <v>0</v>
      </c>
      <c r="AB253" s="41">
        <v>0</v>
      </c>
      <c r="AC253" s="41">
        <f t="shared" si="35"/>
        <v>0</v>
      </c>
      <c r="AD253" s="41">
        <v>0</v>
      </c>
      <c r="AE253" s="41">
        <f t="shared" si="36"/>
        <v>0</v>
      </c>
      <c r="AF253" s="41">
        <f>X253/AU253</f>
        <v>81931</v>
      </c>
      <c r="AG253" s="41">
        <f t="shared" si="40"/>
        <v>81931</v>
      </c>
      <c r="AH253" s="36">
        <v>45366</v>
      </c>
      <c r="AI253" s="36"/>
      <c r="AJ253" s="36"/>
      <c r="AK253" s="36">
        <v>45397</v>
      </c>
      <c r="AL253" s="36"/>
      <c r="AM253" s="46"/>
      <c r="AN253" s="40" t="s">
        <v>1730</v>
      </c>
      <c r="AO253" s="40" t="s">
        <v>1731</v>
      </c>
      <c r="AP253" s="40" t="s">
        <v>1732</v>
      </c>
      <c r="AQ253" s="40" t="s">
        <v>80</v>
      </c>
      <c r="AR253" s="48">
        <v>100</v>
      </c>
      <c r="AS253" s="37">
        <v>0</v>
      </c>
      <c r="AT253" s="37" t="s">
        <v>314</v>
      </c>
      <c r="AU253" s="47">
        <v>10</v>
      </c>
      <c r="AV253" s="37" t="s">
        <v>60</v>
      </c>
      <c r="AW253" s="37">
        <v>10</v>
      </c>
      <c r="AX253" s="30">
        <f>(J253*10)/100</f>
        <v>6386521.4500000002</v>
      </c>
      <c r="AY253" s="40" t="s">
        <v>402</v>
      </c>
    </row>
    <row r="254" spans="1:51" ht="48.75" customHeight="1" x14ac:dyDescent="0.25">
      <c r="A254" s="59" t="s">
        <v>1733</v>
      </c>
      <c r="B254" s="60">
        <v>45316</v>
      </c>
      <c r="C254" s="40">
        <v>1688</v>
      </c>
      <c r="D254" s="35" t="s">
        <v>1734</v>
      </c>
      <c r="E254" s="39" t="s">
        <v>1735</v>
      </c>
      <c r="F254" s="36">
        <v>45336</v>
      </c>
      <c r="G254" s="37" t="s">
        <v>1736</v>
      </c>
      <c r="H254" s="40" t="s">
        <v>203</v>
      </c>
      <c r="I254" s="40" t="s">
        <v>1737</v>
      </c>
      <c r="J254" s="61">
        <v>7597007</v>
      </c>
      <c r="K254" s="41">
        <v>0</v>
      </c>
      <c r="L254" s="54">
        <v>0</v>
      </c>
      <c r="M254" s="54">
        <v>0</v>
      </c>
      <c r="N254" s="42">
        <f t="shared" si="43"/>
        <v>0</v>
      </c>
      <c r="O254" s="43">
        <f t="shared" si="37"/>
        <v>0</v>
      </c>
      <c r="P254" s="41">
        <v>7597007</v>
      </c>
      <c r="Q254" s="43">
        <f t="shared" si="38"/>
        <v>0</v>
      </c>
      <c r="R254" s="41">
        <v>7597007</v>
      </c>
      <c r="S254" s="30">
        <f t="shared" si="42"/>
        <v>7597007</v>
      </c>
      <c r="T254" s="30">
        <f t="shared" si="41"/>
        <v>7597007</v>
      </c>
      <c r="U254" s="30">
        <f>T254/X254</f>
        <v>77.95</v>
      </c>
      <c r="V254" s="41">
        <f>T254/X254</f>
        <v>77.95</v>
      </c>
      <c r="W254" s="41">
        <f>V254*AU254</f>
        <v>779.5</v>
      </c>
      <c r="X254" s="41">
        <f t="shared" si="39"/>
        <v>97460</v>
      </c>
      <c r="Y254" s="41">
        <v>97460</v>
      </c>
      <c r="Z254" s="41">
        <v>0</v>
      </c>
      <c r="AA254" s="41">
        <v>0</v>
      </c>
      <c r="AB254" s="41">
        <v>0</v>
      </c>
      <c r="AC254" s="41">
        <f t="shared" si="35"/>
        <v>0</v>
      </c>
      <c r="AD254" s="41">
        <v>0</v>
      </c>
      <c r="AE254" s="41">
        <f t="shared" si="36"/>
        <v>0</v>
      </c>
      <c r="AF254" s="41">
        <f>X254/AU254</f>
        <v>9746</v>
      </c>
      <c r="AG254" s="41">
        <f t="shared" si="40"/>
        <v>9746</v>
      </c>
      <c r="AH254" s="36">
        <v>45366</v>
      </c>
      <c r="AI254" s="36"/>
      <c r="AJ254" s="36"/>
      <c r="AK254" s="36">
        <v>45397</v>
      </c>
      <c r="AL254" s="36"/>
      <c r="AM254" s="46"/>
      <c r="AN254" s="40" t="s">
        <v>1730</v>
      </c>
      <c r="AO254" s="40" t="s">
        <v>1731</v>
      </c>
      <c r="AP254" s="40" t="s">
        <v>1732</v>
      </c>
      <c r="AQ254" s="40" t="s">
        <v>80</v>
      </c>
      <c r="AR254" s="48">
        <v>100</v>
      </c>
      <c r="AS254" s="37">
        <v>0</v>
      </c>
      <c r="AT254" s="37" t="s">
        <v>314</v>
      </c>
      <c r="AU254" s="47">
        <v>10</v>
      </c>
      <c r="AV254" s="37" t="s">
        <v>219</v>
      </c>
      <c r="AW254" s="37">
        <v>10</v>
      </c>
      <c r="AX254" s="30">
        <f>(J254*10)/100</f>
        <v>759700.7</v>
      </c>
      <c r="AY254" s="40" t="s">
        <v>402</v>
      </c>
    </row>
    <row r="255" spans="1:51" ht="48.75" customHeight="1" x14ac:dyDescent="0.25">
      <c r="A255" s="59" t="s">
        <v>1738</v>
      </c>
      <c r="B255" s="60">
        <v>45316</v>
      </c>
      <c r="C255" s="40">
        <v>1688</v>
      </c>
      <c r="D255" s="35" t="s">
        <v>1739</v>
      </c>
      <c r="E255" s="39" t="s">
        <v>1740</v>
      </c>
      <c r="F255" s="36">
        <v>45336</v>
      </c>
      <c r="G255" s="37" t="s">
        <v>1741</v>
      </c>
      <c r="H255" s="40" t="s">
        <v>203</v>
      </c>
      <c r="I255" s="40" t="s">
        <v>1742</v>
      </c>
      <c r="J255" s="61">
        <v>51128223.299999997</v>
      </c>
      <c r="K255" s="41">
        <v>0</v>
      </c>
      <c r="L255" s="54">
        <v>0</v>
      </c>
      <c r="M255" s="54">
        <v>0</v>
      </c>
      <c r="N255" s="42">
        <f t="shared" si="43"/>
        <v>0</v>
      </c>
      <c r="O255" s="43">
        <f t="shared" si="37"/>
        <v>0</v>
      </c>
      <c r="P255" s="61">
        <v>51128223.299999997</v>
      </c>
      <c r="Q255" s="43">
        <f t="shared" si="38"/>
        <v>0</v>
      </c>
      <c r="R255" s="61">
        <v>51128223.299999997</v>
      </c>
      <c r="S255" s="30">
        <f t="shared" si="42"/>
        <v>51128223.299999997</v>
      </c>
      <c r="T255" s="30">
        <f t="shared" si="41"/>
        <v>51128223.299999997</v>
      </c>
      <c r="U255" s="30">
        <f>T255/X255</f>
        <v>86.899999999999991</v>
      </c>
      <c r="V255" s="41">
        <f>T255/X255</f>
        <v>86.899999999999991</v>
      </c>
      <c r="W255" s="41">
        <f>V255*AU255</f>
        <v>868.99999999999989</v>
      </c>
      <c r="X255" s="41">
        <f t="shared" si="39"/>
        <v>588357</v>
      </c>
      <c r="Y255" s="41">
        <v>588357</v>
      </c>
      <c r="Z255" s="41">
        <v>0</v>
      </c>
      <c r="AA255" s="41">
        <v>0</v>
      </c>
      <c r="AB255" s="41">
        <v>0</v>
      </c>
      <c r="AC255" s="41">
        <f t="shared" si="35"/>
        <v>0</v>
      </c>
      <c r="AD255" s="41">
        <v>0</v>
      </c>
      <c r="AE255" s="41">
        <f t="shared" si="36"/>
        <v>0</v>
      </c>
      <c r="AF255" s="41">
        <f>X255/AU255</f>
        <v>58835.7</v>
      </c>
      <c r="AG255" s="41">
        <f t="shared" si="40"/>
        <v>58836</v>
      </c>
      <c r="AH255" s="36">
        <v>45366</v>
      </c>
      <c r="AI255" s="36"/>
      <c r="AJ255" s="36"/>
      <c r="AK255" s="36">
        <v>45397</v>
      </c>
      <c r="AL255" s="36"/>
      <c r="AM255" s="46"/>
      <c r="AN255" s="40" t="s">
        <v>1730</v>
      </c>
      <c r="AO255" s="40" t="s">
        <v>1743</v>
      </c>
      <c r="AP255" s="40" t="s">
        <v>1732</v>
      </c>
      <c r="AQ255" s="40" t="s">
        <v>80</v>
      </c>
      <c r="AR255" s="48">
        <v>100</v>
      </c>
      <c r="AS255" s="37">
        <v>0</v>
      </c>
      <c r="AT255" s="37" t="s">
        <v>314</v>
      </c>
      <c r="AU255" s="47">
        <v>10</v>
      </c>
      <c r="AV255" s="37" t="s">
        <v>60</v>
      </c>
      <c r="AW255" s="37">
        <v>10</v>
      </c>
      <c r="AX255" s="30">
        <f>(J255*10)/100</f>
        <v>5112822.33</v>
      </c>
      <c r="AY255" s="40" t="s">
        <v>402</v>
      </c>
    </row>
    <row r="256" spans="1:51" ht="48.75" customHeight="1" x14ac:dyDescent="0.25">
      <c r="A256" s="59" t="s">
        <v>1744</v>
      </c>
      <c r="B256" s="60">
        <v>45316</v>
      </c>
      <c r="C256" s="40" t="s">
        <v>432</v>
      </c>
      <c r="D256" s="35" t="s">
        <v>431</v>
      </c>
      <c r="E256" s="39" t="s">
        <v>1745</v>
      </c>
      <c r="F256" s="36" t="s">
        <v>431</v>
      </c>
      <c r="G256" s="37" t="s">
        <v>431</v>
      </c>
      <c r="H256" s="40" t="s">
        <v>431</v>
      </c>
      <c r="I256" s="37" t="s">
        <v>1746</v>
      </c>
      <c r="J256" s="61">
        <v>7532379.6900000004</v>
      </c>
      <c r="K256" s="41">
        <v>0</v>
      </c>
      <c r="L256" s="54">
        <v>0</v>
      </c>
      <c r="M256" s="54">
        <v>0</v>
      </c>
      <c r="N256" s="42">
        <f t="shared" si="43"/>
        <v>100</v>
      </c>
      <c r="O256" s="43">
        <f t="shared" si="37"/>
        <v>7532379.6900000004</v>
      </c>
      <c r="P256" s="41"/>
      <c r="Q256" s="43">
        <f t="shared" si="38"/>
        <v>7532379.6900000004</v>
      </c>
      <c r="R256" s="41">
        <v>0</v>
      </c>
      <c r="S256" s="30">
        <f t="shared" si="42"/>
        <v>0</v>
      </c>
      <c r="T256" s="30">
        <f t="shared" si="41"/>
        <v>0</v>
      </c>
      <c r="U256" s="30" t="e">
        <f>T256/X256</f>
        <v>#DIV/0!</v>
      </c>
      <c r="V256" s="41" t="e">
        <f>T256/X256</f>
        <v>#DIV/0!</v>
      </c>
      <c r="W256" s="41" t="e">
        <f>V256*AU256</f>
        <v>#DIV/0!</v>
      </c>
      <c r="X256" s="41">
        <f t="shared" si="39"/>
        <v>0</v>
      </c>
      <c r="Y256" s="41">
        <v>0</v>
      </c>
      <c r="Z256" s="41">
        <v>0</v>
      </c>
      <c r="AA256" s="41">
        <v>0</v>
      </c>
      <c r="AB256" s="41"/>
      <c r="AC256" s="41" t="e">
        <f t="shared" si="35"/>
        <v>#DIV/0!</v>
      </c>
      <c r="AD256" s="41"/>
      <c r="AE256" s="41" t="e">
        <f t="shared" si="36"/>
        <v>#DIV/0!</v>
      </c>
      <c r="AF256" s="41" t="e">
        <f>X256/AU256</f>
        <v>#DIV/0!</v>
      </c>
      <c r="AG256" s="41" t="e">
        <f t="shared" si="40"/>
        <v>#DIV/0!</v>
      </c>
      <c r="AH256" s="36">
        <v>45382</v>
      </c>
      <c r="AI256" s="36"/>
      <c r="AJ256" s="36"/>
      <c r="AK256" s="36"/>
      <c r="AL256" s="36"/>
      <c r="AM256" s="46"/>
      <c r="AN256" s="40"/>
      <c r="AO256" s="40"/>
      <c r="AP256" s="40"/>
      <c r="AQ256" s="40"/>
      <c r="AR256" s="48"/>
      <c r="AS256" s="37"/>
      <c r="AT256" s="37"/>
      <c r="AU256" s="47"/>
      <c r="AV256" s="37"/>
      <c r="AW256" s="37">
        <v>10</v>
      </c>
      <c r="AX256" s="30">
        <f>(J256*10)/100</f>
        <v>753237.96900000004</v>
      </c>
      <c r="AY256" s="40" t="s">
        <v>431</v>
      </c>
    </row>
    <row r="257" spans="1:51" ht="48.75" customHeight="1" x14ac:dyDescent="0.25">
      <c r="A257" s="59" t="s">
        <v>1747</v>
      </c>
      <c r="B257" s="60">
        <v>45317</v>
      </c>
      <c r="C257" s="40">
        <v>1688</v>
      </c>
      <c r="D257" s="35" t="s">
        <v>1748</v>
      </c>
      <c r="E257" s="39" t="s">
        <v>1749</v>
      </c>
      <c r="F257" s="36">
        <v>45341</v>
      </c>
      <c r="G257" s="37" t="s">
        <v>1750</v>
      </c>
      <c r="H257" s="40" t="s">
        <v>1751</v>
      </c>
      <c r="I257" s="40" t="s">
        <v>1752</v>
      </c>
      <c r="J257" s="61">
        <v>30678726</v>
      </c>
      <c r="K257" s="41">
        <v>0</v>
      </c>
      <c r="L257" s="54">
        <v>0</v>
      </c>
      <c r="M257" s="54">
        <v>0</v>
      </c>
      <c r="N257" s="42">
        <f t="shared" si="43"/>
        <v>0</v>
      </c>
      <c r="O257" s="43">
        <f t="shared" si="37"/>
        <v>0</v>
      </c>
      <c r="P257" s="41">
        <v>30678726</v>
      </c>
      <c r="Q257" s="43">
        <f t="shared" si="38"/>
        <v>0</v>
      </c>
      <c r="R257" s="41">
        <v>30678726</v>
      </c>
      <c r="S257" s="30">
        <f t="shared" si="42"/>
        <v>30678726</v>
      </c>
      <c r="T257" s="30">
        <f t="shared" si="41"/>
        <v>30678726</v>
      </c>
      <c r="U257" s="30">
        <f>T257/X257</f>
        <v>15.67</v>
      </c>
      <c r="V257" s="41">
        <f>T257/X257</f>
        <v>15.67</v>
      </c>
      <c r="W257" s="41">
        <f>V257*AU257</f>
        <v>1567</v>
      </c>
      <c r="X257" s="41">
        <f t="shared" si="39"/>
        <v>1957800</v>
      </c>
      <c r="Y257" s="41">
        <v>1957800</v>
      </c>
      <c r="Z257" s="41">
        <v>0</v>
      </c>
      <c r="AA257" s="41">
        <v>0</v>
      </c>
      <c r="AB257" s="41">
        <v>0</v>
      </c>
      <c r="AC257" s="41">
        <f t="shared" si="35"/>
        <v>0</v>
      </c>
      <c r="AD257" s="41">
        <v>0</v>
      </c>
      <c r="AE257" s="41">
        <f t="shared" si="36"/>
        <v>0</v>
      </c>
      <c r="AF257" s="41">
        <f>X257/AU257</f>
        <v>19578</v>
      </c>
      <c r="AG257" s="41">
        <f t="shared" si="40"/>
        <v>19578</v>
      </c>
      <c r="AH257" s="36">
        <v>45366</v>
      </c>
      <c r="AI257" s="36"/>
      <c r="AJ257" s="36"/>
      <c r="AK257" s="36">
        <v>45397</v>
      </c>
      <c r="AL257" s="36"/>
      <c r="AM257" s="46"/>
      <c r="AN257" s="40" t="s">
        <v>1753</v>
      </c>
      <c r="AO257" s="40" t="s">
        <v>1753</v>
      </c>
      <c r="AP257" s="40" t="s">
        <v>1754</v>
      </c>
      <c r="AQ257" s="40" t="s">
        <v>80</v>
      </c>
      <c r="AR257" s="48">
        <v>100</v>
      </c>
      <c r="AS257" s="37">
        <v>0</v>
      </c>
      <c r="AT257" s="37" t="s">
        <v>314</v>
      </c>
      <c r="AU257" s="47">
        <v>100</v>
      </c>
      <c r="AV257" s="37" t="s">
        <v>60</v>
      </c>
      <c r="AW257" s="37">
        <v>10</v>
      </c>
      <c r="AX257" s="30">
        <f>(J257*10)/100</f>
        <v>3067872.6</v>
      </c>
      <c r="AY257" s="40" t="s">
        <v>402</v>
      </c>
    </row>
    <row r="258" spans="1:51" ht="48.75" customHeight="1" x14ac:dyDescent="0.25">
      <c r="A258" s="59" t="s">
        <v>1755</v>
      </c>
      <c r="B258" s="60">
        <v>45317</v>
      </c>
      <c r="C258" s="40">
        <v>1688</v>
      </c>
      <c r="D258" s="35" t="s">
        <v>1756</v>
      </c>
      <c r="E258" s="39" t="s">
        <v>1757</v>
      </c>
      <c r="F258" s="36">
        <v>45341</v>
      </c>
      <c r="G258" s="37" t="s">
        <v>1758</v>
      </c>
      <c r="H258" s="40" t="s">
        <v>1751</v>
      </c>
      <c r="I258" s="40" t="s">
        <v>1486</v>
      </c>
      <c r="J258" s="61">
        <v>48654579.509999998</v>
      </c>
      <c r="K258" s="41">
        <v>0</v>
      </c>
      <c r="L258" s="54">
        <v>0</v>
      </c>
      <c r="M258" s="54">
        <v>0</v>
      </c>
      <c r="N258" s="42">
        <f t="shared" si="43"/>
        <v>0</v>
      </c>
      <c r="O258" s="43">
        <f t="shared" si="37"/>
        <v>0</v>
      </c>
      <c r="P258" s="41">
        <v>48654579.509999998</v>
      </c>
      <c r="Q258" s="43">
        <f t="shared" si="38"/>
        <v>0</v>
      </c>
      <c r="R258" s="41">
        <v>48654579.509999998</v>
      </c>
      <c r="S258" s="30">
        <f t="shared" si="42"/>
        <v>48654579.509999998</v>
      </c>
      <c r="T258" s="30">
        <f t="shared" si="41"/>
        <v>48654579.509999998</v>
      </c>
      <c r="U258" s="30">
        <f>T258/X258</f>
        <v>178.76999999999998</v>
      </c>
      <c r="V258" s="41">
        <f>T258/X258</f>
        <v>178.76999999999998</v>
      </c>
      <c r="W258" s="41">
        <f>V258*AU258</f>
        <v>1787.6999999999998</v>
      </c>
      <c r="X258" s="41">
        <f t="shared" si="39"/>
        <v>272163</v>
      </c>
      <c r="Y258" s="41">
        <v>272163</v>
      </c>
      <c r="Z258" s="41">
        <v>0</v>
      </c>
      <c r="AA258" s="41">
        <v>0</v>
      </c>
      <c r="AB258" s="41">
        <v>0</v>
      </c>
      <c r="AC258" s="41">
        <f t="shared" si="35"/>
        <v>0</v>
      </c>
      <c r="AD258" s="41">
        <v>0</v>
      </c>
      <c r="AE258" s="41">
        <f t="shared" si="36"/>
        <v>0</v>
      </c>
      <c r="AF258" s="41">
        <f>X258/AU258</f>
        <v>27216.3</v>
      </c>
      <c r="AG258" s="41">
        <f t="shared" si="40"/>
        <v>27217</v>
      </c>
      <c r="AH258" s="36">
        <v>45383</v>
      </c>
      <c r="AI258" s="36"/>
      <c r="AJ258" s="36"/>
      <c r="AK258" s="36">
        <v>45413</v>
      </c>
      <c r="AL258" s="36"/>
      <c r="AM258" s="46"/>
      <c r="AN258" s="40" t="s">
        <v>1759</v>
      </c>
      <c r="AO258" s="40" t="s">
        <v>1760</v>
      </c>
      <c r="AP258" s="40" t="s">
        <v>1761</v>
      </c>
      <c r="AQ258" s="40" t="s">
        <v>80</v>
      </c>
      <c r="AR258" s="48">
        <v>100</v>
      </c>
      <c r="AS258" s="37">
        <v>0</v>
      </c>
      <c r="AT258" s="37" t="s">
        <v>314</v>
      </c>
      <c r="AU258" s="47">
        <v>10</v>
      </c>
      <c r="AV258" s="37" t="s">
        <v>60</v>
      </c>
      <c r="AW258" s="37">
        <v>10</v>
      </c>
      <c r="AX258" s="30">
        <f>(J258*10)/100</f>
        <v>4865457.9509999994</v>
      </c>
      <c r="AY258" s="40" t="s">
        <v>402</v>
      </c>
    </row>
    <row r="259" spans="1:51" ht="48.75" customHeight="1" x14ac:dyDescent="0.25">
      <c r="A259" s="59" t="s">
        <v>1762</v>
      </c>
      <c r="B259" s="60">
        <v>45317</v>
      </c>
      <c r="C259" s="40">
        <v>1688</v>
      </c>
      <c r="D259" s="35" t="s">
        <v>1763</v>
      </c>
      <c r="E259" s="39" t="s">
        <v>1764</v>
      </c>
      <c r="F259" s="36">
        <v>45341</v>
      </c>
      <c r="G259" s="37" t="s">
        <v>1765</v>
      </c>
      <c r="H259" s="40" t="s">
        <v>1751</v>
      </c>
      <c r="I259" s="40" t="s">
        <v>1441</v>
      </c>
      <c r="J259" s="61">
        <v>9668054</v>
      </c>
      <c r="K259" s="41">
        <v>0</v>
      </c>
      <c r="L259" s="54">
        <v>0</v>
      </c>
      <c r="M259" s="54">
        <v>0</v>
      </c>
      <c r="N259" s="42">
        <f t="shared" si="43"/>
        <v>0</v>
      </c>
      <c r="O259" s="43">
        <f t="shared" si="37"/>
        <v>0</v>
      </c>
      <c r="P259" s="41">
        <v>9668054</v>
      </c>
      <c r="Q259" s="43">
        <f t="shared" si="38"/>
        <v>0</v>
      </c>
      <c r="R259" s="41">
        <v>9668054</v>
      </c>
      <c r="S259" s="30">
        <f t="shared" si="42"/>
        <v>9668054</v>
      </c>
      <c r="T259" s="30">
        <f t="shared" si="41"/>
        <v>9668054</v>
      </c>
      <c r="U259" s="30">
        <f>T259/X259</f>
        <v>24.86</v>
      </c>
      <c r="V259" s="41">
        <f>T259/X259</f>
        <v>24.86</v>
      </c>
      <c r="W259" s="41">
        <f>V259*AU259</f>
        <v>1243</v>
      </c>
      <c r="X259" s="41">
        <f t="shared" si="39"/>
        <v>388900</v>
      </c>
      <c r="Y259" s="41">
        <v>210000</v>
      </c>
      <c r="Z259" s="41">
        <v>178900</v>
      </c>
      <c r="AA259" s="41">
        <v>0</v>
      </c>
      <c r="AB259" s="41">
        <v>0</v>
      </c>
      <c r="AC259" s="41">
        <f t="shared" si="35"/>
        <v>0</v>
      </c>
      <c r="AD259" s="41">
        <v>0</v>
      </c>
      <c r="AE259" s="41">
        <f t="shared" si="36"/>
        <v>0</v>
      </c>
      <c r="AF259" s="41">
        <f>X259/AU259</f>
        <v>7778</v>
      </c>
      <c r="AG259" s="41">
        <f t="shared" si="40"/>
        <v>7778</v>
      </c>
      <c r="AH259" s="36">
        <v>45366</v>
      </c>
      <c r="AI259" s="36">
        <v>45504</v>
      </c>
      <c r="AJ259" s="36"/>
      <c r="AK259" s="36">
        <v>45397</v>
      </c>
      <c r="AL259" s="36">
        <v>45536</v>
      </c>
      <c r="AM259" s="46"/>
      <c r="AN259" s="40" t="s">
        <v>1766</v>
      </c>
      <c r="AO259" s="40" t="s">
        <v>1767</v>
      </c>
      <c r="AP259" s="40" t="s">
        <v>1768</v>
      </c>
      <c r="AQ259" s="40" t="s">
        <v>80</v>
      </c>
      <c r="AR259" s="48">
        <v>100</v>
      </c>
      <c r="AS259" s="37">
        <v>0</v>
      </c>
      <c r="AT259" s="37" t="s">
        <v>314</v>
      </c>
      <c r="AU259" s="47">
        <v>50</v>
      </c>
      <c r="AV259" s="37" t="s">
        <v>219</v>
      </c>
      <c r="AW259" s="37">
        <v>10</v>
      </c>
      <c r="AX259" s="30">
        <f>(J259*10)/100</f>
        <v>966805.4</v>
      </c>
      <c r="AY259" s="40" t="s">
        <v>402</v>
      </c>
    </row>
    <row r="260" spans="1:51" ht="48.75" customHeight="1" x14ac:dyDescent="0.25">
      <c r="A260" s="59" t="s">
        <v>1769</v>
      </c>
      <c r="B260" s="60">
        <v>45317</v>
      </c>
      <c r="C260" s="40">
        <v>1688</v>
      </c>
      <c r="D260" s="35" t="s">
        <v>1770</v>
      </c>
      <c r="E260" s="39" t="s">
        <v>1771</v>
      </c>
      <c r="F260" s="36">
        <v>45341</v>
      </c>
      <c r="G260" s="37" t="s">
        <v>1772</v>
      </c>
      <c r="H260" s="40" t="s">
        <v>1751</v>
      </c>
      <c r="I260" s="40" t="s">
        <v>1773</v>
      </c>
      <c r="J260" s="61">
        <v>395783.6</v>
      </c>
      <c r="K260" s="41">
        <v>0</v>
      </c>
      <c r="L260" s="54">
        <v>0</v>
      </c>
      <c r="M260" s="54">
        <v>0</v>
      </c>
      <c r="N260" s="42">
        <f t="shared" si="43"/>
        <v>0</v>
      </c>
      <c r="O260" s="43">
        <f t="shared" si="37"/>
        <v>0</v>
      </c>
      <c r="P260" s="41">
        <v>395783.6</v>
      </c>
      <c r="Q260" s="43">
        <f t="shared" si="38"/>
        <v>0</v>
      </c>
      <c r="R260" s="41">
        <v>395783.6</v>
      </c>
      <c r="S260" s="30">
        <f t="shared" si="42"/>
        <v>395783.6</v>
      </c>
      <c r="T260" s="30">
        <f t="shared" si="41"/>
        <v>395783.6</v>
      </c>
      <c r="U260" s="30">
        <f>T260/X260</f>
        <v>28.24</v>
      </c>
      <c r="V260" s="41">
        <f>T260/X260</f>
        <v>28.24</v>
      </c>
      <c r="W260" s="41">
        <f>V260*AU260</f>
        <v>564.79999999999995</v>
      </c>
      <c r="X260" s="41">
        <f t="shared" si="39"/>
        <v>14015</v>
      </c>
      <c r="Y260" s="41">
        <v>14015</v>
      </c>
      <c r="Z260" s="41">
        <v>0</v>
      </c>
      <c r="AA260" s="41">
        <v>0</v>
      </c>
      <c r="AB260" s="41">
        <v>0</v>
      </c>
      <c r="AC260" s="41">
        <f t="shared" ref="AC260:AC323" si="44">AB260*V260</f>
        <v>0</v>
      </c>
      <c r="AD260" s="41">
        <v>0</v>
      </c>
      <c r="AE260" s="41">
        <f t="shared" ref="AE260:AE323" si="45">AD260*V260</f>
        <v>0</v>
      </c>
      <c r="AF260" s="41">
        <f>X260/AU260</f>
        <v>700.75</v>
      </c>
      <c r="AG260" s="41">
        <f t="shared" si="40"/>
        <v>701</v>
      </c>
      <c r="AH260" s="36">
        <v>45437</v>
      </c>
      <c r="AI260" s="36"/>
      <c r="AJ260" s="36"/>
      <c r="AK260" s="36">
        <v>45468</v>
      </c>
      <c r="AL260" s="36"/>
      <c r="AM260" s="46"/>
      <c r="AN260" s="40" t="s">
        <v>1774</v>
      </c>
      <c r="AO260" s="40" t="s">
        <v>1775</v>
      </c>
      <c r="AP260" s="40" t="s">
        <v>1776</v>
      </c>
      <c r="AQ260" s="40" t="s">
        <v>80</v>
      </c>
      <c r="AR260" s="48">
        <v>100</v>
      </c>
      <c r="AS260" s="37">
        <v>0</v>
      </c>
      <c r="AT260" s="37" t="s">
        <v>314</v>
      </c>
      <c r="AU260" s="47">
        <v>20</v>
      </c>
      <c r="AV260" s="37" t="s">
        <v>219</v>
      </c>
      <c r="AW260" s="37">
        <v>10</v>
      </c>
      <c r="AX260" s="30">
        <f>(J260*10)/100</f>
        <v>39578.36</v>
      </c>
      <c r="AY260" s="40" t="s">
        <v>402</v>
      </c>
    </row>
    <row r="261" spans="1:51" ht="48.75" customHeight="1" x14ac:dyDescent="0.25">
      <c r="A261" s="59" t="s">
        <v>1777</v>
      </c>
      <c r="B261" s="60">
        <v>45317</v>
      </c>
      <c r="C261" s="40">
        <v>1688</v>
      </c>
      <c r="D261" s="35" t="s">
        <v>1778</v>
      </c>
      <c r="E261" s="39" t="s">
        <v>1779</v>
      </c>
      <c r="F261" s="36">
        <v>45341</v>
      </c>
      <c r="G261" s="37" t="s">
        <v>1780</v>
      </c>
      <c r="H261" s="40" t="s">
        <v>1751</v>
      </c>
      <c r="I261" s="40" t="s">
        <v>1477</v>
      </c>
      <c r="J261" s="61">
        <v>58226215.799999997</v>
      </c>
      <c r="K261" s="41">
        <v>0</v>
      </c>
      <c r="L261" s="54">
        <v>0</v>
      </c>
      <c r="M261" s="54">
        <v>0</v>
      </c>
      <c r="N261" s="42">
        <f t="shared" si="43"/>
        <v>0</v>
      </c>
      <c r="O261" s="43">
        <f t="shared" si="37"/>
        <v>0</v>
      </c>
      <c r="P261" s="41">
        <v>58226215.799999997</v>
      </c>
      <c r="Q261" s="43">
        <f t="shared" si="38"/>
        <v>0</v>
      </c>
      <c r="R261" s="41">
        <v>58226215.799999997</v>
      </c>
      <c r="S261" s="30">
        <f t="shared" si="42"/>
        <v>58226215.799999997</v>
      </c>
      <c r="T261" s="30">
        <f t="shared" si="41"/>
        <v>58226215.799999997</v>
      </c>
      <c r="U261" s="30">
        <f>T261/X261</f>
        <v>233.10999999999999</v>
      </c>
      <c r="V261" s="41">
        <f>T261/X261</f>
        <v>233.10999999999999</v>
      </c>
      <c r="W261" s="41">
        <f>V261*AU261</f>
        <v>2331.1</v>
      </c>
      <c r="X261" s="41">
        <f t="shared" si="39"/>
        <v>249780</v>
      </c>
      <c r="Y261" s="41">
        <v>249780</v>
      </c>
      <c r="Z261" s="41">
        <v>0</v>
      </c>
      <c r="AA261" s="41">
        <v>0</v>
      </c>
      <c r="AB261" s="41">
        <v>0</v>
      </c>
      <c r="AC261" s="41">
        <f t="shared" si="44"/>
        <v>0</v>
      </c>
      <c r="AD261" s="41">
        <v>0</v>
      </c>
      <c r="AE261" s="41">
        <f t="shared" si="45"/>
        <v>0</v>
      </c>
      <c r="AF261" s="41">
        <f>X261/AU261</f>
        <v>24978</v>
      </c>
      <c r="AG261" s="41">
        <f t="shared" si="40"/>
        <v>24978</v>
      </c>
      <c r="AH261" s="36">
        <v>45621</v>
      </c>
      <c r="AI261" s="36"/>
      <c r="AJ261" s="36"/>
      <c r="AK261" s="36">
        <v>45649</v>
      </c>
      <c r="AL261" s="36"/>
      <c r="AM261" s="46"/>
      <c r="AN261" s="40" t="s">
        <v>1781</v>
      </c>
      <c r="AO261" s="40" t="s">
        <v>1782</v>
      </c>
      <c r="AP261" s="40" t="s">
        <v>1783</v>
      </c>
      <c r="AQ261" s="40" t="s">
        <v>80</v>
      </c>
      <c r="AR261" s="48">
        <v>100</v>
      </c>
      <c r="AS261" s="37">
        <v>0</v>
      </c>
      <c r="AT261" s="37" t="s">
        <v>314</v>
      </c>
      <c r="AU261" s="47">
        <v>10</v>
      </c>
      <c r="AV261" s="37" t="s">
        <v>60</v>
      </c>
      <c r="AW261" s="37">
        <v>10</v>
      </c>
      <c r="AX261" s="30">
        <f>(J261*10)/100</f>
        <v>5822621.5800000001</v>
      </c>
      <c r="AY261" s="40" t="s">
        <v>402</v>
      </c>
    </row>
    <row r="262" spans="1:51" ht="48.75" customHeight="1" x14ac:dyDescent="0.25">
      <c r="A262" s="59" t="s">
        <v>1784</v>
      </c>
      <c r="B262" s="60">
        <v>45317</v>
      </c>
      <c r="C262" s="40">
        <v>1688</v>
      </c>
      <c r="D262" s="35" t="s">
        <v>1785</v>
      </c>
      <c r="E262" s="39" t="s">
        <v>1786</v>
      </c>
      <c r="F262" s="36">
        <v>45341</v>
      </c>
      <c r="G262" s="37" t="s">
        <v>1787</v>
      </c>
      <c r="H262" s="40" t="s">
        <v>1751</v>
      </c>
      <c r="I262" s="40" t="s">
        <v>1495</v>
      </c>
      <c r="J262" s="61">
        <v>14520564.800000001</v>
      </c>
      <c r="K262" s="41">
        <v>0</v>
      </c>
      <c r="L262" s="54">
        <v>0</v>
      </c>
      <c r="M262" s="54">
        <v>0</v>
      </c>
      <c r="N262" s="42">
        <f t="shared" si="43"/>
        <v>0</v>
      </c>
      <c r="O262" s="43">
        <f t="shared" si="37"/>
        <v>0</v>
      </c>
      <c r="P262" s="41">
        <v>14520564.800000001</v>
      </c>
      <c r="Q262" s="43">
        <f t="shared" si="38"/>
        <v>0</v>
      </c>
      <c r="R262" s="41">
        <v>14520564.800000001</v>
      </c>
      <c r="S262" s="30">
        <f t="shared" si="42"/>
        <v>14520564.800000001</v>
      </c>
      <c r="T262" s="30">
        <f t="shared" si="41"/>
        <v>14520564.800000001</v>
      </c>
      <c r="U262" s="30">
        <f>T262/X262</f>
        <v>68.39</v>
      </c>
      <c r="V262" s="41">
        <f>T262/X262</f>
        <v>68.39</v>
      </c>
      <c r="W262" s="41">
        <f>V262*AU262</f>
        <v>1367.8</v>
      </c>
      <c r="X262" s="41">
        <f t="shared" si="39"/>
        <v>212320</v>
      </c>
      <c r="Y262" s="41">
        <v>212320</v>
      </c>
      <c r="Z262" s="41">
        <v>0</v>
      </c>
      <c r="AA262" s="41">
        <v>0</v>
      </c>
      <c r="AB262" s="41">
        <v>0</v>
      </c>
      <c r="AC262" s="41">
        <f t="shared" si="44"/>
        <v>0</v>
      </c>
      <c r="AD262" s="41">
        <v>0</v>
      </c>
      <c r="AE262" s="41">
        <f t="shared" si="45"/>
        <v>0</v>
      </c>
      <c r="AF262" s="41">
        <f>X262/AU262</f>
        <v>10616</v>
      </c>
      <c r="AG262" s="41">
        <f t="shared" si="40"/>
        <v>10616</v>
      </c>
      <c r="AH262" s="36">
        <v>45366</v>
      </c>
      <c r="AI262" s="36"/>
      <c r="AJ262" s="36"/>
      <c r="AK262" s="36">
        <v>45397</v>
      </c>
      <c r="AL262" s="36"/>
      <c r="AM262" s="46"/>
      <c r="AN262" s="40" t="s">
        <v>1788</v>
      </c>
      <c r="AO262" s="40" t="s">
        <v>1789</v>
      </c>
      <c r="AP262" s="40" t="s">
        <v>1790</v>
      </c>
      <c r="AQ262" s="40" t="s">
        <v>80</v>
      </c>
      <c r="AR262" s="48">
        <v>100</v>
      </c>
      <c r="AS262" s="37">
        <v>0</v>
      </c>
      <c r="AT262" s="37" t="s">
        <v>314</v>
      </c>
      <c r="AU262" s="47">
        <v>20</v>
      </c>
      <c r="AV262" s="37" t="s">
        <v>60</v>
      </c>
      <c r="AW262" s="37">
        <v>10</v>
      </c>
      <c r="AX262" s="30">
        <f>(J262*10)/100</f>
        <v>1452056.48</v>
      </c>
      <c r="AY262" s="40" t="s">
        <v>402</v>
      </c>
    </row>
    <row r="263" spans="1:51" ht="48.75" customHeight="1" x14ac:dyDescent="0.25">
      <c r="A263" s="59" t="s">
        <v>1791</v>
      </c>
      <c r="B263" s="60">
        <v>45320</v>
      </c>
      <c r="C263" s="40">
        <v>1688</v>
      </c>
      <c r="D263" s="35" t="s">
        <v>1792</v>
      </c>
      <c r="E263" s="39" t="s">
        <v>1793</v>
      </c>
      <c r="F263" s="36">
        <v>45343</v>
      </c>
      <c r="G263" s="37" t="s">
        <v>1794</v>
      </c>
      <c r="H263" s="40" t="s">
        <v>1795</v>
      </c>
      <c r="I263" s="40" t="s">
        <v>1796</v>
      </c>
      <c r="J263" s="61">
        <v>15481314</v>
      </c>
      <c r="K263" s="41">
        <v>0</v>
      </c>
      <c r="L263" s="54">
        <v>0</v>
      </c>
      <c r="M263" s="54">
        <v>0</v>
      </c>
      <c r="N263" s="42">
        <f t="shared" si="43"/>
        <v>0</v>
      </c>
      <c r="O263" s="43">
        <f t="shared" si="37"/>
        <v>0</v>
      </c>
      <c r="P263" s="61">
        <v>15481314</v>
      </c>
      <c r="Q263" s="43">
        <f t="shared" si="38"/>
        <v>0</v>
      </c>
      <c r="R263" s="61">
        <v>15481314</v>
      </c>
      <c r="S263" s="30">
        <f t="shared" si="42"/>
        <v>15481314</v>
      </c>
      <c r="T263" s="30">
        <f t="shared" si="41"/>
        <v>15481314</v>
      </c>
      <c r="U263" s="30">
        <f>T263/X263</f>
        <v>15.01</v>
      </c>
      <c r="V263" s="41">
        <f>T263/X263</f>
        <v>15.01</v>
      </c>
      <c r="W263" s="41">
        <f>V263*AU263</f>
        <v>1501</v>
      </c>
      <c r="X263" s="41">
        <f t="shared" si="39"/>
        <v>1031400</v>
      </c>
      <c r="Y263" s="41">
        <v>200000</v>
      </c>
      <c r="Z263" s="41">
        <v>831400</v>
      </c>
      <c r="AA263" s="41">
        <v>0</v>
      </c>
      <c r="AB263" s="41">
        <v>0</v>
      </c>
      <c r="AC263" s="41">
        <f t="shared" si="44"/>
        <v>0</v>
      </c>
      <c r="AD263" s="41">
        <v>0</v>
      </c>
      <c r="AE263" s="41">
        <f t="shared" si="45"/>
        <v>0</v>
      </c>
      <c r="AF263" s="41">
        <f>X263/AU263</f>
        <v>10314</v>
      </c>
      <c r="AG263" s="41">
        <f t="shared" si="40"/>
        <v>10314</v>
      </c>
      <c r="AH263" s="36">
        <v>45366</v>
      </c>
      <c r="AI263" s="36">
        <v>45412</v>
      </c>
      <c r="AJ263" s="36"/>
      <c r="AK263" s="36">
        <v>45397</v>
      </c>
      <c r="AL263" s="36">
        <v>45444</v>
      </c>
      <c r="AM263" s="46"/>
      <c r="AN263" s="40" t="s">
        <v>1797</v>
      </c>
      <c r="AO263" s="40" t="s">
        <v>1798</v>
      </c>
      <c r="AP263" s="40" t="s">
        <v>1799</v>
      </c>
      <c r="AQ263" s="40" t="s">
        <v>80</v>
      </c>
      <c r="AR263" s="48">
        <v>100</v>
      </c>
      <c r="AS263" s="37">
        <v>0</v>
      </c>
      <c r="AT263" s="37" t="s">
        <v>314</v>
      </c>
      <c r="AU263" s="47">
        <v>100</v>
      </c>
      <c r="AV263" s="37" t="s">
        <v>60</v>
      </c>
      <c r="AW263" s="37">
        <v>10</v>
      </c>
      <c r="AX263" s="30">
        <f>(J263*10)/100</f>
        <v>1548131.4</v>
      </c>
      <c r="AY263" s="40" t="s">
        <v>402</v>
      </c>
    </row>
    <row r="264" spans="1:51" ht="58.5" customHeight="1" x14ac:dyDescent="0.25">
      <c r="A264" s="59" t="s">
        <v>1800</v>
      </c>
      <c r="B264" s="60">
        <v>45320</v>
      </c>
      <c r="C264" s="40" t="s">
        <v>432</v>
      </c>
      <c r="D264" s="35" t="s">
        <v>1801</v>
      </c>
      <c r="E264" s="39" t="s">
        <v>1802</v>
      </c>
      <c r="F264" s="36">
        <v>45342</v>
      </c>
      <c r="G264" s="37" t="s">
        <v>1803</v>
      </c>
      <c r="H264" s="40" t="s">
        <v>53</v>
      </c>
      <c r="I264" s="40" t="s">
        <v>1804</v>
      </c>
      <c r="J264" s="61">
        <v>71990384.400000006</v>
      </c>
      <c r="K264" s="41">
        <v>0</v>
      </c>
      <c r="L264" s="54">
        <v>0</v>
      </c>
      <c r="M264" s="54">
        <v>0</v>
      </c>
      <c r="N264" s="42">
        <f t="shared" si="43"/>
        <v>0</v>
      </c>
      <c r="O264" s="43">
        <f t="shared" ref="O264:O327" si="46">J264-P264</f>
        <v>0</v>
      </c>
      <c r="P264" s="41">
        <v>71990384.400000006</v>
      </c>
      <c r="Q264" s="43">
        <f t="shared" ref="Q264:Q327" si="47">J264-R264</f>
        <v>0</v>
      </c>
      <c r="R264" s="41">
        <v>71990384.400000006</v>
      </c>
      <c r="S264" s="30">
        <f t="shared" si="42"/>
        <v>71990384.400000006</v>
      </c>
      <c r="T264" s="30">
        <f t="shared" si="41"/>
        <v>71990384.400000006</v>
      </c>
      <c r="U264" s="30">
        <v>387.42</v>
      </c>
      <c r="V264" s="41">
        <f>T264/X264</f>
        <v>387.42</v>
      </c>
      <c r="W264" s="41">
        <f>V264*AU264</f>
        <v>11622.6</v>
      </c>
      <c r="X264" s="41">
        <f t="shared" ref="X264:X327" si="48">Y264+Z264+AA264</f>
        <v>185820</v>
      </c>
      <c r="Y264" s="41">
        <v>185820</v>
      </c>
      <c r="Z264" s="41">
        <v>0</v>
      </c>
      <c r="AA264" s="41">
        <v>0</v>
      </c>
      <c r="AB264" s="41">
        <v>0</v>
      </c>
      <c r="AC264" s="41">
        <f t="shared" si="44"/>
        <v>0</v>
      </c>
      <c r="AD264" s="41">
        <v>0</v>
      </c>
      <c r="AE264" s="41">
        <f t="shared" si="45"/>
        <v>0</v>
      </c>
      <c r="AF264" s="41">
        <f>X264/AU264</f>
        <v>6194</v>
      </c>
      <c r="AG264" s="41">
        <f t="shared" si="40"/>
        <v>6194</v>
      </c>
      <c r="AH264" s="36">
        <v>45383</v>
      </c>
      <c r="AI264" s="36"/>
      <c r="AJ264" s="36"/>
      <c r="AK264" s="36">
        <v>45413</v>
      </c>
      <c r="AL264" s="36"/>
      <c r="AM264" s="46"/>
      <c r="AN264" s="40" t="s">
        <v>1805</v>
      </c>
      <c r="AO264" s="40" t="s">
        <v>1806</v>
      </c>
      <c r="AP264" s="40" t="s">
        <v>1807</v>
      </c>
      <c r="AQ264" s="40" t="s">
        <v>58</v>
      </c>
      <c r="AR264" s="48">
        <v>0</v>
      </c>
      <c r="AS264" s="37">
        <v>100</v>
      </c>
      <c r="AT264" s="37" t="s">
        <v>386</v>
      </c>
      <c r="AU264" s="47">
        <v>30</v>
      </c>
      <c r="AV264" s="37" t="s">
        <v>60</v>
      </c>
      <c r="AW264" s="37">
        <v>10</v>
      </c>
      <c r="AX264" s="30">
        <f>(J264*10)/100</f>
        <v>7199038.4400000004</v>
      </c>
      <c r="AY264" s="40" t="s">
        <v>402</v>
      </c>
    </row>
    <row r="265" spans="1:51" ht="48.75" customHeight="1" x14ac:dyDescent="0.25">
      <c r="A265" s="59" t="s">
        <v>1808</v>
      </c>
      <c r="B265" s="60">
        <v>45320</v>
      </c>
      <c r="C265" s="40">
        <v>1688</v>
      </c>
      <c r="D265" s="35" t="s">
        <v>1809</v>
      </c>
      <c r="E265" s="39" t="s">
        <v>1810</v>
      </c>
      <c r="F265" s="36">
        <v>45342</v>
      </c>
      <c r="G265" s="37" t="s">
        <v>1811</v>
      </c>
      <c r="H265" s="40" t="s">
        <v>1751</v>
      </c>
      <c r="I265" s="40" t="s">
        <v>1480</v>
      </c>
      <c r="J265" s="61">
        <v>14220438.699999999</v>
      </c>
      <c r="K265" s="41">
        <v>0</v>
      </c>
      <c r="L265" s="54">
        <v>0</v>
      </c>
      <c r="M265" s="54">
        <v>0</v>
      </c>
      <c r="N265" s="42">
        <f t="shared" si="43"/>
        <v>0</v>
      </c>
      <c r="O265" s="43">
        <f t="shared" si="46"/>
        <v>0</v>
      </c>
      <c r="P265" s="41">
        <v>14220438.699999999</v>
      </c>
      <c r="Q265" s="43">
        <f t="shared" si="47"/>
        <v>0</v>
      </c>
      <c r="R265" s="41">
        <v>14220438.699999999</v>
      </c>
      <c r="S265" s="30">
        <f t="shared" si="42"/>
        <v>14220438.699999999</v>
      </c>
      <c r="T265" s="30">
        <f t="shared" si="41"/>
        <v>14220438.699999999</v>
      </c>
      <c r="U265" s="30">
        <v>36.79</v>
      </c>
      <c r="V265" s="41">
        <f>T265/X265</f>
        <v>36.79</v>
      </c>
      <c r="W265" s="41">
        <f>V265*AU265</f>
        <v>735.8</v>
      </c>
      <c r="X265" s="41">
        <f t="shared" si="48"/>
        <v>386530</v>
      </c>
      <c r="Y265" s="41">
        <v>386530</v>
      </c>
      <c r="Z265" s="41">
        <v>0</v>
      </c>
      <c r="AA265" s="41">
        <v>0</v>
      </c>
      <c r="AB265" s="41">
        <v>0</v>
      </c>
      <c r="AC265" s="41">
        <f t="shared" si="44"/>
        <v>0</v>
      </c>
      <c r="AD265" s="41">
        <v>0</v>
      </c>
      <c r="AE265" s="41">
        <f t="shared" si="45"/>
        <v>0</v>
      </c>
      <c r="AF265" s="41">
        <f>X265/AU265</f>
        <v>19326.5</v>
      </c>
      <c r="AG265" s="41">
        <f t="shared" si="40"/>
        <v>19327</v>
      </c>
      <c r="AH265" s="36">
        <v>45366</v>
      </c>
      <c r="AI265" s="36"/>
      <c r="AJ265" s="36"/>
      <c r="AK265" s="36">
        <v>45397</v>
      </c>
      <c r="AL265" s="36"/>
      <c r="AM265" s="46"/>
      <c r="AN265" s="40" t="s">
        <v>1812</v>
      </c>
      <c r="AO265" s="40" t="s">
        <v>1813</v>
      </c>
      <c r="AP265" s="40" t="s">
        <v>1814</v>
      </c>
      <c r="AQ265" s="40" t="s">
        <v>80</v>
      </c>
      <c r="AR265" s="48">
        <v>100</v>
      </c>
      <c r="AS265" s="37">
        <v>0</v>
      </c>
      <c r="AT265" s="37" t="s">
        <v>314</v>
      </c>
      <c r="AU265" s="47">
        <v>20</v>
      </c>
      <c r="AV265" s="37" t="s">
        <v>60</v>
      </c>
      <c r="AW265" s="37">
        <v>10</v>
      </c>
      <c r="AX265" s="30">
        <f>(J265*10)/100</f>
        <v>1422043.87</v>
      </c>
      <c r="AY265" s="40" t="s">
        <v>402</v>
      </c>
    </row>
    <row r="266" spans="1:51" ht="48.75" customHeight="1" x14ac:dyDescent="0.25">
      <c r="A266" s="59" t="s">
        <v>1815</v>
      </c>
      <c r="B266" s="60">
        <v>45320</v>
      </c>
      <c r="C266" s="40" t="s">
        <v>432</v>
      </c>
      <c r="D266" s="37" t="s">
        <v>431</v>
      </c>
      <c r="E266" s="39" t="s">
        <v>1816</v>
      </c>
      <c r="F266" s="37" t="s">
        <v>431</v>
      </c>
      <c r="G266" s="37" t="s">
        <v>431</v>
      </c>
      <c r="H266" s="37" t="s">
        <v>431</v>
      </c>
      <c r="I266" s="40" t="s">
        <v>1817</v>
      </c>
      <c r="J266" s="61">
        <v>1051214.3999999999</v>
      </c>
      <c r="K266" s="41">
        <v>0</v>
      </c>
      <c r="L266" s="54">
        <v>0</v>
      </c>
      <c r="M266" s="54">
        <v>0</v>
      </c>
      <c r="N266" s="42">
        <f t="shared" si="43"/>
        <v>100</v>
      </c>
      <c r="O266" s="43">
        <f t="shared" si="46"/>
        <v>1051214.3999999999</v>
      </c>
      <c r="P266" s="41"/>
      <c r="Q266" s="43">
        <f t="shared" si="47"/>
        <v>1051214.3999999999</v>
      </c>
      <c r="R266" s="41">
        <v>0</v>
      </c>
      <c r="S266" s="30">
        <f t="shared" si="42"/>
        <v>0</v>
      </c>
      <c r="T266" s="30">
        <f t="shared" si="41"/>
        <v>0</v>
      </c>
      <c r="U266" s="30">
        <v>0.37</v>
      </c>
      <c r="V266" s="41">
        <f>T266/X266</f>
        <v>0</v>
      </c>
      <c r="W266" s="41">
        <f>V266*AU266</f>
        <v>0</v>
      </c>
      <c r="X266" s="41">
        <f t="shared" si="48"/>
        <v>2841120</v>
      </c>
      <c r="Y266" s="41">
        <v>2841120</v>
      </c>
      <c r="Z266" s="41">
        <v>0</v>
      </c>
      <c r="AA266" s="41">
        <v>0</v>
      </c>
      <c r="AB266" s="41"/>
      <c r="AC266" s="41">
        <f t="shared" si="44"/>
        <v>0</v>
      </c>
      <c r="AD266" s="41"/>
      <c r="AE266" s="41">
        <f t="shared" si="45"/>
        <v>0</v>
      </c>
      <c r="AF266" s="41" t="e">
        <f>X266/AU266</f>
        <v>#DIV/0!</v>
      </c>
      <c r="AG266" s="41" t="e">
        <f t="shared" si="40"/>
        <v>#DIV/0!</v>
      </c>
      <c r="AH266" s="36">
        <v>45366</v>
      </c>
      <c r="AI266" s="36"/>
      <c r="AJ266" s="36"/>
      <c r="AK266" s="36"/>
      <c r="AL266" s="36"/>
      <c r="AM266" s="46"/>
      <c r="AN266" s="40"/>
      <c r="AO266" s="40"/>
      <c r="AP266" s="40"/>
      <c r="AQ266" s="40"/>
      <c r="AR266" s="48"/>
      <c r="AS266" s="37"/>
      <c r="AT266" s="37"/>
      <c r="AU266" s="47"/>
      <c r="AV266" s="37"/>
      <c r="AW266" s="37">
        <v>10</v>
      </c>
      <c r="AX266" s="30">
        <f>(J266*10)/100</f>
        <v>105121.44</v>
      </c>
      <c r="AY266" s="40" t="s">
        <v>431</v>
      </c>
    </row>
    <row r="267" spans="1:51" ht="48.75" customHeight="1" x14ac:dyDescent="0.25">
      <c r="A267" s="59" t="s">
        <v>1818</v>
      </c>
      <c r="B267" s="60">
        <v>45320</v>
      </c>
      <c r="C267" s="40" t="s">
        <v>432</v>
      </c>
      <c r="D267" s="37" t="s">
        <v>431</v>
      </c>
      <c r="E267" s="39" t="s">
        <v>1816</v>
      </c>
      <c r="F267" s="37" t="s">
        <v>431</v>
      </c>
      <c r="G267" s="37" t="s">
        <v>431</v>
      </c>
      <c r="H267" s="37" t="s">
        <v>431</v>
      </c>
      <c r="I267" s="40" t="s">
        <v>1819</v>
      </c>
      <c r="J267" s="61">
        <v>62318490</v>
      </c>
      <c r="K267" s="41">
        <v>0</v>
      </c>
      <c r="L267" s="54">
        <v>0</v>
      </c>
      <c r="M267" s="54">
        <v>0</v>
      </c>
      <c r="N267" s="42">
        <f t="shared" si="43"/>
        <v>100</v>
      </c>
      <c r="O267" s="43">
        <f t="shared" si="46"/>
        <v>62318490</v>
      </c>
      <c r="P267" s="41"/>
      <c r="Q267" s="43">
        <f t="shared" si="47"/>
        <v>62318490</v>
      </c>
      <c r="R267" s="41">
        <v>0</v>
      </c>
      <c r="S267" s="30">
        <f t="shared" si="42"/>
        <v>0</v>
      </c>
      <c r="T267" s="30">
        <f t="shared" si="41"/>
        <v>0</v>
      </c>
      <c r="U267" s="30">
        <v>6.5</v>
      </c>
      <c r="V267" s="41">
        <f>T267/X267</f>
        <v>0</v>
      </c>
      <c r="W267" s="41">
        <f>V267*AU267</f>
        <v>0</v>
      </c>
      <c r="X267" s="41">
        <f t="shared" si="48"/>
        <v>9587460</v>
      </c>
      <c r="Y267" s="41">
        <v>9587460</v>
      </c>
      <c r="Z267" s="41">
        <v>0</v>
      </c>
      <c r="AA267" s="41">
        <v>0</v>
      </c>
      <c r="AB267" s="41"/>
      <c r="AC267" s="41">
        <f t="shared" si="44"/>
        <v>0</v>
      </c>
      <c r="AD267" s="41"/>
      <c r="AE267" s="41">
        <f t="shared" si="45"/>
        <v>0</v>
      </c>
      <c r="AF267" s="41" t="e">
        <f>X267/AU267</f>
        <v>#DIV/0!</v>
      </c>
      <c r="AG267" s="41" t="e">
        <f t="shared" si="40"/>
        <v>#DIV/0!</v>
      </c>
      <c r="AH267" s="36">
        <v>45383</v>
      </c>
      <c r="AI267" s="36"/>
      <c r="AJ267" s="36"/>
      <c r="AK267" s="36"/>
      <c r="AL267" s="36"/>
      <c r="AM267" s="46"/>
      <c r="AN267" s="40"/>
      <c r="AO267" s="40"/>
      <c r="AP267" s="40"/>
      <c r="AQ267" s="40"/>
      <c r="AR267" s="48"/>
      <c r="AS267" s="37"/>
      <c r="AT267" s="37"/>
      <c r="AU267" s="47"/>
      <c r="AV267" s="37"/>
      <c r="AW267" s="37">
        <v>10</v>
      </c>
      <c r="AX267" s="30">
        <f>(J267*10)/100</f>
        <v>6231849</v>
      </c>
      <c r="AY267" s="40" t="s">
        <v>431</v>
      </c>
    </row>
    <row r="268" spans="1:51" ht="48.75" customHeight="1" x14ac:dyDescent="0.25">
      <c r="A268" s="59" t="s">
        <v>1820</v>
      </c>
      <c r="B268" s="60">
        <v>45320</v>
      </c>
      <c r="C268" s="40">
        <v>1688</v>
      </c>
      <c r="D268" s="35" t="s">
        <v>1821</v>
      </c>
      <c r="E268" s="39" t="s">
        <v>1822</v>
      </c>
      <c r="F268" s="36">
        <v>45342</v>
      </c>
      <c r="G268" s="37" t="s">
        <v>1823</v>
      </c>
      <c r="H268" s="40" t="s">
        <v>1751</v>
      </c>
      <c r="I268" s="40" t="s">
        <v>1483</v>
      </c>
      <c r="J268" s="61">
        <v>5451924.5</v>
      </c>
      <c r="K268" s="41">
        <v>0</v>
      </c>
      <c r="L268" s="54">
        <v>0</v>
      </c>
      <c r="M268" s="54">
        <v>0</v>
      </c>
      <c r="N268" s="42">
        <f t="shared" si="43"/>
        <v>0</v>
      </c>
      <c r="O268" s="43">
        <f t="shared" si="46"/>
        <v>0</v>
      </c>
      <c r="P268" s="41">
        <v>5451924.5</v>
      </c>
      <c r="Q268" s="43">
        <f t="shared" si="47"/>
        <v>0</v>
      </c>
      <c r="R268" s="41">
        <v>5451924.5</v>
      </c>
      <c r="S268" s="30">
        <f t="shared" si="42"/>
        <v>5451924.5</v>
      </c>
      <c r="T268" s="30">
        <f t="shared" si="41"/>
        <v>5451924.5</v>
      </c>
      <c r="U268" s="30">
        <v>187.03</v>
      </c>
      <c r="V268" s="41">
        <f>T268/X268</f>
        <v>187.03</v>
      </c>
      <c r="W268" s="41">
        <f>V268*AU268</f>
        <v>1870.3</v>
      </c>
      <c r="X268" s="41">
        <f t="shared" si="48"/>
        <v>29150</v>
      </c>
      <c r="Y268" s="41">
        <v>29150</v>
      </c>
      <c r="Z268" s="41">
        <v>0</v>
      </c>
      <c r="AA268" s="41">
        <v>0</v>
      </c>
      <c r="AB268" s="41">
        <v>0</v>
      </c>
      <c r="AC268" s="41">
        <f t="shared" si="44"/>
        <v>0</v>
      </c>
      <c r="AD268" s="41">
        <v>0</v>
      </c>
      <c r="AE268" s="41">
        <f t="shared" si="45"/>
        <v>0</v>
      </c>
      <c r="AF268" s="41">
        <f>X268/AU268</f>
        <v>2915</v>
      </c>
      <c r="AG268" s="41">
        <f t="shared" si="40"/>
        <v>2915</v>
      </c>
      <c r="AH268" s="36">
        <v>45621</v>
      </c>
      <c r="AI268" s="36"/>
      <c r="AJ268" s="36"/>
      <c r="AK268" s="36">
        <v>45649</v>
      </c>
      <c r="AL268" s="36"/>
      <c r="AM268" s="46"/>
      <c r="AN268" s="40" t="s">
        <v>1824</v>
      </c>
      <c r="AO268" s="40" t="s">
        <v>1782</v>
      </c>
      <c r="AP268" s="40" t="s">
        <v>1825</v>
      </c>
      <c r="AQ268" s="40" t="s">
        <v>80</v>
      </c>
      <c r="AR268" s="48">
        <v>100</v>
      </c>
      <c r="AS268" s="37">
        <v>0</v>
      </c>
      <c r="AT268" s="37" t="s">
        <v>314</v>
      </c>
      <c r="AU268" s="47">
        <v>10</v>
      </c>
      <c r="AV268" s="37" t="s">
        <v>219</v>
      </c>
      <c r="AW268" s="37">
        <v>10</v>
      </c>
      <c r="AX268" s="30">
        <f>(J268*10)/100</f>
        <v>545192.44999999995</v>
      </c>
      <c r="AY268" s="40" t="s">
        <v>402</v>
      </c>
    </row>
    <row r="269" spans="1:51" ht="48.75" customHeight="1" x14ac:dyDescent="0.25">
      <c r="A269" s="59" t="s">
        <v>1826</v>
      </c>
      <c r="B269" s="60">
        <v>45320</v>
      </c>
      <c r="C269" s="40">
        <v>1688</v>
      </c>
      <c r="D269" s="35" t="s">
        <v>1827</v>
      </c>
      <c r="E269" s="39" t="s">
        <v>1828</v>
      </c>
      <c r="F269" s="36">
        <v>45343</v>
      </c>
      <c r="G269" s="37" t="s">
        <v>1829</v>
      </c>
      <c r="H269" s="40" t="s">
        <v>1830</v>
      </c>
      <c r="I269" s="40" t="s">
        <v>1831</v>
      </c>
      <c r="J269" s="61">
        <v>23115840</v>
      </c>
      <c r="K269" s="41">
        <v>0</v>
      </c>
      <c r="L269" s="54">
        <v>0</v>
      </c>
      <c r="M269" s="54">
        <v>0</v>
      </c>
      <c r="N269" s="42">
        <f t="shared" si="43"/>
        <v>0</v>
      </c>
      <c r="O269" s="43">
        <f t="shared" si="46"/>
        <v>0</v>
      </c>
      <c r="P269" s="61">
        <v>23115840</v>
      </c>
      <c r="Q269" s="43">
        <f t="shared" si="47"/>
        <v>0</v>
      </c>
      <c r="R269" s="61">
        <v>23115840</v>
      </c>
      <c r="S269" s="30">
        <f t="shared" si="42"/>
        <v>23115840</v>
      </c>
      <c r="T269" s="30">
        <f t="shared" si="41"/>
        <v>23115840</v>
      </c>
      <c r="U269" s="30">
        <v>176</v>
      </c>
      <c r="V269" s="41">
        <f>T269/X269</f>
        <v>176</v>
      </c>
      <c r="W269" s="41">
        <f>V269*AU269</f>
        <v>880</v>
      </c>
      <c r="X269" s="41">
        <f t="shared" si="48"/>
        <v>131340</v>
      </c>
      <c r="Y269" s="41">
        <v>131340</v>
      </c>
      <c r="Z269" s="41">
        <v>0</v>
      </c>
      <c r="AA269" s="41">
        <v>0</v>
      </c>
      <c r="AB269" s="41">
        <v>0</v>
      </c>
      <c r="AC269" s="41">
        <f t="shared" si="44"/>
        <v>0</v>
      </c>
      <c r="AD269" s="41">
        <v>0</v>
      </c>
      <c r="AE269" s="41">
        <f t="shared" si="45"/>
        <v>0</v>
      </c>
      <c r="AF269" s="41">
        <f>X269/AU269</f>
        <v>26268</v>
      </c>
      <c r="AG269" s="41">
        <f t="shared" si="40"/>
        <v>26268</v>
      </c>
      <c r="AH269" s="36">
        <v>45413</v>
      </c>
      <c r="AI269" s="36"/>
      <c r="AJ269" s="36"/>
      <c r="AK269" s="36">
        <v>45444</v>
      </c>
      <c r="AL269" s="36"/>
      <c r="AM269" s="46"/>
      <c r="AN269" s="40" t="s">
        <v>1832</v>
      </c>
      <c r="AO269" s="40" t="s">
        <v>1833</v>
      </c>
      <c r="AP269" s="40" t="s">
        <v>1834</v>
      </c>
      <c r="AQ269" s="40" t="s">
        <v>80</v>
      </c>
      <c r="AR269" s="48">
        <v>100</v>
      </c>
      <c r="AS269" s="37">
        <v>0</v>
      </c>
      <c r="AT269" s="37" t="s">
        <v>314</v>
      </c>
      <c r="AU269" s="47">
        <v>5</v>
      </c>
      <c r="AV269" s="37" t="s">
        <v>60</v>
      </c>
      <c r="AW269" s="37">
        <v>10</v>
      </c>
      <c r="AX269" s="30">
        <f>(J269*10)/100</f>
        <v>2311584</v>
      </c>
      <c r="AY269" s="40" t="s">
        <v>402</v>
      </c>
    </row>
    <row r="270" spans="1:51" ht="48.75" customHeight="1" x14ac:dyDescent="0.25">
      <c r="A270" s="59" t="s">
        <v>1835</v>
      </c>
      <c r="B270" s="60">
        <v>45320</v>
      </c>
      <c r="C270" s="40" t="s">
        <v>432</v>
      </c>
      <c r="D270" s="37" t="s">
        <v>431</v>
      </c>
      <c r="E270" s="39" t="s">
        <v>1836</v>
      </c>
      <c r="F270" s="37" t="s">
        <v>431</v>
      </c>
      <c r="G270" s="37" t="s">
        <v>431</v>
      </c>
      <c r="H270" s="37" t="s">
        <v>431</v>
      </c>
      <c r="I270" s="40" t="s">
        <v>1837</v>
      </c>
      <c r="J270" s="61">
        <v>4590227.4000000004</v>
      </c>
      <c r="K270" s="41">
        <v>0</v>
      </c>
      <c r="L270" s="54">
        <v>0</v>
      </c>
      <c r="M270" s="54">
        <v>0</v>
      </c>
      <c r="N270" s="42">
        <f t="shared" si="43"/>
        <v>100</v>
      </c>
      <c r="O270" s="43">
        <f t="shared" si="46"/>
        <v>4590227.4000000004</v>
      </c>
      <c r="P270" s="41"/>
      <c r="Q270" s="43">
        <f t="shared" si="47"/>
        <v>4590227.4000000004</v>
      </c>
      <c r="R270" s="41">
        <v>0</v>
      </c>
      <c r="S270" s="30">
        <f t="shared" si="42"/>
        <v>0</v>
      </c>
      <c r="T270" s="30">
        <f t="shared" si="41"/>
        <v>0</v>
      </c>
      <c r="U270" s="30">
        <v>45477</v>
      </c>
      <c r="V270" s="41">
        <f>T270/X270</f>
        <v>0</v>
      </c>
      <c r="W270" s="41">
        <f>V270*AU270</f>
        <v>0</v>
      </c>
      <c r="X270" s="41">
        <f t="shared" si="48"/>
        <v>1127820</v>
      </c>
      <c r="Y270" s="41">
        <v>1127820</v>
      </c>
      <c r="Z270" s="41">
        <v>0</v>
      </c>
      <c r="AA270" s="41">
        <v>0</v>
      </c>
      <c r="AB270" s="41"/>
      <c r="AC270" s="41">
        <f t="shared" si="44"/>
        <v>0</v>
      </c>
      <c r="AD270" s="41"/>
      <c r="AE270" s="41">
        <f t="shared" si="45"/>
        <v>0</v>
      </c>
      <c r="AF270" s="41" t="e">
        <f>X270/AU270</f>
        <v>#DIV/0!</v>
      </c>
      <c r="AG270" s="41" t="e">
        <f t="shared" si="40"/>
        <v>#DIV/0!</v>
      </c>
      <c r="AH270" s="36">
        <v>45383</v>
      </c>
      <c r="AI270" s="36"/>
      <c r="AJ270" s="36"/>
      <c r="AK270" s="36"/>
      <c r="AL270" s="36"/>
      <c r="AM270" s="46"/>
      <c r="AN270" s="40"/>
      <c r="AO270" s="40"/>
      <c r="AP270" s="40"/>
      <c r="AQ270" s="40"/>
      <c r="AR270" s="48"/>
      <c r="AS270" s="37"/>
      <c r="AT270" s="37"/>
      <c r="AU270" s="47"/>
      <c r="AV270" s="37"/>
      <c r="AW270" s="37">
        <v>10</v>
      </c>
      <c r="AX270" s="30">
        <f>(J270*10)/100</f>
        <v>459022.74</v>
      </c>
      <c r="AY270" s="40" t="s">
        <v>431</v>
      </c>
    </row>
    <row r="271" spans="1:51" ht="48.75" customHeight="1" x14ac:dyDescent="0.25">
      <c r="A271" s="59" t="s">
        <v>1838</v>
      </c>
      <c r="B271" s="60">
        <v>45320</v>
      </c>
      <c r="C271" s="40">
        <v>1688</v>
      </c>
      <c r="D271" s="35" t="s">
        <v>1839</v>
      </c>
      <c r="E271" s="39" t="s">
        <v>1840</v>
      </c>
      <c r="F271" s="36">
        <v>45342</v>
      </c>
      <c r="G271" s="37" t="s">
        <v>1841</v>
      </c>
      <c r="H271" s="40" t="s">
        <v>1751</v>
      </c>
      <c r="I271" s="40" t="s">
        <v>1498</v>
      </c>
      <c r="J271" s="61">
        <v>156002068.31999999</v>
      </c>
      <c r="K271" s="41">
        <v>0</v>
      </c>
      <c r="L271" s="54">
        <v>0</v>
      </c>
      <c r="M271" s="54">
        <v>0</v>
      </c>
      <c r="N271" s="42">
        <f t="shared" si="43"/>
        <v>0</v>
      </c>
      <c r="O271" s="43">
        <f t="shared" si="46"/>
        <v>0</v>
      </c>
      <c r="P271" s="41">
        <v>156002068.31999999</v>
      </c>
      <c r="Q271" s="43">
        <f t="shared" si="47"/>
        <v>0</v>
      </c>
      <c r="R271" s="41">
        <v>156002068.31999999</v>
      </c>
      <c r="S271" s="30">
        <f t="shared" si="42"/>
        <v>156002068.31999999</v>
      </c>
      <c r="T271" s="30">
        <f t="shared" si="41"/>
        <v>156002068.31999999</v>
      </c>
      <c r="U271" s="30" t="s">
        <v>1842</v>
      </c>
      <c r="V271" s="41">
        <f>T271/X271</f>
        <v>39.629999999999995</v>
      </c>
      <c r="W271" s="41">
        <f>V271*AU271</f>
        <v>792.59999999999991</v>
      </c>
      <c r="X271" s="41">
        <f t="shared" si="48"/>
        <v>3936464</v>
      </c>
      <c r="Y271" s="41">
        <v>3936464</v>
      </c>
      <c r="Z271" s="41">
        <v>0</v>
      </c>
      <c r="AA271" s="41">
        <v>0</v>
      </c>
      <c r="AB271" s="41">
        <v>0</v>
      </c>
      <c r="AC271" s="41">
        <f t="shared" si="44"/>
        <v>0</v>
      </c>
      <c r="AD271" s="41">
        <v>0</v>
      </c>
      <c r="AE271" s="41">
        <f t="shared" si="45"/>
        <v>0</v>
      </c>
      <c r="AF271" s="41">
        <f>X271/AU271</f>
        <v>196823.2</v>
      </c>
      <c r="AG271" s="41">
        <f t="shared" ref="AG271:AG334" si="49">_xlfn.CEILING.MATH(AF271)</f>
        <v>196824</v>
      </c>
      <c r="AH271" s="36">
        <v>45366</v>
      </c>
      <c r="AI271" s="36"/>
      <c r="AJ271" s="36"/>
      <c r="AK271" s="36">
        <v>45397</v>
      </c>
      <c r="AL271" s="36"/>
      <c r="AM271" s="46"/>
      <c r="AN271" s="40" t="s">
        <v>1843</v>
      </c>
      <c r="AO271" s="40" t="s">
        <v>1844</v>
      </c>
      <c r="AP271" s="40" t="s">
        <v>1845</v>
      </c>
      <c r="AQ271" s="40" t="s">
        <v>80</v>
      </c>
      <c r="AR271" s="48">
        <v>100</v>
      </c>
      <c r="AS271" s="37">
        <v>0</v>
      </c>
      <c r="AT271" s="37" t="s">
        <v>314</v>
      </c>
      <c r="AU271" s="47">
        <v>20</v>
      </c>
      <c r="AV271" s="37" t="s">
        <v>60</v>
      </c>
      <c r="AW271" s="37">
        <v>10</v>
      </c>
      <c r="AX271" s="30">
        <f>(J271*10)/100</f>
        <v>15600206.831999999</v>
      </c>
      <c r="AY271" s="40" t="s">
        <v>402</v>
      </c>
    </row>
    <row r="272" spans="1:51" ht="48.75" customHeight="1" x14ac:dyDescent="0.25">
      <c r="A272" s="59" t="s">
        <v>1846</v>
      </c>
      <c r="B272" s="60">
        <v>45320</v>
      </c>
      <c r="C272" s="40" t="s">
        <v>1847</v>
      </c>
      <c r="D272" s="35" t="s">
        <v>1848</v>
      </c>
      <c r="E272" s="39" t="s">
        <v>1849</v>
      </c>
      <c r="F272" s="36">
        <v>45330</v>
      </c>
      <c r="G272" s="37" t="s">
        <v>1850</v>
      </c>
      <c r="H272" s="40" t="s">
        <v>269</v>
      </c>
      <c r="I272" s="40" t="s">
        <v>462</v>
      </c>
      <c r="J272" s="61">
        <v>3756093</v>
      </c>
      <c r="K272" s="41">
        <v>0</v>
      </c>
      <c r="L272" s="54">
        <v>0</v>
      </c>
      <c r="M272" s="54">
        <v>0</v>
      </c>
      <c r="N272" s="42">
        <f t="shared" si="43"/>
        <v>0</v>
      </c>
      <c r="O272" s="43">
        <f t="shared" si="46"/>
        <v>0</v>
      </c>
      <c r="P272" s="41">
        <v>3756093</v>
      </c>
      <c r="Q272" s="43">
        <f t="shared" si="47"/>
        <v>0</v>
      </c>
      <c r="R272" s="41">
        <v>3756093</v>
      </c>
      <c r="S272" s="30">
        <f t="shared" si="42"/>
        <v>3756093</v>
      </c>
      <c r="T272" s="30">
        <f t="shared" si="41"/>
        <v>3756093</v>
      </c>
      <c r="U272" s="30">
        <f>T272/X272</f>
        <v>1455.85</v>
      </c>
      <c r="V272" s="41">
        <f>T272/X272</f>
        <v>1455.85</v>
      </c>
      <c r="W272" s="41">
        <f>V272*AU272</f>
        <v>43675.5</v>
      </c>
      <c r="X272" s="41">
        <f t="shared" si="48"/>
        <v>2580</v>
      </c>
      <c r="Y272" s="41">
        <v>2580</v>
      </c>
      <c r="Z272" s="41">
        <v>0</v>
      </c>
      <c r="AA272" s="41">
        <v>0</v>
      </c>
      <c r="AB272" s="41">
        <v>0</v>
      </c>
      <c r="AC272" s="41">
        <f t="shared" si="44"/>
        <v>0</v>
      </c>
      <c r="AD272" s="41">
        <v>0</v>
      </c>
      <c r="AE272" s="41">
        <f t="shared" si="45"/>
        <v>0</v>
      </c>
      <c r="AF272" s="41">
        <f>X272/AU272</f>
        <v>86</v>
      </c>
      <c r="AG272" s="41">
        <f t="shared" si="49"/>
        <v>86</v>
      </c>
      <c r="AH272" s="36">
        <v>45352</v>
      </c>
      <c r="AI272" s="36"/>
      <c r="AJ272" s="36"/>
      <c r="AK272" s="36">
        <v>45383</v>
      </c>
      <c r="AL272" s="36"/>
      <c r="AM272" s="46"/>
      <c r="AN272" s="40" t="s">
        <v>440</v>
      </c>
      <c r="AO272" s="40" t="s">
        <v>463</v>
      </c>
      <c r="AP272" s="40" t="s">
        <v>442</v>
      </c>
      <c r="AQ272" s="40" t="s">
        <v>293</v>
      </c>
      <c r="AR272" s="48">
        <v>0</v>
      </c>
      <c r="AS272" s="37">
        <v>100</v>
      </c>
      <c r="AT272" s="37" t="s">
        <v>386</v>
      </c>
      <c r="AU272" s="47">
        <v>30</v>
      </c>
      <c r="AV272" s="37" t="s">
        <v>219</v>
      </c>
      <c r="AW272" s="37">
        <v>10</v>
      </c>
      <c r="AX272" s="30">
        <f>(J272*10)/100</f>
        <v>375609.3</v>
      </c>
      <c r="AY272" s="40" t="s">
        <v>402</v>
      </c>
    </row>
    <row r="273" spans="1:51" ht="43.5" customHeight="1" x14ac:dyDescent="0.25">
      <c r="A273" s="59" t="s">
        <v>1851</v>
      </c>
      <c r="B273" s="60">
        <v>45320</v>
      </c>
      <c r="C273" s="40">
        <v>545</v>
      </c>
      <c r="D273" s="35" t="s">
        <v>431</v>
      </c>
      <c r="E273" s="39" t="s">
        <v>1852</v>
      </c>
      <c r="F273" s="36" t="s">
        <v>431</v>
      </c>
      <c r="G273" s="37" t="s">
        <v>431</v>
      </c>
      <c r="H273" s="40" t="s">
        <v>431</v>
      </c>
      <c r="I273" s="40" t="s">
        <v>1159</v>
      </c>
      <c r="J273" s="61">
        <v>266757529.5</v>
      </c>
      <c r="K273" s="41">
        <v>0</v>
      </c>
      <c r="L273" s="54">
        <v>0</v>
      </c>
      <c r="M273" s="54">
        <v>0</v>
      </c>
      <c r="N273" s="42">
        <f t="shared" si="43"/>
        <v>100</v>
      </c>
      <c r="O273" s="43">
        <f t="shared" si="46"/>
        <v>266757529.5</v>
      </c>
      <c r="P273" s="41"/>
      <c r="Q273" s="43">
        <f t="shared" si="47"/>
        <v>266757529.5</v>
      </c>
      <c r="R273" s="41">
        <v>0</v>
      </c>
      <c r="S273" s="30">
        <f t="shared" si="42"/>
        <v>0</v>
      </c>
      <c r="T273" s="30">
        <f t="shared" si="41"/>
        <v>0</v>
      </c>
      <c r="U273" s="30">
        <v>204411.9</v>
      </c>
      <c r="V273" s="41">
        <f>T273/X273</f>
        <v>0</v>
      </c>
      <c r="W273" s="41">
        <f>V273*AU273</f>
        <v>0</v>
      </c>
      <c r="X273" s="41">
        <f t="shared" si="48"/>
        <v>1305</v>
      </c>
      <c r="Y273" s="41">
        <v>1305</v>
      </c>
      <c r="Z273" s="41">
        <v>0</v>
      </c>
      <c r="AA273" s="41">
        <v>0</v>
      </c>
      <c r="AB273" s="41"/>
      <c r="AC273" s="41">
        <f t="shared" si="44"/>
        <v>0</v>
      </c>
      <c r="AD273" s="41"/>
      <c r="AE273" s="41">
        <f t="shared" si="45"/>
        <v>0</v>
      </c>
      <c r="AF273" s="41" t="e">
        <f>X273/AU273</f>
        <v>#DIV/0!</v>
      </c>
      <c r="AG273" s="41" t="e">
        <f t="shared" si="49"/>
        <v>#DIV/0!</v>
      </c>
      <c r="AH273" s="36">
        <v>45366</v>
      </c>
      <c r="AI273" s="36"/>
      <c r="AJ273" s="36"/>
      <c r="AK273" s="36"/>
      <c r="AL273" s="36"/>
      <c r="AM273" s="46"/>
      <c r="AN273" s="40"/>
      <c r="AO273" s="40"/>
      <c r="AP273" s="40"/>
      <c r="AQ273" s="40"/>
      <c r="AR273" s="48"/>
      <c r="AS273" s="37"/>
      <c r="AT273" s="37"/>
      <c r="AU273" s="47"/>
      <c r="AV273" s="37"/>
      <c r="AW273" s="37">
        <v>10</v>
      </c>
      <c r="AX273" s="30">
        <f>(J273*10)/100</f>
        <v>26675752.949999999</v>
      </c>
      <c r="AY273" s="40" t="s">
        <v>431</v>
      </c>
    </row>
    <row r="274" spans="1:51" ht="48" customHeight="1" x14ac:dyDescent="0.25">
      <c r="A274" s="59" t="s">
        <v>1853</v>
      </c>
      <c r="B274" s="60">
        <v>45320</v>
      </c>
      <c r="C274" s="40">
        <v>545</v>
      </c>
      <c r="D274" s="37" t="s">
        <v>431</v>
      </c>
      <c r="E274" s="39" t="s">
        <v>1854</v>
      </c>
      <c r="F274" s="37" t="s">
        <v>431</v>
      </c>
      <c r="G274" s="37" t="s">
        <v>431</v>
      </c>
      <c r="H274" s="37" t="s">
        <v>431</v>
      </c>
      <c r="I274" s="40" t="s">
        <v>564</v>
      </c>
      <c r="J274" s="61">
        <v>28479928.800000001</v>
      </c>
      <c r="K274" s="41">
        <v>0</v>
      </c>
      <c r="L274" s="54">
        <v>0</v>
      </c>
      <c r="M274" s="54">
        <v>0</v>
      </c>
      <c r="N274" s="42">
        <f t="shared" si="43"/>
        <v>100</v>
      </c>
      <c r="O274" s="43">
        <f t="shared" si="46"/>
        <v>28479928.800000001</v>
      </c>
      <c r="P274" s="41"/>
      <c r="Q274" s="43">
        <f t="shared" si="47"/>
        <v>28479928.800000001</v>
      </c>
      <c r="R274" s="41">
        <v>0</v>
      </c>
      <c r="S274" s="30">
        <f t="shared" si="42"/>
        <v>0</v>
      </c>
      <c r="T274" s="30">
        <f t="shared" si="41"/>
        <v>0</v>
      </c>
      <c r="U274" s="30">
        <v>5333.32</v>
      </c>
      <c r="V274" s="41">
        <f>T274/X274</f>
        <v>0</v>
      </c>
      <c r="W274" s="41">
        <f>V274*AU274</f>
        <v>0</v>
      </c>
      <c r="X274" s="41">
        <f t="shared" si="48"/>
        <v>5340</v>
      </c>
      <c r="Y274" s="41">
        <v>5340</v>
      </c>
      <c r="Z274" s="41">
        <v>0</v>
      </c>
      <c r="AA274" s="41">
        <v>0</v>
      </c>
      <c r="AB274" s="41"/>
      <c r="AC274" s="41">
        <f t="shared" si="44"/>
        <v>0</v>
      </c>
      <c r="AD274" s="41"/>
      <c r="AE274" s="41">
        <f t="shared" si="45"/>
        <v>0</v>
      </c>
      <c r="AF274" s="41" t="e">
        <f>X274/AU274</f>
        <v>#DIV/0!</v>
      </c>
      <c r="AG274" s="41" t="e">
        <f t="shared" si="49"/>
        <v>#DIV/0!</v>
      </c>
      <c r="AH274" s="36">
        <v>45382</v>
      </c>
      <c r="AI274" s="36"/>
      <c r="AJ274" s="36"/>
      <c r="AK274" s="36"/>
      <c r="AL274" s="36"/>
      <c r="AM274" s="46"/>
      <c r="AN274" s="40"/>
      <c r="AO274" s="40"/>
      <c r="AP274" s="40"/>
      <c r="AQ274" s="40"/>
      <c r="AR274" s="48"/>
      <c r="AS274" s="37"/>
      <c r="AT274" s="37"/>
      <c r="AU274" s="47"/>
      <c r="AV274" s="37"/>
      <c r="AW274" s="37">
        <v>10</v>
      </c>
      <c r="AX274" s="30">
        <f>(J274*10)/100</f>
        <v>2847992.88</v>
      </c>
      <c r="AY274" s="40" t="s">
        <v>431</v>
      </c>
    </row>
    <row r="275" spans="1:51" ht="48" customHeight="1" x14ac:dyDescent="0.25">
      <c r="A275" s="59" t="s">
        <v>1855</v>
      </c>
      <c r="B275" s="60">
        <v>45322</v>
      </c>
      <c r="C275" s="40">
        <v>1688</v>
      </c>
      <c r="D275" s="37" t="s">
        <v>431</v>
      </c>
      <c r="E275" s="39" t="s">
        <v>1856</v>
      </c>
      <c r="F275" s="37" t="s">
        <v>431</v>
      </c>
      <c r="G275" s="37" t="s">
        <v>431</v>
      </c>
      <c r="H275" s="37" t="s">
        <v>431</v>
      </c>
      <c r="I275" s="62" t="s">
        <v>1857</v>
      </c>
      <c r="J275" s="61">
        <v>27006669.719999999</v>
      </c>
      <c r="K275" s="41">
        <v>0</v>
      </c>
      <c r="L275" s="54">
        <v>0</v>
      </c>
      <c r="M275" s="54">
        <v>0</v>
      </c>
      <c r="N275" s="42">
        <f t="shared" si="43"/>
        <v>100</v>
      </c>
      <c r="O275" s="43">
        <f t="shared" si="46"/>
        <v>27006669.719999999</v>
      </c>
      <c r="P275" s="41"/>
      <c r="Q275" s="43">
        <f t="shared" si="47"/>
        <v>27006669.719999999</v>
      </c>
      <c r="R275" s="41">
        <v>0</v>
      </c>
      <c r="S275" s="30">
        <f t="shared" si="42"/>
        <v>0</v>
      </c>
      <c r="T275" s="30">
        <f t="shared" si="41"/>
        <v>0</v>
      </c>
      <c r="U275" s="30" t="s">
        <v>1858</v>
      </c>
      <c r="V275" s="41">
        <f>T275/X275</f>
        <v>0</v>
      </c>
      <c r="W275" s="41">
        <f>V275*AU275</f>
        <v>0</v>
      </c>
      <c r="X275" s="41">
        <f t="shared" si="48"/>
        <v>414467</v>
      </c>
      <c r="Y275" s="41">
        <v>414467</v>
      </c>
      <c r="Z275" s="41">
        <v>0</v>
      </c>
      <c r="AA275" s="41">
        <v>0</v>
      </c>
      <c r="AB275" s="41"/>
      <c r="AC275" s="41">
        <f t="shared" si="44"/>
        <v>0</v>
      </c>
      <c r="AD275" s="41"/>
      <c r="AE275" s="41">
        <f t="shared" si="45"/>
        <v>0</v>
      </c>
      <c r="AF275" s="41" t="e">
        <f>X275/AU275</f>
        <v>#DIV/0!</v>
      </c>
      <c r="AG275" s="41" t="e">
        <f t="shared" si="49"/>
        <v>#DIV/0!</v>
      </c>
      <c r="AH275" s="36">
        <v>45621</v>
      </c>
      <c r="AI275" s="36"/>
      <c r="AJ275" s="36"/>
      <c r="AK275" s="36"/>
      <c r="AL275" s="36"/>
      <c r="AM275" s="46"/>
      <c r="AN275" s="40"/>
      <c r="AO275" s="40"/>
      <c r="AP275" s="40"/>
      <c r="AQ275" s="40"/>
      <c r="AR275" s="48"/>
      <c r="AS275" s="37"/>
      <c r="AT275" s="37"/>
      <c r="AU275" s="47"/>
      <c r="AV275" s="37"/>
      <c r="AW275" s="37">
        <v>10</v>
      </c>
      <c r="AX275" s="30">
        <f>(J275*10)/100</f>
        <v>2700666.9720000001</v>
      </c>
      <c r="AY275" s="40" t="s">
        <v>431</v>
      </c>
    </row>
    <row r="276" spans="1:51" ht="48" customHeight="1" x14ac:dyDescent="0.25">
      <c r="A276" s="59" t="s">
        <v>1859</v>
      </c>
      <c r="B276" s="60">
        <v>45322</v>
      </c>
      <c r="C276" s="40">
        <v>1688</v>
      </c>
      <c r="D276" s="37" t="s">
        <v>431</v>
      </c>
      <c r="E276" s="39" t="s">
        <v>1860</v>
      </c>
      <c r="F276" s="37" t="s">
        <v>431</v>
      </c>
      <c r="G276" s="37" t="s">
        <v>431</v>
      </c>
      <c r="H276" s="37" t="s">
        <v>431</v>
      </c>
      <c r="I276" s="62" t="s">
        <v>1861</v>
      </c>
      <c r="J276" s="61">
        <v>182095170.19999999</v>
      </c>
      <c r="K276" s="41">
        <v>0</v>
      </c>
      <c r="L276" s="54">
        <v>0</v>
      </c>
      <c r="M276" s="54">
        <v>0</v>
      </c>
      <c r="N276" s="42">
        <f t="shared" si="43"/>
        <v>100</v>
      </c>
      <c r="O276" s="43">
        <f t="shared" si="46"/>
        <v>182095170.19999999</v>
      </c>
      <c r="P276" s="41"/>
      <c r="Q276" s="43">
        <f t="shared" si="47"/>
        <v>182095170.19999999</v>
      </c>
      <c r="R276" s="41">
        <v>0</v>
      </c>
      <c r="S276" s="30">
        <f t="shared" si="42"/>
        <v>0</v>
      </c>
      <c r="T276" s="30">
        <f t="shared" si="41"/>
        <v>0</v>
      </c>
      <c r="U276" s="30">
        <v>429.49</v>
      </c>
      <c r="V276" s="41">
        <f>T276/X276</f>
        <v>0</v>
      </c>
      <c r="W276" s="41">
        <f>V276*AU276</f>
        <v>0</v>
      </c>
      <c r="X276" s="41">
        <f t="shared" si="48"/>
        <v>423980</v>
      </c>
      <c r="Y276" s="41">
        <v>423980</v>
      </c>
      <c r="Z276" s="41">
        <v>0</v>
      </c>
      <c r="AA276" s="41">
        <v>0</v>
      </c>
      <c r="AB276" s="41"/>
      <c r="AC276" s="41">
        <f t="shared" si="44"/>
        <v>0</v>
      </c>
      <c r="AD276" s="41"/>
      <c r="AE276" s="41">
        <f t="shared" si="45"/>
        <v>0</v>
      </c>
      <c r="AF276" s="41" t="e">
        <f>X276/AU276</f>
        <v>#DIV/0!</v>
      </c>
      <c r="AG276" s="41" t="e">
        <f t="shared" si="49"/>
        <v>#DIV/0!</v>
      </c>
      <c r="AH276" s="36">
        <v>45383</v>
      </c>
      <c r="AI276" s="36"/>
      <c r="AJ276" s="36"/>
      <c r="AK276" s="36"/>
      <c r="AL276" s="36"/>
      <c r="AM276" s="46"/>
      <c r="AN276" s="40"/>
      <c r="AO276" s="40"/>
      <c r="AP276" s="40"/>
      <c r="AQ276" s="40"/>
      <c r="AR276" s="48"/>
      <c r="AS276" s="37"/>
      <c r="AT276" s="37"/>
      <c r="AU276" s="47"/>
      <c r="AV276" s="37"/>
      <c r="AW276" s="37">
        <v>10</v>
      </c>
      <c r="AX276" s="30">
        <f>(J276*10)/100</f>
        <v>18209517.02</v>
      </c>
      <c r="AY276" s="40" t="s">
        <v>431</v>
      </c>
    </row>
    <row r="277" spans="1:51" ht="48" customHeight="1" x14ac:dyDescent="0.25">
      <c r="A277" s="59" t="s">
        <v>1862</v>
      </c>
      <c r="B277" s="60">
        <v>45322</v>
      </c>
      <c r="C277" s="40">
        <v>1688</v>
      </c>
      <c r="D277" s="37" t="s">
        <v>431</v>
      </c>
      <c r="E277" s="39" t="s">
        <v>1863</v>
      </c>
      <c r="F277" s="37" t="s">
        <v>431</v>
      </c>
      <c r="G277" s="37" t="s">
        <v>431</v>
      </c>
      <c r="H277" s="37" t="s">
        <v>431</v>
      </c>
      <c r="I277" s="62" t="s">
        <v>1864</v>
      </c>
      <c r="J277" s="61">
        <v>1446902272.8</v>
      </c>
      <c r="K277" s="41">
        <v>0</v>
      </c>
      <c r="L277" s="54">
        <v>0</v>
      </c>
      <c r="M277" s="54">
        <v>0</v>
      </c>
      <c r="N277" s="42">
        <f t="shared" si="43"/>
        <v>100</v>
      </c>
      <c r="O277" s="43">
        <f t="shared" si="46"/>
        <v>1446902272.8</v>
      </c>
      <c r="P277" s="41"/>
      <c r="Q277" s="43">
        <f t="shared" si="47"/>
        <v>1446902272.8</v>
      </c>
      <c r="R277" s="41">
        <v>0</v>
      </c>
      <c r="S277" s="30">
        <f t="shared" si="42"/>
        <v>0</v>
      </c>
      <c r="T277" s="30">
        <f t="shared" si="41"/>
        <v>0</v>
      </c>
      <c r="U277" s="30">
        <v>1406.07</v>
      </c>
      <c r="V277" s="41">
        <f>T277/X277</f>
        <v>0</v>
      </c>
      <c r="W277" s="41">
        <f>V277*AU277</f>
        <v>0</v>
      </c>
      <c r="X277" s="41">
        <f t="shared" si="48"/>
        <v>1029040</v>
      </c>
      <c r="Y277" s="41">
        <v>1029040</v>
      </c>
      <c r="Z277" s="41">
        <v>0</v>
      </c>
      <c r="AA277" s="41">
        <v>0</v>
      </c>
      <c r="AB277" s="41"/>
      <c r="AC277" s="41">
        <f t="shared" si="44"/>
        <v>0</v>
      </c>
      <c r="AD277" s="41"/>
      <c r="AE277" s="41">
        <f t="shared" si="45"/>
        <v>0</v>
      </c>
      <c r="AF277" s="41" t="e">
        <f>X277/AU277</f>
        <v>#DIV/0!</v>
      </c>
      <c r="AG277" s="41" t="e">
        <f t="shared" si="49"/>
        <v>#DIV/0!</v>
      </c>
      <c r="AH277" s="36">
        <v>45383</v>
      </c>
      <c r="AI277" s="36"/>
      <c r="AJ277" s="36"/>
      <c r="AK277" s="36"/>
      <c r="AL277" s="36"/>
      <c r="AM277" s="46"/>
      <c r="AN277" s="40"/>
      <c r="AO277" s="40"/>
      <c r="AP277" s="40"/>
      <c r="AQ277" s="40"/>
      <c r="AR277" s="48"/>
      <c r="AS277" s="37"/>
      <c r="AT277" s="37"/>
      <c r="AU277" s="47"/>
      <c r="AV277" s="37"/>
      <c r="AW277" s="37">
        <v>10</v>
      </c>
      <c r="AX277" s="30">
        <f>(J277*10)/100</f>
        <v>144690227.28</v>
      </c>
      <c r="AY277" s="40" t="s">
        <v>431</v>
      </c>
    </row>
    <row r="278" spans="1:51" ht="48" customHeight="1" x14ac:dyDescent="0.25">
      <c r="A278" s="59" t="s">
        <v>1865</v>
      </c>
      <c r="B278" s="60">
        <v>45322</v>
      </c>
      <c r="C278" s="40">
        <v>1688</v>
      </c>
      <c r="D278" s="37" t="s">
        <v>431</v>
      </c>
      <c r="E278" s="39" t="s">
        <v>1866</v>
      </c>
      <c r="F278" s="37" t="s">
        <v>431</v>
      </c>
      <c r="G278" s="37" t="s">
        <v>431</v>
      </c>
      <c r="H278" s="37" t="s">
        <v>431</v>
      </c>
      <c r="I278" s="63" t="s">
        <v>1867</v>
      </c>
      <c r="J278" s="61">
        <v>3496393.9</v>
      </c>
      <c r="K278" s="41">
        <v>0</v>
      </c>
      <c r="L278" s="54">
        <v>0</v>
      </c>
      <c r="M278" s="54">
        <v>0</v>
      </c>
      <c r="N278" s="42">
        <f t="shared" si="43"/>
        <v>100</v>
      </c>
      <c r="O278" s="43">
        <f t="shared" si="46"/>
        <v>3496393.9</v>
      </c>
      <c r="P278" s="41"/>
      <c r="Q278" s="43">
        <f t="shared" si="47"/>
        <v>3496393.9</v>
      </c>
      <c r="R278" s="41">
        <v>0</v>
      </c>
      <c r="S278" s="30">
        <f t="shared" si="42"/>
        <v>0</v>
      </c>
      <c r="T278" s="30">
        <f t="shared" si="41"/>
        <v>0</v>
      </c>
      <c r="U278" s="30">
        <v>127.1</v>
      </c>
      <c r="V278" s="41">
        <f>T278/X278</f>
        <v>0</v>
      </c>
      <c r="W278" s="41">
        <f>V278*AU278</f>
        <v>0</v>
      </c>
      <c r="X278" s="41">
        <f t="shared" si="48"/>
        <v>27509</v>
      </c>
      <c r="Y278" s="41">
        <v>27509</v>
      </c>
      <c r="Z278" s="41">
        <v>0</v>
      </c>
      <c r="AA278" s="41">
        <v>0</v>
      </c>
      <c r="AB278" s="41"/>
      <c r="AC278" s="41">
        <f t="shared" si="44"/>
        <v>0</v>
      </c>
      <c r="AD278" s="41"/>
      <c r="AE278" s="41">
        <f t="shared" si="45"/>
        <v>0</v>
      </c>
      <c r="AF278" s="41" t="e">
        <f>X278/AU278</f>
        <v>#DIV/0!</v>
      </c>
      <c r="AG278" s="41" t="e">
        <f t="shared" si="49"/>
        <v>#DIV/0!</v>
      </c>
      <c r="AH278" s="36">
        <v>45383</v>
      </c>
      <c r="AI278" s="36"/>
      <c r="AJ278" s="36"/>
      <c r="AK278" s="36"/>
      <c r="AL278" s="36"/>
      <c r="AM278" s="46"/>
      <c r="AN278" s="40"/>
      <c r="AO278" s="40"/>
      <c r="AP278" s="40"/>
      <c r="AQ278" s="40"/>
      <c r="AR278" s="48"/>
      <c r="AS278" s="37"/>
      <c r="AT278" s="37"/>
      <c r="AU278" s="47"/>
      <c r="AV278" s="37"/>
      <c r="AW278" s="37">
        <v>10</v>
      </c>
      <c r="AX278" s="30">
        <f>(J278*10)/100</f>
        <v>349639.39</v>
      </c>
      <c r="AY278" s="40" t="s">
        <v>431</v>
      </c>
    </row>
    <row r="279" spans="1:51" ht="48" customHeight="1" x14ac:dyDescent="0.25">
      <c r="A279" s="59" t="s">
        <v>1868</v>
      </c>
      <c r="B279" s="60">
        <v>45322</v>
      </c>
      <c r="C279" s="40">
        <v>1688</v>
      </c>
      <c r="D279" s="35" t="s">
        <v>431</v>
      </c>
      <c r="E279" s="39" t="s">
        <v>1869</v>
      </c>
      <c r="F279" s="36" t="s">
        <v>431</v>
      </c>
      <c r="G279" s="37" t="s">
        <v>431</v>
      </c>
      <c r="H279" s="40" t="s">
        <v>431</v>
      </c>
      <c r="I279" s="63" t="s">
        <v>1870</v>
      </c>
      <c r="J279" s="61">
        <v>311730449.25</v>
      </c>
      <c r="K279" s="41">
        <v>0</v>
      </c>
      <c r="L279" s="54">
        <v>0</v>
      </c>
      <c r="M279" s="54">
        <v>0</v>
      </c>
      <c r="N279" s="42">
        <f t="shared" si="43"/>
        <v>100</v>
      </c>
      <c r="O279" s="43">
        <f t="shared" si="46"/>
        <v>311730449.25</v>
      </c>
      <c r="P279" s="41"/>
      <c r="Q279" s="43">
        <f t="shared" si="47"/>
        <v>311730449.25</v>
      </c>
      <c r="R279" s="41">
        <v>0</v>
      </c>
      <c r="S279" s="30">
        <f t="shared" si="42"/>
        <v>0</v>
      </c>
      <c r="T279" s="30">
        <f t="shared" si="41"/>
        <v>0</v>
      </c>
      <c r="U279" s="30">
        <v>49.15</v>
      </c>
      <c r="V279" s="41">
        <f>T279/X279</f>
        <v>0</v>
      </c>
      <c r="W279" s="41">
        <f>V279*AU279</f>
        <v>0</v>
      </c>
      <c r="X279" s="41">
        <f t="shared" si="48"/>
        <v>634695</v>
      </c>
      <c r="Y279" s="41">
        <v>634695</v>
      </c>
      <c r="Z279" s="41">
        <v>0</v>
      </c>
      <c r="AA279" s="41">
        <v>0</v>
      </c>
      <c r="AB279" s="41"/>
      <c r="AC279" s="41">
        <f t="shared" si="44"/>
        <v>0</v>
      </c>
      <c r="AD279" s="41"/>
      <c r="AE279" s="41">
        <f t="shared" si="45"/>
        <v>0</v>
      </c>
      <c r="AF279" s="41" t="e">
        <f>X279/AU279</f>
        <v>#DIV/0!</v>
      </c>
      <c r="AG279" s="41" t="e">
        <f t="shared" si="49"/>
        <v>#DIV/0!</v>
      </c>
      <c r="AH279" s="36">
        <v>45641</v>
      </c>
      <c r="AI279" s="36"/>
      <c r="AJ279" s="36"/>
      <c r="AK279" s="36"/>
      <c r="AL279" s="36"/>
      <c r="AM279" s="46"/>
      <c r="AN279" s="40"/>
      <c r="AO279" s="40"/>
      <c r="AP279" s="40"/>
      <c r="AQ279" s="40"/>
      <c r="AR279" s="48"/>
      <c r="AS279" s="37"/>
      <c r="AT279" s="37"/>
      <c r="AU279" s="47"/>
      <c r="AV279" s="37"/>
      <c r="AW279" s="37">
        <v>10</v>
      </c>
      <c r="AX279" s="30">
        <f>(J279*10)/100</f>
        <v>31173044.925000001</v>
      </c>
      <c r="AY279" s="40" t="s">
        <v>431</v>
      </c>
    </row>
    <row r="280" spans="1:51" ht="48" customHeight="1" x14ac:dyDescent="0.25">
      <c r="A280" s="59" t="s">
        <v>1871</v>
      </c>
      <c r="B280" s="60">
        <v>45322</v>
      </c>
      <c r="C280" s="40" t="s">
        <v>432</v>
      </c>
      <c r="D280" s="37" t="s">
        <v>431</v>
      </c>
      <c r="E280" s="39" t="s">
        <v>1872</v>
      </c>
      <c r="F280" s="37" t="s">
        <v>431</v>
      </c>
      <c r="G280" s="37" t="s">
        <v>431</v>
      </c>
      <c r="H280" s="37" t="s">
        <v>431</v>
      </c>
      <c r="I280" s="64" t="s">
        <v>1260</v>
      </c>
      <c r="J280" s="61">
        <v>2935272</v>
      </c>
      <c r="K280" s="41">
        <v>0</v>
      </c>
      <c r="L280" s="54">
        <v>0</v>
      </c>
      <c r="M280" s="54">
        <v>0</v>
      </c>
      <c r="N280" s="42">
        <f t="shared" si="43"/>
        <v>100</v>
      </c>
      <c r="O280" s="43">
        <f t="shared" si="46"/>
        <v>2935272</v>
      </c>
      <c r="P280" s="41"/>
      <c r="Q280" s="43">
        <f t="shared" si="47"/>
        <v>2935272</v>
      </c>
      <c r="R280" s="41">
        <v>0</v>
      </c>
      <c r="S280" s="30">
        <f t="shared" si="42"/>
        <v>0</v>
      </c>
      <c r="T280" s="30">
        <f t="shared" si="42"/>
        <v>0</v>
      </c>
      <c r="U280" s="30">
        <v>64.37</v>
      </c>
      <c r="V280" s="41">
        <f>T280/X280</f>
        <v>0</v>
      </c>
      <c r="W280" s="41">
        <f>V280*AU280</f>
        <v>0</v>
      </c>
      <c r="X280" s="41">
        <f t="shared" si="48"/>
        <v>45600</v>
      </c>
      <c r="Y280" s="41">
        <v>45600</v>
      </c>
      <c r="Z280" s="41">
        <v>0</v>
      </c>
      <c r="AA280" s="41">
        <v>0</v>
      </c>
      <c r="AB280" s="41"/>
      <c r="AC280" s="41">
        <f t="shared" si="44"/>
        <v>0</v>
      </c>
      <c r="AD280" s="41"/>
      <c r="AE280" s="41">
        <f t="shared" si="45"/>
        <v>0</v>
      </c>
      <c r="AF280" s="41" t="e">
        <f>X280/AU280</f>
        <v>#DIV/0!</v>
      </c>
      <c r="AG280" s="41" t="e">
        <f t="shared" si="49"/>
        <v>#DIV/0!</v>
      </c>
      <c r="AH280" s="36">
        <v>45505</v>
      </c>
      <c r="AI280" s="36"/>
      <c r="AJ280" s="36"/>
      <c r="AK280" s="36"/>
      <c r="AL280" s="36"/>
      <c r="AM280" s="46"/>
      <c r="AN280" s="40"/>
      <c r="AO280" s="40"/>
      <c r="AP280" s="40"/>
      <c r="AQ280" s="40"/>
      <c r="AR280" s="48"/>
      <c r="AS280" s="37"/>
      <c r="AT280" s="37"/>
      <c r="AU280" s="47"/>
      <c r="AV280" s="37"/>
      <c r="AW280" s="37">
        <v>10</v>
      </c>
      <c r="AX280" s="30">
        <f>(J280*10)/100</f>
        <v>293527.2</v>
      </c>
      <c r="AY280" s="40" t="s">
        <v>431</v>
      </c>
    </row>
    <row r="281" spans="1:51" ht="48" customHeight="1" x14ac:dyDescent="0.25">
      <c r="A281" s="59" t="s">
        <v>1873</v>
      </c>
      <c r="B281" s="60">
        <v>45322</v>
      </c>
      <c r="C281" s="40" t="s">
        <v>432</v>
      </c>
      <c r="D281" s="35"/>
      <c r="E281" s="39" t="s">
        <v>1874</v>
      </c>
      <c r="F281" s="36">
        <v>45352</v>
      </c>
      <c r="G281" s="37" t="s">
        <v>1875</v>
      </c>
      <c r="H281" s="40" t="s">
        <v>224</v>
      </c>
      <c r="I281" s="62" t="s">
        <v>1876</v>
      </c>
      <c r="J281" s="61">
        <v>2261169228.5999999</v>
      </c>
      <c r="K281" s="41">
        <v>0</v>
      </c>
      <c r="L281" s="54">
        <v>0</v>
      </c>
      <c r="M281" s="54">
        <v>0</v>
      </c>
      <c r="N281" s="42">
        <f t="shared" si="43"/>
        <v>0</v>
      </c>
      <c r="O281" s="43">
        <f t="shared" si="46"/>
        <v>0</v>
      </c>
      <c r="P281" s="61">
        <v>2261169228.5999999</v>
      </c>
      <c r="Q281" s="43">
        <f t="shared" si="47"/>
        <v>0</v>
      </c>
      <c r="R281" s="61">
        <v>2261169228.5999999</v>
      </c>
      <c r="S281" s="30">
        <f t="shared" ref="S281:T343" si="50">R281</f>
        <v>2261169228.5999999</v>
      </c>
      <c r="T281" s="30">
        <f t="shared" si="50"/>
        <v>2261169228.5999999</v>
      </c>
      <c r="U281" s="30">
        <v>206.94</v>
      </c>
      <c r="V281" s="41">
        <f>T281/X281</f>
        <v>206.94</v>
      </c>
      <c r="W281" s="41">
        <f>V281*AU281</f>
        <v>12416.4</v>
      </c>
      <c r="X281" s="41">
        <f t="shared" si="48"/>
        <v>10926690</v>
      </c>
      <c r="Y281" s="41">
        <v>10926690</v>
      </c>
      <c r="Z281" s="41">
        <v>0</v>
      </c>
      <c r="AA281" s="41">
        <v>0</v>
      </c>
      <c r="AB281" s="41">
        <v>0</v>
      </c>
      <c r="AC281" s="41">
        <f t="shared" si="44"/>
        <v>0</v>
      </c>
      <c r="AD281" s="41">
        <v>0</v>
      </c>
      <c r="AE281" s="41">
        <f t="shared" si="45"/>
        <v>0</v>
      </c>
      <c r="AF281" s="41">
        <f>X281/AU281</f>
        <v>182111.5</v>
      </c>
      <c r="AG281" s="41">
        <f t="shared" si="49"/>
        <v>182112</v>
      </c>
      <c r="AH281" s="36">
        <v>45383</v>
      </c>
      <c r="AI281" s="36"/>
      <c r="AJ281" s="36"/>
      <c r="AK281" s="36">
        <v>45413</v>
      </c>
      <c r="AL281" s="36"/>
      <c r="AM281" s="46"/>
      <c r="AN281" s="40" t="s">
        <v>1877</v>
      </c>
      <c r="AO281" s="40" t="s">
        <v>1878</v>
      </c>
      <c r="AP281" s="40" t="s">
        <v>1879</v>
      </c>
      <c r="AQ281" s="40" t="s">
        <v>80</v>
      </c>
      <c r="AR281" s="48">
        <v>100</v>
      </c>
      <c r="AS281" s="37">
        <v>0</v>
      </c>
      <c r="AT281" s="37" t="s">
        <v>386</v>
      </c>
      <c r="AU281" s="47">
        <v>60</v>
      </c>
      <c r="AV281" s="37" t="s">
        <v>60</v>
      </c>
      <c r="AW281" s="37">
        <v>10</v>
      </c>
      <c r="AX281" s="30">
        <f>(J281*10)/100</f>
        <v>226116922.86000001</v>
      </c>
      <c r="AY281" s="40" t="s">
        <v>402</v>
      </c>
    </row>
    <row r="282" spans="1:51" ht="48" customHeight="1" x14ac:dyDescent="0.25">
      <c r="A282" s="59" t="s">
        <v>1880</v>
      </c>
      <c r="B282" s="60">
        <v>45322</v>
      </c>
      <c r="C282" s="40">
        <v>545</v>
      </c>
      <c r="D282" s="35" t="s">
        <v>1881</v>
      </c>
      <c r="E282" s="39" t="s">
        <v>1882</v>
      </c>
      <c r="F282" s="36">
        <v>45348</v>
      </c>
      <c r="G282" s="37" t="s">
        <v>1883</v>
      </c>
      <c r="H282" s="40" t="s">
        <v>1884</v>
      </c>
      <c r="I282" s="64" t="s">
        <v>407</v>
      </c>
      <c r="J282" s="61">
        <v>19720324.800000001</v>
      </c>
      <c r="K282" s="41">
        <v>0</v>
      </c>
      <c r="L282" s="54">
        <v>0</v>
      </c>
      <c r="M282" s="54">
        <v>0</v>
      </c>
      <c r="N282" s="42">
        <f t="shared" si="43"/>
        <v>0</v>
      </c>
      <c r="O282" s="43">
        <f t="shared" si="46"/>
        <v>0</v>
      </c>
      <c r="P282" s="61">
        <v>19720324.800000001</v>
      </c>
      <c r="Q282" s="43">
        <f t="shared" si="47"/>
        <v>0</v>
      </c>
      <c r="R282" s="61">
        <v>19720324.800000001</v>
      </c>
      <c r="S282" s="30">
        <f t="shared" si="50"/>
        <v>19720324.800000001</v>
      </c>
      <c r="T282" s="30">
        <f t="shared" si="50"/>
        <v>19720324.800000001</v>
      </c>
      <c r="U282" s="30">
        <v>6201.36</v>
      </c>
      <c r="V282" s="41">
        <f>T282/X282</f>
        <v>6201.3600000000006</v>
      </c>
      <c r="W282" s="41">
        <f>V282*AU282</f>
        <v>372081.60000000003</v>
      </c>
      <c r="X282" s="41">
        <f t="shared" si="48"/>
        <v>3180</v>
      </c>
      <c r="Y282" s="41">
        <v>3180</v>
      </c>
      <c r="Z282" s="41">
        <v>0</v>
      </c>
      <c r="AA282" s="41">
        <v>0</v>
      </c>
      <c r="AB282" s="41">
        <v>0</v>
      </c>
      <c r="AC282" s="41">
        <f t="shared" si="44"/>
        <v>0</v>
      </c>
      <c r="AD282" s="41">
        <v>0</v>
      </c>
      <c r="AE282" s="41">
        <f t="shared" si="45"/>
        <v>0</v>
      </c>
      <c r="AF282" s="41">
        <f>X282/AU282</f>
        <v>53</v>
      </c>
      <c r="AG282" s="41">
        <f t="shared" si="49"/>
        <v>53</v>
      </c>
      <c r="AH282" s="36">
        <v>45366</v>
      </c>
      <c r="AI282" s="36"/>
      <c r="AJ282" s="36"/>
      <c r="AK282" s="36">
        <v>45397</v>
      </c>
      <c r="AL282" s="36"/>
      <c r="AM282" s="46"/>
      <c r="AN282" s="40" t="s">
        <v>382</v>
      </c>
      <c r="AO282" s="40" t="s">
        <v>1885</v>
      </c>
      <c r="AP282" s="40" t="s">
        <v>384</v>
      </c>
      <c r="AQ282" s="40" t="s">
        <v>385</v>
      </c>
      <c r="AR282" s="48">
        <v>0</v>
      </c>
      <c r="AS282" s="37">
        <v>100</v>
      </c>
      <c r="AT282" s="37" t="s">
        <v>386</v>
      </c>
      <c r="AU282" s="47">
        <v>60</v>
      </c>
      <c r="AV282" s="37" t="s">
        <v>219</v>
      </c>
      <c r="AW282" s="37">
        <v>10</v>
      </c>
      <c r="AX282" s="30">
        <f>(J282*10)/100</f>
        <v>1972032.48</v>
      </c>
      <c r="AY282" s="40" t="s">
        <v>402</v>
      </c>
    </row>
    <row r="283" spans="1:51" ht="48" customHeight="1" x14ac:dyDescent="0.25">
      <c r="A283" s="59" t="s">
        <v>1886</v>
      </c>
      <c r="B283" s="60">
        <v>45322</v>
      </c>
      <c r="C283" s="40">
        <v>545</v>
      </c>
      <c r="D283" s="35" t="s">
        <v>1887</v>
      </c>
      <c r="E283" s="39" t="s">
        <v>1888</v>
      </c>
      <c r="F283" s="36">
        <v>45348</v>
      </c>
      <c r="G283" s="37" t="s">
        <v>1889</v>
      </c>
      <c r="H283" s="40" t="s">
        <v>1884</v>
      </c>
      <c r="I283" s="64" t="s">
        <v>407</v>
      </c>
      <c r="J283" s="61">
        <v>18231998.399999999</v>
      </c>
      <c r="K283" s="41">
        <v>0</v>
      </c>
      <c r="L283" s="54">
        <v>0</v>
      </c>
      <c r="M283" s="54">
        <v>0</v>
      </c>
      <c r="N283" s="42">
        <f t="shared" si="43"/>
        <v>0</v>
      </c>
      <c r="O283" s="43">
        <f t="shared" si="46"/>
        <v>0</v>
      </c>
      <c r="P283" s="61">
        <v>18231998.399999999</v>
      </c>
      <c r="Q283" s="43">
        <f t="shared" si="47"/>
        <v>0</v>
      </c>
      <c r="R283" s="61">
        <v>18231998.399999999</v>
      </c>
      <c r="S283" s="30">
        <f t="shared" si="50"/>
        <v>18231998.399999999</v>
      </c>
      <c r="T283" s="30">
        <f t="shared" si="50"/>
        <v>18231998.399999999</v>
      </c>
      <c r="U283" s="30">
        <v>6201.36</v>
      </c>
      <c r="V283" s="41">
        <f>T283/X283</f>
        <v>6201.36</v>
      </c>
      <c r="W283" s="41">
        <f>V283*AU283</f>
        <v>372081.6</v>
      </c>
      <c r="X283" s="41">
        <f t="shared" si="48"/>
        <v>2940</v>
      </c>
      <c r="Y283" s="41">
        <v>2940</v>
      </c>
      <c r="Z283" s="41">
        <v>0</v>
      </c>
      <c r="AA283" s="41">
        <v>0</v>
      </c>
      <c r="AB283" s="41">
        <v>0</v>
      </c>
      <c r="AC283" s="41">
        <f t="shared" si="44"/>
        <v>0</v>
      </c>
      <c r="AD283" s="41">
        <v>0</v>
      </c>
      <c r="AE283" s="41">
        <f t="shared" si="45"/>
        <v>0</v>
      </c>
      <c r="AF283" s="41">
        <f>X283/AU283</f>
        <v>49</v>
      </c>
      <c r="AG283" s="41">
        <f t="shared" si="49"/>
        <v>49</v>
      </c>
      <c r="AH283" s="36">
        <v>45366</v>
      </c>
      <c r="AI283" s="36"/>
      <c r="AJ283" s="36"/>
      <c r="AK283" s="36">
        <v>45397</v>
      </c>
      <c r="AL283" s="36"/>
      <c r="AM283" s="46"/>
      <c r="AN283" s="40" t="s">
        <v>382</v>
      </c>
      <c r="AO283" s="40" t="s">
        <v>1885</v>
      </c>
      <c r="AP283" s="40" t="s">
        <v>384</v>
      </c>
      <c r="AQ283" s="40" t="s">
        <v>385</v>
      </c>
      <c r="AR283" s="48">
        <v>0</v>
      </c>
      <c r="AS283" s="37">
        <v>100</v>
      </c>
      <c r="AT283" s="37" t="s">
        <v>386</v>
      </c>
      <c r="AU283" s="47">
        <v>60</v>
      </c>
      <c r="AV283" s="37" t="s">
        <v>219</v>
      </c>
      <c r="AW283" s="37">
        <v>10</v>
      </c>
      <c r="AX283" s="30">
        <f>(J283*10)/100</f>
        <v>1823199.84</v>
      </c>
      <c r="AY283" s="40" t="s">
        <v>402</v>
      </c>
    </row>
    <row r="284" spans="1:51" ht="48" customHeight="1" x14ac:dyDescent="0.25">
      <c r="A284" s="59" t="s">
        <v>1890</v>
      </c>
      <c r="B284" s="60">
        <v>45322</v>
      </c>
      <c r="C284" s="40">
        <v>545</v>
      </c>
      <c r="D284" s="35" t="s">
        <v>1891</v>
      </c>
      <c r="E284" s="39" t="s">
        <v>1892</v>
      </c>
      <c r="F284" s="36">
        <v>45348</v>
      </c>
      <c r="G284" s="37" t="s">
        <v>1893</v>
      </c>
      <c r="H284" s="40" t="s">
        <v>1884</v>
      </c>
      <c r="I284" s="64" t="s">
        <v>407</v>
      </c>
      <c r="J284" s="61">
        <v>19720324.800000001</v>
      </c>
      <c r="K284" s="41">
        <v>0</v>
      </c>
      <c r="L284" s="54">
        <v>0</v>
      </c>
      <c r="M284" s="54">
        <v>0</v>
      </c>
      <c r="N284" s="42">
        <f t="shared" si="43"/>
        <v>0</v>
      </c>
      <c r="O284" s="43">
        <f t="shared" si="46"/>
        <v>0</v>
      </c>
      <c r="P284" s="61">
        <v>19720324.800000001</v>
      </c>
      <c r="Q284" s="43">
        <f t="shared" si="47"/>
        <v>0</v>
      </c>
      <c r="R284" s="61">
        <v>19720324.800000001</v>
      </c>
      <c r="S284" s="30">
        <f t="shared" si="50"/>
        <v>19720324.800000001</v>
      </c>
      <c r="T284" s="30">
        <f t="shared" si="50"/>
        <v>19720324.800000001</v>
      </c>
      <c r="U284" s="30">
        <v>6201.36</v>
      </c>
      <c r="V284" s="41">
        <f>T284/X284</f>
        <v>6201.3600000000006</v>
      </c>
      <c r="W284" s="41">
        <f>V284*AU284</f>
        <v>372081.60000000003</v>
      </c>
      <c r="X284" s="41">
        <f t="shared" si="48"/>
        <v>3180</v>
      </c>
      <c r="Y284" s="41">
        <v>3180</v>
      </c>
      <c r="Z284" s="41">
        <v>0</v>
      </c>
      <c r="AA284" s="41">
        <v>0</v>
      </c>
      <c r="AB284" s="41">
        <v>0</v>
      </c>
      <c r="AC284" s="41">
        <f t="shared" si="44"/>
        <v>0</v>
      </c>
      <c r="AD284" s="41">
        <v>0</v>
      </c>
      <c r="AE284" s="41">
        <f t="shared" si="45"/>
        <v>0</v>
      </c>
      <c r="AF284" s="41">
        <f>X284/AU284</f>
        <v>53</v>
      </c>
      <c r="AG284" s="41">
        <f t="shared" si="49"/>
        <v>53</v>
      </c>
      <c r="AH284" s="36">
        <v>45366</v>
      </c>
      <c r="AI284" s="36"/>
      <c r="AJ284" s="36"/>
      <c r="AK284" s="36">
        <v>45397</v>
      </c>
      <c r="AL284" s="36"/>
      <c r="AM284" s="46"/>
      <c r="AN284" s="40" t="s">
        <v>382</v>
      </c>
      <c r="AO284" s="40" t="s">
        <v>1885</v>
      </c>
      <c r="AP284" s="40" t="s">
        <v>384</v>
      </c>
      <c r="AQ284" s="40" t="s">
        <v>385</v>
      </c>
      <c r="AR284" s="48">
        <v>0</v>
      </c>
      <c r="AS284" s="37">
        <v>100</v>
      </c>
      <c r="AT284" s="37" t="s">
        <v>386</v>
      </c>
      <c r="AU284" s="47">
        <v>60</v>
      </c>
      <c r="AV284" s="37" t="s">
        <v>219</v>
      </c>
      <c r="AW284" s="37">
        <v>10</v>
      </c>
      <c r="AX284" s="30">
        <f>(J284*10)/100</f>
        <v>1972032.48</v>
      </c>
      <c r="AY284" s="40" t="s">
        <v>402</v>
      </c>
    </row>
    <row r="285" spans="1:51" ht="48" customHeight="1" x14ac:dyDescent="0.25">
      <c r="A285" s="59" t="s">
        <v>1894</v>
      </c>
      <c r="B285" s="60">
        <v>45322</v>
      </c>
      <c r="C285" s="40">
        <v>545</v>
      </c>
      <c r="D285" s="35" t="s">
        <v>1895</v>
      </c>
      <c r="E285" s="39" t="s">
        <v>1896</v>
      </c>
      <c r="F285" s="36">
        <v>45348</v>
      </c>
      <c r="G285" s="37" t="s">
        <v>1897</v>
      </c>
      <c r="H285" s="40" t="s">
        <v>1884</v>
      </c>
      <c r="I285" s="64" t="s">
        <v>407</v>
      </c>
      <c r="J285" s="61">
        <v>19348243.199999999</v>
      </c>
      <c r="K285" s="41">
        <v>0</v>
      </c>
      <c r="L285" s="54">
        <v>0</v>
      </c>
      <c r="M285" s="54">
        <v>0</v>
      </c>
      <c r="N285" s="42">
        <f t="shared" si="43"/>
        <v>0</v>
      </c>
      <c r="O285" s="43">
        <f t="shared" si="46"/>
        <v>0</v>
      </c>
      <c r="P285" s="61">
        <v>19348243.199999999</v>
      </c>
      <c r="Q285" s="43">
        <f t="shared" si="47"/>
        <v>0</v>
      </c>
      <c r="R285" s="61">
        <v>19348243.199999999</v>
      </c>
      <c r="S285" s="30">
        <f t="shared" si="50"/>
        <v>19348243.199999999</v>
      </c>
      <c r="T285" s="30">
        <f t="shared" si="50"/>
        <v>19348243.199999999</v>
      </c>
      <c r="U285" s="30">
        <v>6201.36</v>
      </c>
      <c r="V285" s="41">
        <f>T285/X285</f>
        <v>6201.36</v>
      </c>
      <c r="W285" s="41">
        <f>V285*AU285</f>
        <v>372081.6</v>
      </c>
      <c r="X285" s="41">
        <f t="shared" si="48"/>
        <v>3120</v>
      </c>
      <c r="Y285" s="41">
        <v>3120</v>
      </c>
      <c r="Z285" s="41">
        <v>0</v>
      </c>
      <c r="AA285" s="41">
        <v>0</v>
      </c>
      <c r="AB285" s="41">
        <v>0</v>
      </c>
      <c r="AC285" s="41">
        <f t="shared" si="44"/>
        <v>0</v>
      </c>
      <c r="AD285" s="41">
        <v>0</v>
      </c>
      <c r="AE285" s="41">
        <f t="shared" si="45"/>
        <v>0</v>
      </c>
      <c r="AF285" s="41">
        <f>X285/AU285</f>
        <v>52</v>
      </c>
      <c r="AG285" s="41">
        <f t="shared" si="49"/>
        <v>52</v>
      </c>
      <c r="AH285" s="36">
        <v>45366</v>
      </c>
      <c r="AI285" s="36"/>
      <c r="AJ285" s="36"/>
      <c r="AK285" s="36">
        <v>45397</v>
      </c>
      <c r="AL285" s="36"/>
      <c r="AM285" s="46"/>
      <c r="AN285" s="40" t="s">
        <v>382</v>
      </c>
      <c r="AO285" s="40" t="s">
        <v>1885</v>
      </c>
      <c r="AP285" s="40" t="s">
        <v>384</v>
      </c>
      <c r="AQ285" s="40" t="s">
        <v>385</v>
      </c>
      <c r="AR285" s="48">
        <v>0</v>
      </c>
      <c r="AS285" s="37">
        <v>100</v>
      </c>
      <c r="AT285" s="37" t="s">
        <v>386</v>
      </c>
      <c r="AU285" s="47">
        <v>60</v>
      </c>
      <c r="AV285" s="37" t="s">
        <v>219</v>
      </c>
      <c r="AW285" s="37">
        <v>10</v>
      </c>
      <c r="AX285" s="30">
        <f>(J285*10)/100</f>
        <v>1934824.32</v>
      </c>
      <c r="AY285" s="40" t="s">
        <v>402</v>
      </c>
    </row>
    <row r="286" spans="1:51" ht="48" customHeight="1" x14ac:dyDescent="0.25">
      <c r="A286" s="59" t="s">
        <v>1898</v>
      </c>
      <c r="B286" s="60">
        <v>45322</v>
      </c>
      <c r="C286" s="40">
        <v>545</v>
      </c>
      <c r="D286" s="35" t="s">
        <v>1899</v>
      </c>
      <c r="E286" s="39" t="s">
        <v>1900</v>
      </c>
      <c r="F286" s="36">
        <v>45348</v>
      </c>
      <c r="G286" s="37" t="s">
        <v>1901</v>
      </c>
      <c r="H286" s="40" t="s">
        <v>1884</v>
      </c>
      <c r="I286" s="64" t="s">
        <v>407</v>
      </c>
      <c r="J286" s="61">
        <v>19720324.800000001</v>
      </c>
      <c r="K286" s="41">
        <v>0</v>
      </c>
      <c r="L286" s="54">
        <v>0</v>
      </c>
      <c r="M286" s="54">
        <v>0</v>
      </c>
      <c r="N286" s="42">
        <f t="shared" si="43"/>
        <v>0</v>
      </c>
      <c r="O286" s="43">
        <f t="shared" si="46"/>
        <v>0</v>
      </c>
      <c r="P286" s="61">
        <v>19720324.800000001</v>
      </c>
      <c r="Q286" s="43">
        <f t="shared" si="47"/>
        <v>0</v>
      </c>
      <c r="R286" s="61">
        <v>19720324.800000001</v>
      </c>
      <c r="S286" s="30">
        <f t="shared" si="50"/>
        <v>19720324.800000001</v>
      </c>
      <c r="T286" s="30">
        <f t="shared" si="50"/>
        <v>19720324.800000001</v>
      </c>
      <c r="U286" s="30">
        <v>6201.36</v>
      </c>
      <c r="V286" s="41">
        <f>T286/X286</f>
        <v>6201.3600000000006</v>
      </c>
      <c r="W286" s="41">
        <f>V286*AU286</f>
        <v>372081.60000000003</v>
      </c>
      <c r="X286" s="41">
        <f t="shared" si="48"/>
        <v>3180</v>
      </c>
      <c r="Y286" s="41">
        <v>3180</v>
      </c>
      <c r="Z286" s="41">
        <v>0</v>
      </c>
      <c r="AA286" s="41">
        <v>0</v>
      </c>
      <c r="AB286" s="41">
        <v>0</v>
      </c>
      <c r="AC286" s="41">
        <f t="shared" si="44"/>
        <v>0</v>
      </c>
      <c r="AD286" s="41">
        <v>0</v>
      </c>
      <c r="AE286" s="41">
        <f t="shared" si="45"/>
        <v>0</v>
      </c>
      <c r="AF286" s="41">
        <f>X286/AU286</f>
        <v>53</v>
      </c>
      <c r="AG286" s="41">
        <f t="shared" si="49"/>
        <v>53</v>
      </c>
      <c r="AH286" s="36">
        <v>45366</v>
      </c>
      <c r="AI286" s="36"/>
      <c r="AJ286" s="36"/>
      <c r="AK286" s="36">
        <v>45397</v>
      </c>
      <c r="AL286" s="36"/>
      <c r="AM286" s="46"/>
      <c r="AN286" s="40" t="s">
        <v>382</v>
      </c>
      <c r="AO286" s="40" t="s">
        <v>1885</v>
      </c>
      <c r="AP286" s="40" t="s">
        <v>384</v>
      </c>
      <c r="AQ286" s="40" t="s">
        <v>385</v>
      </c>
      <c r="AR286" s="48">
        <v>0</v>
      </c>
      <c r="AS286" s="37">
        <v>100</v>
      </c>
      <c r="AT286" s="37" t="s">
        <v>386</v>
      </c>
      <c r="AU286" s="47">
        <v>60</v>
      </c>
      <c r="AV286" s="37" t="s">
        <v>219</v>
      </c>
      <c r="AW286" s="37">
        <v>10</v>
      </c>
      <c r="AX286" s="30">
        <f>(J286*10)/100</f>
        <v>1972032.48</v>
      </c>
      <c r="AY286" s="40" t="s">
        <v>402</v>
      </c>
    </row>
    <row r="287" spans="1:51" ht="48" customHeight="1" x14ac:dyDescent="0.25">
      <c r="A287" s="59" t="s">
        <v>1902</v>
      </c>
      <c r="B287" s="60">
        <v>45322</v>
      </c>
      <c r="C287" s="40">
        <v>545</v>
      </c>
      <c r="D287" s="35" t="s">
        <v>1903</v>
      </c>
      <c r="E287" s="39" t="s">
        <v>1904</v>
      </c>
      <c r="F287" s="36">
        <v>45348</v>
      </c>
      <c r="G287" s="37" t="s">
        <v>1905</v>
      </c>
      <c r="H287" s="40" t="s">
        <v>1884</v>
      </c>
      <c r="I287" s="64" t="s">
        <v>407</v>
      </c>
      <c r="J287" s="61">
        <v>18604080</v>
      </c>
      <c r="K287" s="41">
        <v>0</v>
      </c>
      <c r="L287" s="54">
        <v>0</v>
      </c>
      <c r="M287" s="54">
        <v>0</v>
      </c>
      <c r="N287" s="42">
        <f t="shared" si="43"/>
        <v>0</v>
      </c>
      <c r="O287" s="43">
        <f t="shared" si="46"/>
        <v>0</v>
      </c>
      <c r="P287" s="61">
        <v>18604080</v>
      </c>
      <c r="Q287" s="43">
        <f t="shared" si="47"/>
        <v>0</v>
      </c>
      <c r="R287" s="61">
        <v>18604080</v>
      </c>
      <c r="S287" s="30">
        <v>20836569.600000001</v>
      </c>
      <c r="T287" s="30">
        <f t="shared" si="50"/>
        <v>20836569.600000001</v>
      </c>
      <c r="U287" s="30">
        <v>6201.36</v>
      </c>
      <c r="V287" s="41">
        <f>T287/X287</f>
        <v>6201.3600000000006</v>
      </c>
      <c r="W287" s="41">
        <f>V287*AU287</f>
        <v>372081.60000000003</v>
      </c>
      <c r="X287" s="41">
        <f t="shared" si="48"/>
        <v>3360</v>
      </c>
      <c r="Y287" s="41">
        <f>3000+360</f>
        <v>3360</v>
      </c>
      <c r="Z287" s="41">
        <v>0</v>
      </c>
      <c r="AA287" s="41">
        <v>0</v>
      </c>
      <c r="AB287" s="41">
        <v>0</v>
      </c>
      <c r="AC287" s="41">
        <f t="shared" si="44"/>
        <v>0</v>
      </c>
      <c r="AD287" s="41">
        <v>0</v>
      </c>
      <c r="AE287" s="41">
        <f t="shared" si="45"/>
        <v>0</v>
      </c>
      <c r="AF287" s="41">
        <f>X287/AU287</f>
        <v>56</v>
      </c>
      <c r="AG287" s="41">
        <f t="shared" si="49"/>
        <v>56</v>
      </c>
      <c r="AH287" s="36">
        <v>45366</v>
      </c>
      <c r="AI287" s="36"/>
      <c r="AJ287" s="36"/>
      <c r="AK287" s="36">
        <v>45397</v>
      </c>
      <c r="AL287" s="36"/>
      <c r="AM287" s="46"/>
      <c r="AN287" s="40" t="s">
        <v>382</v>
      </c>
      <c r="AO287" s="40" t="s">
        <v>1885</v>
      </c>
      <c r="AP287" s="40" t="s">
        <v>384</v>
      </c>
      <c r="AQ287" s="40" t="s">
        <v>385</v>
      </c>
      <c r="AR287" s="48">
        <v>0</v>
      </c>
      <c r="AS287" s="37">
        <v>100</v>
      </c>
      <c r="AT287" s="37" t="s">
        <v>386</v>
      </c>
      <c r="AU287" s="47">
        <v>60</v>
      </c>
      <c r="AV287" s="37" t="s">
        <v>219</v>
      </c>
      <c r="AW287" s="37">
        <v>10</v>
      </c>
      <c r="AX287" s="30">
        <f>(J287*10)/100</f>
        <v>1860408</v>
      </c>
      <c r="AY287" s="40" t="s">
        <v>402</v>
      </c>
    </row>
    <row r="288" spans="1:51" ht="48" customHeight="1" x14ac:dyDescent="0.25">
      <c r="A288" s="59" t="s">
        <v>1906</v>
      </c>
      <c r="B288" s="60">
        <v>45322</v>
      </c>
      <c r="C288" s="40">
        <v>545</v>
      </c>
      <c r="D288" s="35" t="s">
        <v>1907</v>
      </c>
      <c r="E288" s="39" t="s">
        <v>1908</v>
      </c>
      <c r="F288" s="36">
        <v>45348</v>
      </c>
      <c r="G288" s="37" t="s">
        <v>1909</v>
      </c>
      <c r="H288" s="40" t="s">
        <v>1884</v>
      </c>
      <c r="I288" s="64" t="s">
        <v>407</v>
      </c>
      <c r="J288" s="61">
        <v>18231998.399999999</v>
      </c>
      <c r="K288" s="41">
        <v>0</v>
      </c>
      <c r="L288" s="54">
        <v>0</v>
      </c>
      <c r="M288" s="54">
        <v>0</v>
      </c>
      <c r="N288" s="42">
        <f t="shared" ref="N288:N351" si="51">((J288-P288)/J288)*100</f>
        <v>0</v>
      </c>
      <c r="O288" s="43">
        <f t="shared" si="46"/>
        <v>0</v>
      </c>
      <c r="P288" s="61">
        <v>18231998.399999999</v>
      </c>
      <c r="Q288" s="43">
        <f t="shared" si="47"/>
        <v>0</v>
      </c>
      <c r="R288" s="61">
        <v>18231998.399999999</v>
      </c>
      <c r="S288" s="30">
        <f t="shared" si="50"/>
        <v>18231998.399999999</v>
      </c>
      <c r="T288" s="30">
        <f t="shared" si="50"/>
        <v>18231998.399999999</v>
      </c>
      <c r="U288" s="30">
        <v>6201.36</v>
      </c>
      <c r="V288" s="41">
        <f>T288/X288</f>
        <v>6201.36</v>
      </c>
      <c r="W288" s="41">
        <f>V288*AU288</f>
        <v>372081.6</v>
      </c>
      <c r="X288" s="41">
        <f t="shared" si="48"/>
        <v>2940</v>
      </c>
      <c r="Y288" s="41">
        <v>2940</v>
      </c>
      <c r="Z288" s="41">
        <v>0</v>
      </c>
      <c r="AA288" s="41">
        <v>0</v>
      </c>
      <c r="AB288" s="41">
        <v>0</v>
      </c>
      <c r="AC288" s="41">
        <f t="shared" si="44"/>
        <v>0</v>
      </c>
      <c r="AD288" s="41">
        <v>0</v>
      </c>
      <c r="AE288" s="41">
        <f t="shared" si="45"/>
        <v>0</v>
      </c>
      <c r="AF288" s="41">
        <f>X288/AU288</f>
        <v>49</v>
      </c>
      <c r="AG288" s="41">
        <f t="shared" si="49"/>
        <v>49</v>
      </c>
      <c r="AH288" s="36">
        <v>45366</v>
      </c>
      <c r="AI288" s="36"/>
      <c r="AJ288" s="36"/>
      <c r="AK288" s="36">
        <v>45397</v>
      </c>
      <c r="AL288" s="36"/>
      <c r="AM288" s="46"/>
      <c r="AN288" s="40" t="s">
        <v>382</v>
      </c>
      <c r="AO288" s="40" t="s">
        <v>1885</v>
      </c>
      <c r="AP288" s="40" t="s">
        <v>384</v>
      </c>
      <c r="AQ288" s="40" t="s">
        <v>385</v>
      </c>
      <c r="AR288" s="48">
        <v>0</v>
      </c>
      <c r="AS288" s="37">
        <v>100</v>
      </c>
      <c r="AT288" s="37" t="s">
        <v>386</v>
      </c>
      <c r="AU288" s="47">
        <v>60</v>
      </c>
      <c r="AV288" s="37" t="s">
        <v>219</v>
      </c>
      <c r="AW288" s="37">
        <v>10</v>
      </c>
      <c r="AX288" s="30">
        <f>(J288*10)/100</f>
        <v>1823199.84</v>
      </c>
      <c r="AY288" s="40" t="s">
        <v>402</v>
      </c>
    </row>
    <row r="289" spans="1:51" ht="48" customHeight="1" x14ac:dyDescent="0.25">
      <c r="A289" s="59" t="s">
        <v>1910</v>
      </c>
      <c r="B289" s="60">
        <v>45323</v>
      </c>
      <c r="C289" s="40">
        <v>1416</v>
      </c>
      <c r="D289" s="35" t="s">
        <v>1911</v>
      </c>
      <c r="E289" s="39" t="s">
        <v>1912</v>
      </c>
      <c r="F289" s="36">
        <v>45348</v>
      </c>
      <c r="G289" s="37" t="s">
        <v>1913</v>
      </c>
      <c r="H289" s="40" t="s">
        <v>86</v>
      </c>
      <c r="I289" s="62" t="s">
        <v>1914</v>
      </c>
      <c r="J289" s="61">
        <v>491040</v>
      </c>
      <c r="K289" s="41">
        <v>0</v>
      </c>
      <c r="L289" s="54">
        <v>0</v>
      </c>
      <c r="M289" s="54">
        <v>0</v>
      </c>
      <c r="N289" s="42">
        <f t="shared" si="51"/>
        <v>0</v>
      </c>
      <c r="O289" s="43">
        <f t="shared" si="46"/>
        <v>0</v>
      </c>
      <c r="P289" s="61">
        <v>491040</v>
      </c>
      <c r="Q289" s="43">
        <f t="shared" si="47"/>
        <v>0</v>
      </c>
      <c r="R289" s="61">
        <v>491040</v>
      </c>
      <c r="S289" s="30">
        <f t="shared" si="50"/>
        <v>491040</v>
      </c>
      <c r="T289" s="30">
        <f t="shared" si="50"/>
        <v>491040</v>
      </c>
      <c r="U289" s="30">
        <v>10.56</v>
      </c>
      <c r="V289" s="41">
        <f>T289/X289</f>
        <v>10.56</v>
      </c>
      <c r="W289" s="41">
        <f>V289*AU289</f>
        <v>2640</v>
      </c>
      <c r="X289" s="41">
        <f t="shared" si="48"/>
        <v>46500</v>
      </c>
      <c r="Y289" s="41">
        <f>10500+36000</f>
        <v>46500</v>
      </c>
      <c r="Z289" s="41">
        <v>0</v>
      </c>
      <c r="AA289" s="41">
        <v>0</v>
      </c>
      <c r="AB289" s="41">
        <v>10500</v>
      </c>
      <c r="AC289" s="41">
        <f t="shared" si="44"/>
        <v>110880</v>
      </c>
      <c r="AD289" s="41">
        <v>36000</v>
      </c>
      <c r="AE289" s="41">
        <f t="shared" si="45"/>
        <v>380160</v>
      </c>
      <c r="AF289" s="41">
        <f>X289/AU289</f>
        <v>186</v>
      </c>
      <c r="AG289" s="41">
        <f t="shared" si="49"/>
        <v>186</v>
      </c>
      <c r="AH289" s="36">
        <v>45366</v>
      </c>
      <c r="AI289" s="36"/>
      <c r="AJ289" s="36"/>
      <c r="AK289" s="36">
        <v>45397</v>
      </c>
      <c r="AL289" s="36"/>
      <c r="AM289" s="46"/>
      <c r="AN289" s="40" t="s">
        <v>703</v>
      </c>
      <c r="AO289" s="40" t="s">
        <v>1915</v>
      </c>
      <c r="AP289" s="40" t="s">
        <v>705</v>
      </c>
      <c r="AQ289" s="40" t="s">
        <v>774</v>
      </c>
      <c r="AR289" s="48">
        <v>0</v>
      </c>
      <c r="AS289" s="37">
        <v>100</v>
      </c>
      <c r="AT289" s="37" t="s">
        <v>93</v>
      </c>
      <c r="AU289" s="47">
        <v>250</v>
      </c>
      <c r="AV289" s="37" t="s">
        <v>60</v>
      </c>
      <c r="AW289" s="37">
        <v>10</v>
      </c>
      <c r="AX289" s="30">
        <f>(J289*10)/100</f>
        <v>49104</v>
      </c>
      <c r="AY289" s="40" t="s">
        <v>402</v>
      </c>
    </row>
    <row r="290" spans="1:51" ht="48" customHeight="1" x14ac:dyDescent="0.25">
      <c r="A290" s="59" t="s">
        <v>1916</v>
      </c>
      <c r="B290" s="60">
        <v>45323</v>
      </c>
      <c r="C290" s="40">
        <v>1416</v>
      </c>
      <c r="D290" s="35" t="s">
        <v>1917</v>
      </c>
      <c r="E290" s="39" t="s">
        <v>1918</v>
      </c>
      <c r="F290" s="36">
        <v>45348</v>
      </c>
      <c r="G290" s="37" t="s">
        <v>1919</v>
      </c>
      <c r="H290" s="40" t="s">
        <v>139</v>
      </c>
      <c r="I290" s="62" t="s">
        <v>1920</v>
      </c>
      <c r="J290" s="61">
        <v>94198500</v>
      </c>
      <c r="K290" s="41">
        <v>0</v>
      </c>
      <c r="L290" s="54">
        <v>0</v>
      </c>
      <c r="M290" s="54">
        <v>0</v>
      </c>
      <c r="N290" s="42">
        <f t="shared" si="51"/>
        <v>3</v>
      </c>
      <c r="O290" s="43">
        <f t="shared" si="46"/>
        <v>2825955</v>
      </c>
      <c r="P290" s="41">
        <v>91372545</v>
      </c>
      <c r="Q290" s="43">
        <f t="shared" si="47"/>
        <v>2825955</v>
      </c>
      <c r="R290" s="41">
        <v>91372545</v>
      </c>
      <c r="S290" s="30">
        <f t="shared" si="50"/>
        <v>91372545</v>
      </c>
      <c r="T290" s="30">
        <f t="shared" si="50"/>
        <v>91372545</v>
      </c>
      <c r="U290" s="30">
        <v>7.26</v>
      </c>
      <c r="V290" s="41">
        <f>T290/X290</f>
        <v>7.0422000000000002</v>
      </c>
      <c r="W290" s="41">
        <f>V290*AU290</f>
        <v>3521.1</v>
      </c>
      <c r="X290" s="41">
        <f t="shared" si="48"/>
        <v>12975000</v>
      </c>
      <c r="Y290" s="41">
        <v>10800000</v>
      </c>
      <c r="Z290" s="41">
        <v>2175000</v>
      </c>
      <c r="AA290" s="41">
        <v>0</v>
      </c>
      <c r="AB290" s="41">
        <v>0</v>
      </c>
      <c r="AC290" s="41">
        <f t="shared" si="44"/>
        <v>0</v>
      </c>
      <c r="AD290" s="41">
        <v>12975000</v>
      </c>
      <c r="AE290" s="41">
        <f t="shared" si="45"/>
        <v>91372545</v>
      </c>
      <c r="AF290" s="41">
        <f>X290/AU290</f>
        <v>25950</v>
      </c>
      <c r="AG290" s="41">
        <f t="shared" si="49"/>
        <v>25950</v>
      </c>
      <c r="AH290" s="36">
        <v>45366</v>
      </c>
      <c r="AI290" s="36">
        <v>45432</v>
      </c>
      <c r="AJ290" s="36"/>
      <c r="AK290" s="36">
        <v>45397</v>
      </c>
      <c r="AL290" s="36">
        <v>45463</v>
      </c>
      <c r="AM290" s="46"/>
      <c r="AN290" s="40" t="s">
        <v>1921</v>
      </c>
      <c r="AO290" s="40" t="s">
        <v>1922</v>
      </c>
      <c r="AP290" s="40" t="s">
        <v>1923</v>
      </c>
      <c r="AQ290" s="40" t="s">
        <v>80</v>
      </c>
      <c r="AR290" s="48">
        <v>100</v>
      </c>
      <c r="AS290" s="37">
        <v>0</v>
      </c>
      <c r="AT290" s="37" t="s">
        <v>93</v>
      </c>
      <c r="AU290" s="47">
        <v>500</v>
      </c>
      <c r="AV290" s="37" t="s">
        <v>60</v>
      </c>
      <c r="AW290" s="37">
        <v>10</v>
      </c>
      <c r="AX290" s="30">
        <f>(J290*10)/100</f>
        <v>9419850</v>
      </c>
      <c r="AY290" s="40" t="s">
        <v>402</v>
      </c>
    </row>
    <row r="291" spans="1:51" ht="48" customHeight="1" x14ac:dyDescent="0.25">
      <c r="A291" s="59" t="s">
        <v>1924</v>
      </c>
      <c r="B291" s="60">
        <v>45323</v>
      </c>
      <c r="C291" s="40" t="s">
        <v>432</v>
      </c>
      <c r="D291" s="35"/>
      <c r="E291" s="39" t="s">
        <v>1925</v>
      </c>
      <c r="F291" s="36">
        <v>45352</v>
      </c>
      <c r="G291" s="37" t="s">
        <v>1926</v>
      </c>
      <c r="H291" s="40" t="s">
        <v>139</v>
      </c>
      <c r="I291" s="64" t="s">
        <v>1927</v>
      </c>
      <c r="J291" s="61">
        <v>2453204734.1999998</v>
      </c>
      <c r="K291" s="41">
        <v>0</v>
      </c>
      <c r="L291" s="54">
        <v>0</v>
      </c>
      <c r="M291" s="54">
        <v>0</v>
      </c>
      <c r="N291" s="42">
        <f t="shared" si="51"/>
        <v>0</v>
      </c>
      <c r="O291" s="43">
        <f t="shared" si="46"/>
        <v>0</v>
      </c>
      <c r="P291" s="41">
        <v>2453204734.1999998</v>
      </c>
      <c r="Q291" s="43">
        <f t="shared" si="47"/>
        <v>0</v>
      </c>
      <c r="R291" s="41">
        <v>2453204734.1999998</v>
      </c>
      <c r="S291" s="30">
        <f t="shared" si="50"/>
        <v>2453204734.1999998</v>
      </c>
      <c r="T291" s="30">
        <f t="shared" si="50"/>
        <v>2453204734.1999998</v>
      </c>
      <c r="U291" s="30">
        <v>183.31</v>
      </c>
      <c r="V291" s="41">
        <f>T291/X291</f>
        <v>183.30999999999997</v>
      </c>
      <c r="W291" s="41">
        <f>V291*AU291</f>
        <v>5499.2999999999993</v>
      </c>
      <c r="X291" s="41">
        <f t="shared" si="48"/>
        <v>13382820</v>
      </c>
      <c r="Y291" s="41">
        <v>13382820</v>
      </c>
      <c r="Z291" s="41">
        <v>0</v>
      </c>
      <c r="AA291" s="41">
        <v>0</v>
      </c>
      <c r="AB291" s="41">
        <v>0</v>
      </c>
      <c r="AC291" s="41">
        <f t="shared" si="44"/>
        <v>0</v>
      </c>
      <c r="AD291" s="41">
        <v>0</v>
      </c>
      <c r="AE291" s="41">
        <f t="shared" si="45"/>
        <v>0</v>
      </c>
      <c r="AF291" s="41">
        <f>X291/AU291</f>
        <v>446094</v>
      </c>
      <c r="AG291" s="41">
        <f t="shared" si="49"/>
        <v>446094</v>
      </c>
      <c r="AH291" s="36">
        <v>45397</v>
      </c>
      <c r="AI291" s="36"/>
      <c r="AJ291" s="36"/>
      <c r="AK291" s="36">
        <v>45427</v>
      </c>
      <c r="AL291" s="36"/>
      <c r="AM291" s="46"/>
      <c r="AN291" s="40" t="s">
        <v>1928</v>
      </c>
      <c r="AO291" s="40" t="s">
        <v>1929</v>
      </c>
      <c r="AP291" s="40" t="s">
        <v>1930</v>
      </c>
      <c r="AQ291" s="40" t="s">
        <v>80</v>
      </c>
      <c r="AR291" s="48">
        <v>100</v>
      </c>
      <c r="AS291" s="37">
        <v>0</v>
      </c>
      <c r="AT291" s="37" t="s">
        <v>386</v>
      </c>
      <c r="AU291" s="47">
        <v>30</v>
      </c>
      <c r="AV291" s="37" t="s">
        <v>60</v>
      </c>
      <c r="AW291" s="37">
        <v>10</v>
      </c>
      <c r="AX291" s="30">
        <f>(J291*10)/100</f>
        <v>245320473.41999999</v>
      </c>
      <c r="AY291" s="40" t="s">
        <v>402</v>
      </c>
    </row>
    <row r="292" spans="1:51" ht="48" customHeight="1" x14ac:dyDescent="0.25">
      <c r="A292" s="59" t="s">
        <v>1931</v>
      </c>
      <c r="B292" s="60">
        <v>45323</v>
      </c>
      <c r="C292" s="40">
        <v>1416</v>
      </c>
      <c r="D292" s="35"/>
      <c r="E292" s="39" t="s">
        <v>1932</v>
      </c>
      <c r="F292" s="36">
        <v>45352</v>
      </c>
      <c r="G292" s="37" t="s">
        <v>1933</v>
      </c>
      <c r="H292" s="40" t="s">
        <v>86</v>
      </c>
      <c r="I292" s="62" t="s">
        <v>1934</v>
      </c>
      <c r="J292" s="61">
        <v>1349562136</v>
      </c>
      <c r="K292" s="41">
        <v>0</v>
      </c>
      <c r="L292" s="54">
        <v>0</v>
      </c>
      <c r="M292" s="54">
        <v>0</v>
      </c>
      <c r="N292" s="42">
        <f t="shared" si="51"/>
        <v>0</v>
      </c>
      <c r="O292" s="43">
        <f t="shared" si="46"/>
        <v>0</v>
      </c>
      <c r="P292" s="61">
        <v>1349562136</v>
      </c>
      <c r="Q292" s="43">
        <f t="shared" si="47"/>
        <v>0</v>
      </c>
      <c r="R292" s="61">
        <v>1349562136</v>
      </c>
      <c r="S292" s="30">
        <f t="shared" si="50"/>
        <v>1349562136</v>
      </c>
      <c r="T292" s="30">
        <f t="shared" si="50"/>
        <v>1349562136</v>
      </c>
      <c r="U292" s="30">
        <v>25.33</v>
      </c>
      <c r="V292" s="41">
        <f>T292/X292</f>
        <v>25.33</v>
      </c>
      <c r="W292" s="41">
        <f>V292*AU292</f>
        <v>20264</v>
      </c>
      <c r="X292" s="41">
        <f t="shared" si="48"/>
        <v>53279200</v>
      </c>
      <c r="Y292" s="41">
        <f>37443200+15836000</f>
        <v>53279200</v>
      </c>
      <c r="Z292" s="41">
        <v>0</v>
      </c>
      <c r="AA292" s="41">
        <v>0</v>
      </c>
      <c r="AB292" s="41">
        <v>37443200</v>
      </c>
      <c r="AC292" s="41">
        <f t="shared" si="44"/>
        <v>948436255.99999988</v>
      </c>
      <c r="AD292" s="41">
        <v>15836000</v>
      </c>
      <c r="AE292" s="41">
        <f t="shared" si="45"/>
        <v>401125880</v>
      </c>
      <c r="AF292" s="41">
        <f>X292/AU292</f>
        <v>66599</v>
      </c>
      <c r="AG292" s="41">
        <f t="shared" si="49"/>
        <v>66599</v>
      </c>
      <c r="AH292" s="36">
        <v>45383</v>
      </c>
      <c r="AI292" s="36"/>
      <c r="AJ292" s="36"/>
      <c r="AK292" s="36">
        <v>45413</v>
      </c>
      <c r="AL292" s="36"/>
      <c r="AM292" s="46"/>
      <c r="AN292" s="40" t="s">
        <v>1935</v>
      </c>
      <c r="AO292" s="40" t="s">
        <v>1936</v>
      </c>
      <c r="AP292" s="40" t="s">
        <v>1937</v>
      </c>
      <c r="AQ292" s="40" t="s">
        <v>774</v>
      </c>
      <c r="AR292" s="48">
        <v>0</v>
      </c>
      <c r="AS292" s="37">
        <v>100</v>
      </c>
      <c r="AT292" s="37" t="s">
        <v>93</v>
      </c>
      <c r="AU292" s="47">
        <v>800</v>
      </c>
      <c r="AV292" s="37" t="s">
        <v>60</v>
      </c>
      <c r="AW292" s="37">
        <v>10</v>
      </c>
      <c r="AX292" s="30">
        <f>(J292*10)/100</f>
        <v>134956213.59999999</v>
      </c>
      <c r="AY292" s="40" t="s">
        <v>402</v>
      </c>
    </row>
    <row r="293" spans="1:51" ht="48" customHeight="1" x14ac:dyDescent="0.25">
      <c r="A293" s="59" t="s">
        <v>1938</v>
      </c>
      <c r="B293" s="60">
        <v>45323</v>
      </c>
      <c r="C293" s="40">
        <v>1416</v>
      </c>
      <c r="D293" s="35" t="s">
        <v>431</v>
      </c>
      <c r="E293" s="39" t="s">
        <v>1939</v>
      </c>
      <c r="F293" s="36" t="s">
        <v>431</v>
      </c>
      <c r="G293" s="37" t="s">
        <v>431</v>
      </c>
      <c r="H293" s="40" t="s">
        <v>431</v>
      </c>
      <c r="I293" s="62" t="s">
        <v>1940</v>
      </c>
      <c r="J293" s="61">
        <v>3107256738.3000002</v>
      </c>
      <c r="K293" s="41">
        <v>0</v>
      </c>
      <c r="L293" s="54">
        <v>0</v>
      </c>
      <c r="M293" s="54">
        <v>0</v>
      </c>
      <c r="N293" s="42">
        <f t="shared" si="51"/>
        <v>100</v>
      </c>
      <c r="O293" s="43">
        <f t="shared" si="46"/>
        <v>3107256738.3000002</v>
      </c>
      <c r="P293" s="41"/>
      <c r="Q293" s="43">
        <f t="shared" si="47"/>
        <v>3107256738.3000002</v>
      </c>
      <c r="R293" s="41">
        <v>0</v>
      </c>
      <c r="S293" s="30">
        <f t="shared" si="50"/>
        <v>0</v>
      </c>
      <c r="T293" s="30">
        <f t="shared" si="50"/>
        <v>0</v>
      </c>
      <c r="U293" s="30">
        <v>63582.09</v>
      </c>
      <c r="V293" s="41">
        <f>T293/X293</f>
        <v>0</v>
      </c>
      <c r="W293" s="41">
        <f>V293*AU293</f>
        <v>0</v>
      </c>
      <c r="X293" s="41">
        <f t="shared" si="48"/>
        <v>48870</v>
      </c>
      <c r="Y293" s="41">
        <f>9126+1374</f>
        <v>10500</v>
      </c>
      <c r="Z293" s="41">
        <f>33375+4995</f>
        <v>38370</v>
      </c>
      <c r="AA293" s="41">
        <v>0</v>
      </c>
      <c r="AB293" s="41"/>
      <c r="AC293" s="41">
        <f t="shared" si="44"/>
        <v>0</v>
      </c>
      <c r="AD293" s="41"/>
      <c r="AE293" s="41">
        <f t="shared" si="45"/>
        <v>0</v>
      </c>
      <c r="AF293" s="41" t="e">
        <f>X293/AU293</f>
        <v>#DIV/0!</v>
      </c>
      <c r="AG293" s="41" t="e">
        <f t="shared" si="49"/>
        <v>#DIV/0!</v>
      </c>
      <c r="AH293" s="36">
        <v>45366</v>
      </c>
      <c r="AI293" s="36">
        <v>45443</v>
      </c>
      <c r="AJ293" s="36"/>
      <c r="AK293" s="36"/>
      <c r="AL293" s="36"/>
      <c r="AM293" s="46"/>
      <c r="AN293" s="40"/>
      <c r="AO293" s="40"/>
      <c r="AP293" s="40"/>
      <c r="AQ293" s="40"/>
      <c r="AR293" s="48"/>
      <c r="AS293" s="37"/>
      <c r="AT293" s="37"/>
      <c r="AU293" s="47"/>
      <c r="AV293" s="37"/>
      <c r="AW293" s="37">
        <v>10</v>
      </c>
      <c r="AX293" s="30">
        <f>(J293*10)/100</f>
        <v>310725673.82999998</v>
      </c>
      <c r="AY293" s="40" t="s">
        <v>431</v>
      </c>
    </row>
    <row r="294" spans="1:51" ht="48" customHeight="1" x14ac:dyDescent="0.25">
      <c r="A294" s="59" t="s">
        <v>1941</v>
      </c>
      <c r="B294" s="60">
        <v>45323</v>
      </c>
      <c r="C294" s="40">
        <v>545</v>
      </c>
      <c r="D294" s="35"/>
      <c r="E294" s="39" t="s">
        <v>1942</v>
      </c>
      <c r="F294" s="36">
        <v>45348</v>
      </c>
      <c r="G294" s="37" t="s">
        <v>1943</v>
      </c>
      <c r="H294" s="40" t="s">
        <v>86</v>
      </c>
      <c r="I294" s="62" t="s">
        <v>1944</v>
      </c>
      <c r="J294" s="61">
        <v>120806571.59999999</v>
      </c>
      <c r="K294" s="41">
        <v>0</v>
      </c>
      <c r="L294" s="54">
        <v>0</v>
      </c>
      <c r="M294" s="54">
        <v>0</v>
      </c>
      <c r="N294" s="42">
        <f t="shared" si="51"/>
        <v>0</v>
      </c>
      <c r="O294" s="43">
        <f t="shared" si="46"/>
        <v>0</v>
      </c>
      <c r="P294" s="61">
        <v>120806571.59999999</v>
      </c>
      <c r="Q294" s="43">
        <f t="shared" si="47"/>
        <v>0</v>
      </c>
      <c r="R294" s="61">
        <v>120806571.59999999</v>
      </c>
      <c r="S294" s="30">
        <f t="shared" si="50"/>
        <v>120806571.59999999</v>
      </c>
      <c r="T294" s="30">
        <f t="shared" si="50"/>
        <v>120806571.59999999</v>
      </c>
      <c r="U294" s="30">
        <v>25813.37</v>
      </c>
      <c r="V294" s="41">
        <f>T294/X294</f>
        <v>25813.37</v>
      </c>
      <c r="W294" s="41">
        <f>V294*AU294</f>
        <v>3097604.4</v>
      </c>
      <c r="X294" s="41">
        <f t="shared" si="48"/>
        <v>4680</v>
      </c>
      <c r="Y294" s="41">
        <v>4680</v>
      </c>
      <c r="Z294" s="41">
        <v>0</v>
      </c>
      <c r="AA294" s="41">
        <v>0</v>
      </c>
      <c r="AB294" s="41">
        <v>0</v>
      </c>
      <c r="AC294" s="41">
        <f t="shared" si="44"/>
        <v>0</v>
      </c>
      <c r="AD294" s="41">
        <v>0</v>
      </c>
      <c r="AE294" s="41">
        <f t="shared" si="45"/>
        <v>0</v>
      </c>
      <c r="AF294" s="41">
        <f>X294/AU294</f>
        <v>39</v>
      </c>
      <c r="AG294" s="41">
        <f t="shared" si="49"/>
        <v>39</v>
      </c>
      <c r="AH294" s="36">
        <v>45366</v>
      </c>
      <c r="AI294" s="36"/>
      <c r="AJ294" s="36"/>
      <c r="AK294" s="36">
        <v>45397</v>
      </c>
      <c r="AL294" s="36"/>
      <c r="AM294" s="46"/>
      <c r="AN294" s="40" t="s">
        <v>339</v>
      </c>
      <c r="AO294" s="40" t="s">
        <v>421</v>
      </c>
      <c r="AP294" s="40" t="s">
        <v>341</v>
      </c>
      <c r="AQ294" s="40" t="s">
        <v>342</v>
      </c>
      <c r="AR294" s="48">
        <v>0</v>
      </c>
      <c r="AS294" s="37">
        <v>100</v>
      </c>
      <c r="AT294" s="37" t="s">
        <v>343</v>
      </c>
      <c r="AU294" s="47">
        <v>120</v>
      </c>
      <c r="AV294" s="37" t="s">
        <v>60</v>
      </c>
      <c r="AW294" s="37">
        <v>10</v>
      </c>
      <c r="AX294" s="30">
        <f>(J294*10)/100</f>
        <v>12080657.16</v>
      </c>
      <c r="AY294" s="40" t="s">
        <v>402</v>
      </c>
    </row>
    <row r="295" spans="1:51" ht="48" customHeight="1" x14ac:dyDescent="0.25">
      <c r="A295" s="59" t="s">
        <v>1945</v>
      </c>
      <c r="B295" s="60">
        <v>45323</v>
      </c>
      <c r="C295" s="40">
        <v>1416</v>
      </c>
      <c r="D295" s="35"/>
      <c r="E295" s="39" t="s">
        <v>1946</v>
      </c>
      <c r="F295" s="36">
        <v>45348</v>
      </c>
      <c r="G295" s="37" t="s">
        <v>1947</v>
      </c>
      <c r="H295" s="40" t="s">
        <v>86</v>
      </c>
      <c r="I295" s="62" t="s">
        <v>1920</v>
      </c>
      <c r="J295" s="61">
        <v>116475810</v>
      </c>
      <c r="K295" s="41">
        <v>0</v>
      </c>
      <c r="L295" s="54">
        <v>0</v>
      </c>
      <c r="M295" s="54">
        <v>0</v>
      </c>
      <c r="N295" s="42">
        <f t="shared" si="51"/>
        <v>0</v>
      </c>
      <c r="O295" s="43">
        <f t="shared" si="46"/>
        <v>0</v>
      </c>
      <c r="P295" s="61">
        <v>116475810</v>
      </c>
      <c r="Q295" s="43">
        <f t="shared" si="47"/>
        <v>0</v>
      </c>
      <c r="R295" s="61">
        <v>116475810</v>
      </c>
      <c r="S295" s="30">
        <f t="shared" si="50"/>
        <v>116475810</v>
      </c>
      <c r="T295" s="30">
        <f t="shared" si="50"/>
        <v>116475810</v>
      </c>
      <c r="U295" s="30">
        <v>7.26</v>
      </c>
      <c r="V295" s="41">
        <f>T295/X295</f>
        <v>7.26</v>
      </c>
      <c r="W295" s="41" t="e">
        <f>V295*AU295</f>
        <v>#VALUE!</v>
      </c>
      <c r="X295" s="41">
        <f t="shared" si="48"/>
        <v>16043500</v>
      </c>
      <c r="Y295" s="41">
        <v>16043500</v>
      </c>
      <c r="Z295" s="41">
        <v>0</v>
      </c>
      <c r="AA295" s="41">
        <v>0</v>
      </c>
      <c r="AB295" s="41">
        <v>16043500</v>
      </c>
      <c r="AC295" s="41">
        <f t="shared" si="44"/>
        <v>116475810</v>
      </c>
      <c r="AD295" s="41">
        <v>0</v>
      </c>
      <c r="AE295" s="41">
        <f t="shared" si="45"/>
        <v>0</v>
      </c>
      <c r="AF295" s="41" t="e">
        <f>X295/AU295</f>
        <v>#VALUE!</v>
      </c>
      <c r="AG295" s="41" t="e">
        <f t="shared" si="49"/>
        <v>#VALUE!</v>
      </c>
      <c r="AH295" s="36">
        <v>45366</v>
      </c>
      <c r="AI295" s="36"/>
      <c r="AJ295" s="36"/>
      <c r="AK295" s="36">
        <v>45397</v>
      </c>
      <c r="AL295" s="36"/>
      <c r="AM295" s="46"/>
      <c r="AN295" s="40" t="s">
        <v>1948</v>
      </c>
      <c r="AO295" s="40" t="s">
        <v>1949</v>
      </c>
      <c r="AP295" s="40" t="s">
        <v>1950</v>
      </c>
      <c r="AQ295" s="40" t="s">
        <v>1951</v>
      </c>
      <c r="AR295" s="48">
        <v>0</v>
      </c>
      <c r="AS295" s="37">
        <v>100</v>
      </c>
      <c r="AT295" s="37" t="s">
        <v>93</v>
      </c>
      <c r="AU295" s="51" t="s">
        <v>1952</v>
      </c>
      <c r="AV295" s="37" t="s">
        <v>60</v>
      </c>
      <c r="AW295" s="37">
        <v>10</v>
      </c>
      <c r="AX295" s="30">
        <f>(J295*10)/100</f>
        <v>11647581</v>
      </c>
      <c r="AY295" s="40" t="s">
        <v>402</v>
      </c>
    </row>
    <row r="296" spans="1:51" ht="48" customHeight="1" x14ac:dyDescent="0.25">
      <c r="A296" s="59" t="s">
        <v>1953</v>
      </c>
      <c r="B296" s="60">
        <v>45323</v>
      </c>
      <c r="C296" s="40">
        <v>1416</v>
      </c>
      <c r="D296" s="35"/>
      <c r="E296" s="39" t="s">
        <v>1954</v>
      </c>
      <c r="F296" s="36">
        <v>45348</v>
      </c>
      <c r="G296" s="37" t="s">
        <v>1955</v>
      </c>
      <c r="H296" s="40" t="s">
        <v>224</v>
      </c>
      <c r="I296" s="62" t="s">
        <v>1956</v>
      </c>
      <c r="J296" s="61">
        <v>18636961.5</v>
      </c>
      <c r="K296" s="41">
        <v>0</v>
      </c>
      <c r="L296" s="54">
        <v>0</v>
      </c>
      <c r="M296" s="54">
        <v>0</v>
      </c>
      <c r="N296" s="42">
        <f t="shared" si="51"/>
        <v>0.52840158520475566</v>
      </c>
      <c r="O296" s="43">
        <f t="shared" si="46"/>
        <v>98478</v>
      </c>
      <c r="P296" s="41">
        <v>18538483.5</v>
      </c>
      <c r="Q296" s="43">
        <f t="shared" si="47"/>
        <v>98478</v>
      </c>
      <c r="R296" s="41">
        <v>18538483.5</v>
      </c>
      <c r="S296" s="30">
        <f t="shared" si="50"/>
        <v>18538483.5</v>
      </c>
      <c r="T296" s="30">
        <f t="shared" si="50"/>
        <v>18538483.5</v>
      </c>
      <c r="U296" s="30">
        <v>22.71</v>
      </c>
      <c r="V296" s="41">
        <f>T296/X296</f>
        <v>22.59</v>
      </c>
      <c r="W296" s="41">
        <f>V296*AU296</f>
        <v>1129.5</v>
      </c>
      <c r="X296" s="41">
        <f t="shared" si="48"/>
        <v>820650</v>
      </c>
      <c r="Y296" s="41">
        <f>33950+786700</f>
        <v>820650</v>
      </c>
      <c r="Z296" s="41">
        <v>0</v>
      </c>
      <c r="AA296" s="41">
        <v>0</v>
      </c>
      <c r="AB296" s="41">
        <v>33950</v>
      </c>
      <c r="AC296" s="41">
        <f t="shared" si="44"/>
        <v>766930.5</v>
      </c>
      <c r="AD296" s="41">
        <v>786700</v>
      </c>
      <c r="AE296" s="41">
        <f t="shared" si="45"/>
        <v>17771553</v>
      </c>
      <c r="AF296" s="41">
        <f>X296/AU296</f>
        <v>16413</v>
      </c>
      <c r="AG296" s="41">
        <f t="shared" si="49"/>
        <v>16413</v>
      </c>
      <c r="AH296" s="36">
        <v>45366</v>
      </c>
      <c r="AI296" s="36"/>
      <c r="AJ296" s="36"/>
      <c r="AK296" s="36">
        <v>45397</v>
      </c>
      <c r="AL296" s="36"/>
      <c r="AM296" s="46"/>
      <c r="AN296" s="40" t="s">
        <v>1957</v>
      </c>
      <c r="AO296" s="40" t="s">
        <v>1958</v>
      </c>
      <c r="AP296" s="40" t="s">
        <v>1959</v>
      </c>
      <c r="AQ296" s="40" t="s">
        <v>80</v>
      </c>
      <c r="AR296" s="48">
        <v>100</v>
      </c>
      <c r="AS296" s="37">
        <v>0</v>
      </c>
      <c r="AT296" s="37" t="s">
        <v>386</v>
      </c>
      <c r="AU296" s="47">
        <v>50</v>
      </c>
      <c r="AV296" s="37" t="s">
        <v>60</v>
      </c>
      <c r="AW296" s="37">
        <v>10</v>
      </c>
      <c r="AX296" s="30">
        <f>(J296*10)/100</f>
        <v>1863696.15</v>
      </c>
      <c r="AY296" s="40" t="s">
        <v>402</v>
      </c>
    </row>
    <row r="297" spans="1:51" ht="48" customHeight="1" x14ac:dyDescent="0.25">
      <c r="A297" s="59" t="s">
        <v>1960</v>
      </c>
      <c r="B297" s="60">
        <v>45323</v>
      </c>
      <c r="C297" s="40">
        <v>1416</v>
      </c>
      <c r="D297" s="35"/>
      <c r="E297" s="39" t="s">
        <v>1961</v>
      </c>
      <c r="F297" s="36">
        <v>45348</v>
      </c>
      <c r="G297" s="37" t="s">
        <v>1962</v>
      </c>
      <c r="H297" s="40" t="s">
        <v>139</v>
      </c>
      <c r="I297" s="62" t="s">
        <v>1963</v>
      </c>
      <c r="J297" s="61">
        <v>63183728.159999996</v>
      </c>
      <c r="K297" s="41">
        <v>0</v>
      </c>
      <c r="L297" s="54">
        <v>0</v>
      </c>
      <c r="M297" s="54">
        <v>0</v>
      </c>
      <c r="N297" s="42">
        <f t="shared" si="51"/>
        <v>0</v>
      </c>
      <c r="O297" s="43">
        <f t="shared" si="46"/>
        <v>0</v>
      </c>
      <c r="P297" s="41">
        <v>63183728.159999996</v>
      </c>
      <c r="Q297" s="43">
        <f t="shared" si="47"/>
        <v>0</v>
      </c>
      <c r="R297" s="41">
        <v>63183728.159999996</v>
      </c>
      <c r="S297" s="30">
        <f t="shared" si="50"/>
        <v>63183728.159999996</v>
      </c>
      <c r="T297" s="30">
        <f t="shared" si="50"/>
        <v>63183728.159999996</v>
      </c>
      <c r="U297" s="30">
        <v>12792.3</v>
      </c>
      <c r="V297" s="41">
        <f>T297/X297</f>
        <v>12792.3</v>
      </c>
      <c r="W297" s="41">
        <f>V297*AU297</f>
        <v>15350.759999999998</v>
      </c>
      <c r="X297" s="41">
        <f t="shared" si="48"/>
        <v>4939.2</v>
      </c>
      <c r="Y297" s="41">
        <f>3705.6+1233.6</f>
        <v>4939.2</v>
      </c>
      <c r="Z297" s="41">
        <v>0</v>
      </c>
      <c r="AA297" s="41">
        <v>0</v>
      </c>
      <c r="AB297" s="41">
        <v>3705.6</v>
      </c>
      <c r="AC297" s="41">
        <f t="shared" si="44"/>
        <v>47403146.879999995</v>
      </c>
      <c r="AD297" s="41">
        <v>1233.5999999999999</v>
      </c>
      <c r="AE297" s="41">
        <f t="shared" si="45"/>
        <v>15780581.279999997</v>
      </c>
      <c r="AF297" s="41">
        <f>X297/AU297</f>
        <v>4116</v>
      </c>
      <c r="AG297" s="41">
        <f t="shared" si="49"/>
        <v>4116</v>
      </c>
      <c r="AH297" s="36">
        <v>45427</v>
      </c>
      <c r="AI297" s="36"/>
      <c r="AJ297" s="36"/>
      <c r="AK297" s="36">
        <v>45458</v>
      </c>
      <c r="AL297" s="36"/>
      <c r="AM297" s="46"/>
      <c r="AN297" s="40" t="s">
        <v>1964</v>
      </c>
      <c r="AO297" s="40" t="s">
        <v>1965</v>
      </c>
      <c r="AP297" s="40" t="s">
        <v>1966</v>
      </c>
      <c r="AQ297" s="40" t="s">
        <v>80</v>
      </c>
      <c r="AR297" s="48">
        <v>100</v>
      </c>
      <c r="AS297" s="37">
        <v>0</v>
      </c>
      <c r="AT297" s="37" t="s">
        <v>324</v>
      </c>
      <c r="AU297" s="52">
        <v>1.2</v>
      </c>
      <c r="AV297" s="37" t="s">
        <v>60</v>
      </c>
      <c r="AW297" s="37">
        <v>10</v>
      </c>
      <c r="AX297" s="30">
        <f>(J297*10)/100</f>
        <v>6318372.8159999987</v>
      </c>
      <c r="AY297" s="40" t="s">
        <v>402</v>
      </c>
    </row>
    <row r="298" spans="1:51" ht="48" customHeight="1" x14ac:dyDescent="0.25">
      <c r="A298" s="59" t="s">
        <v>1967</v>
      </c>
      <c r="B298" s="60">
        <v>45323</v>
      </c>
      <c r="C298" s="40">
        <v>1416</v>
      </c>
      <c r="D298" s="35"/>
      <c r="E298" s="39" t="s">
        <v>1968</v>
      </c>
      <c r="F298" s="36">
        <v>45348</v>
      </c>
      <c r="G298" s="37" t="s">
        <v>1969</v>
      </c>
      <c r="H298" s="40" t="s">
        <v>139</v>
      </c>
      <c r="I298" s="62" t="s">
        <v>1970</v>
      </c>
      <c r="J298" s="61">
        <v>146587500</v>
      </c>
      <c r="K298" s="41">
        <v>0</v>
      </c>
      <c r="L298" s="54">
        <v>0</v>
      </c>
      <c r="M298" s="54">
        <v>0</v>
      </c>
      <c r="N298" s="42">
        <f t="shared" si="51"/>
        <v>0</v>
      </c>
      <c r="O298" s="43">
        <f t="shared" si="46"/>
        <v>0</v>
      </c>
      <c r="P298" s="61">
        <v>146587500</v>
      </c>
      <c r="Q298" s="43">
        <f t="shared" si="47"/>
        <v>0</v>
      </c>
      <c r="R298" s="61">
        <v>146587500</v>
      </c>
      <c r="S298" s="30">
        <f t="shared" si="50"/>
        <v>146587500</v>
      </c>
      <c r="T298" s="30">
        <f t="shared" si="50"/>
        <v>146587500</v>
      </c>
      <c r="U298" s="30">
        <v>13.03</v>
      </c>
      <c r="V298" s="41">
        <f>T298/X298</f>
        <v>13.03</v>
      </c>
      <c r="W298" s="41">
        <f>V298*AU298</f>
        <v>6515</v>
      </c>
      <c r="X298" s="41">
        <f t="shared" si="48"/>
        <v>11250000</v>
      </c>
      <c r="Y298" s="41">
        <f>7194500+4055500</f>
        <v>11250000</v>
      </c>
      <c r="Z298" s="41">
        <v>0</v>
      </c>
      <c r="AA298" s="41">
        <v>0</v>
      </c>
      <c r="AB298" s="41">
        <v>7194500</v>
      </c>
      <c r="AC298" s="41">
        <f>AB298*V298</f>
        <v>93744335</v>
      </c>
      <c r="AD298" s="41">
        <v>4055500</v>
      </c>
      <c r="AE298" s="41">
        <f t="shared" si="45"/>
        <v>52843165</v>
      </c>
      <c r="AF298" s="41">
        <f>X298/AU298</f>
        <v>22500</v>
      </c>
      <c r="AG298" s="41">
        <f t="shared" si="49"/>
        <v>22500</v>
      </c>
      <c r="AH298" s="36">
        <v>45382</v>
      </c>
      <c r="AI298" s="36"/>
      <c r="AJ298" s="36"/>
      <c r="AK298" s="36">
        <v>45413</v>
      </c>
      <c r="AL298" s="36"/>
      <c r="AM298" s="46"/>
      <c r="AN298" s="40" t="s">
        <v>1971</v>
      </c>
      <c r="AO298" s="40" t="s">
        <v>1972</v>
      </c>
      <c r="AP298" s="40" t="s">
        <v>1973</v>
      </c>
      <c r="AQ298" s="40" t="s">
        <v>774</v>
      </c>
      <c r="AR298" s="48">
        <v>0</v>
      </c>
      <c r="AS298" s="37">
        <v>100</v>
      </c>
      <c r="AT298" s="37" t="s">
        <v>93</v>
      </c>
      <c r="AU298" s="47">
        <v>500</v>
      </c>
      <c r="AV298" s="37" t="s">
        <v>60</v>
      </c>
      <c r="AW298" s="37">
        <v>10</v>
      </c>
      <c r="AX298" s="30">
        <f>(J298*10)/100</f>
        <v>14658750</v>
      </c>
      <c r="AY298" s="40" t="s">
        <v>402</v>
      </c>
    </row>
    <row r="299" spans="1:51" ht="48" customHeight="1" x14ac:dyDescent="0.25">
      <c r="A299" s="59" t="s">
        <v>1974</v>
      </c>
      <c r="B299" s="60">
        <v>45324</v>
      </c>
      <c r="C299" s="40" t="s">
        <v>494</v>
      </c>
      <c r="D299" s="35"/>
      <c r="E299" s="39" t="s">
        <v>1975</v>
      </c>
      <c r="F299" s="36">
        <v>45348</v>
      </c>
      <c r="G299" s="37" t="s">
        <v>1976</v>
      </c>
      <c r="H299" s="40" t="s">
        <v>53</v>
      </c>
      <c r="I299" s="62" t="s">
        <v>1977</v>
      </c>
      <c r="J299" s="61">
        <v>247826882.88</v>
      </c>
      <c r="K299" s="41">
        <v>0</v>
      </c>
      <c r="L299" s="54">
        <v>0</v>
      </c>
      <c r="M299" s="54">
        <v>0</v>
      </c>
      <c r="N299" s="42">
        <f t="shared" si="51"/>
        <v>0</v>
      </c>
      <c r="O299" s="43">
        <f t="shared" si="46"/>
        <v>0</v>
      </c>
      <c r="P299" s="61">
        <v>247826882.88</v>
      </c>
      <c r="Q299" s="43">
        <f t="shared" si="47"/>
        <v>0</v>
      </c>
      <c r="R299" s="61">
        <v>247826882.88</v>
      </c>
      <c r="S299" s="30">
        <f t="shared" si="50"/>
        <v>247826882.88</v>
      </c>
      <c r="T299" s="30">
        <f t="shared" si="50"/>
        <v>247826882.88</v>
      </c>
      <c r="U299" s="30">
        <v>144.66</v>
      </c>
      <c r="V299" s="41">
        <f>T299/X299</f>
        <v>144.66</v>
      </c>
      <c r="W299" s="41">
        <f>V299*AU299</f>
        <v>6943.68</v>
      </c>
      <c r="X299" s="41">
        <f t="shared" si="48"/>
        <v>1713168</v>
      </c>
      <c r="Y299" s="41">
        <v>576000</v>
      </c>
      <c r="Z299" s="41">
        <v>576000</v>
      </c>
      <c r="AA299" s="41">
        <v>561168</v>
      </c>
      <c r="AB299" s="41">
        <v>0</v>
      </c>
      <c r="AC299" s="41">
        <f t="shared" si="44"/>
        <v>0</v>
      </c>
      <c r="AD299" s="41">
        <v>0</v>
      </c>
      <c r="AE299" s="41">
        <f t="shared" si="45"/>
        <v>0</v>
      </c>
      <c r="AF299" s="41">
        <f>X299/AU299</f>
        <v>35691</v>
      </c>
      <c r="AG299" s="41">
        <f t="shared" si="49"/>
        <v>35691</v>
      </c>
      <c r="AH299" s="36">
        <v>45383</v>
      </c>
      <c r="AI299" s="36">
        <v>45474</v>
      </c>
      <c r="AJ299" s="36">
        <v>45550</v>
      </c>
      <c r="AK299" s="36">
        <v>45413</v>
      </c>
      <c r="AL299" s="36">
        <v>45505</v>
      </c>
      <c r="AM299" s="46">
        <v>45580</v>
      </c>
      <c r="AN299" s="40" t="s">
        <v>1978</v>
      </c>
      <c r="AO299" s="40" t="s">
        <v>1979</v>
      </c>
      <c r="AP299" s="40" t="s">
        <v>1980</v>
      </c>
      <c r="AQ299" s="40" t="s">
        <v>264</v>
      </c>
      <c r="AR299" s="48">
        <v>0</v>
      </c>
      <c r="AS299" s="37">
        <v>100</v>
      </c>
      <c r="AT299" s="37" t="s">
        <v>386</v>
      </c>
      <c r="AU299" s="47">
        <v>48</v>
      </c>
      <c r="AV299" s="37" t="s">
        <v>60</v>
      </c>
      <c r="AW299" s="37">
        <v>10</v>
      </c>
      <c r="AX299" s="30">
        <f>(J299*10)/100</f>
        <v>24782688.288000003</v>
      </c>
      <c r="AY299" s="40" t="s">
        <v>402</v>
      </c>
    </row>
    <row r="300" spans="1:51" ht="48" customHeight="1" x14ac:dyDescent="0.25">
      <c r="A300" s="59" t="s">
        <v>1981</v>
      </c>
      <c r="B300" s="60">
        <v>45324</v>
      </c>
      <c r="C300" s="40" t="s">
        <v>494</v>
      </c>
      <c r="D300" s="35" t="s">
        <v>431</v>
      </c>
      <c r="E300" s="39" t="s">
        <v>1982</v>
      </c>
      <c r="F300" s="36" t="s">
        <v>431</v>
      </c>
      <c r="G300" s="37" t="s">
        <v>431</v>
      </c>
      <c r="H300" s="40" t="s">
        <v>431</v>
      </c>
      <c r="I300" s="62" t="s">
        <v>1983</v>
      </c>
      <c r="J300" s="61">
        <v>9795456</v>
      </c>
      <c r="K300" s="41">
        <v>0</v>
      </c>
      <c r="L300" s="54">
        <v>0</v>
      </c>
      <c r="M300" s="54">
        <v>0</v>
      </c>
      <c r="N300" s="42">
        <f t="shared" si="51"/>
        <v>100</v>
      </c>
      <c r="O300" s="43">
        <f t="shared" si="46"/>
        <v>9795456</v>
      </c>
      <c r="P300" s="41"/>
      <c r="Q300" s="43">
        <f t="shared" si="47"/>
        <v>9795456</v>
      </c>
      <c r="R300" s="41">
        <v>0</v>
      </c>
      <c r="S300" s="30">
        <f t="shared" si="50"/>
        <v>0</v>
      </c>
      <c r="T300" s="30">
        <f t="shared" si="50"/>
        <v>0</v>
      </c>
      <c r="U300" s="30">
        <v>5.28</v>
      </c>
      <c r="V300" s="41">
        <f>T300/X300</f>
        <v>0</v>
      </c>
      <c r="W300" s="41">
        <f>V300*AU300</f>
        <v>0</v>
      </c>
      <c r="X300" s="41">
        <f t="shared" si="48"/>
        <v>1855200</v>
      </c>
      <c r="Y300" s="41">
        <v>1855200</v>
      </c>
      <c r="Z300" s="41">
        <v>0</v>
      </c>
      <c r="AA300" s="41">
        <v>0</v>
      </c>
      <c r="AB300" s="41"/>
      <c r="AC300" s="41">
        <f t="shared" si="44"/>
        <v>0</v>
      </c>
      <c r="AD300" s="41"/>
      <c r="AE300" s="41">
        <f t="shared" si="45"/>
        <v>0</v>
      </c>
      <c r="AF300" s="41" t="e">
        <f>X300/AU300</f>
        <v>#DIV/0!</v>
      </c>
      <c r="AG300" s="41" t="e">
        <f t="shared" si="49"/>
        <v>#DIV/0!</v>
      </c>
      <c r="AH300" s="36">
        <v>45383</v>
      </c>
      <c r="AI300" s="36"/>
      <c r="AJ300" s="36"/>
      <c r="AK300" s="36"/>
      <c r="AL300" s="36"/>
      <c r="AM300" s="46"/>
      <c r="AN300" s="40"/>
      <c r="AO300" s="40"/>
      <c r="AP300" s="40"/>
      <c r="AQ300" s="40"/>
      <c r="AR300" s="48"/>
      <c r="AS300" s="37"/>
      <c r="AT300" s="37"/>
      <c r="AU300" s="47"/>
      <c r="AV300" s="37"/>
      <c r="AW300" s="37">
        <v>10</v>
      </c>
      <c r="AX300" s="30">
        <f>(J300*10)/100</f>
        <v>979545.59999999998</v>
      </c>
      <c r="AY300" s="40" t="s">
        <v>431</v>
      </c>
    </row>
    <row r="301" spans="1:51" ht="48" customHeight="1" x14ac:dyDescent="0.25">
      <c r="A301" s="59" t="s">
        <v>1984</v>
      </c>
      <c r="B301" s="60">
        <v>45324</v>
      </c>
      <c r="C301" s="40" t="s">
        <v>494</v>
      </c>
      <c r="D301" s="35"/>
      <c r="E301" s="39" t="s">
        <v>1985</v>
      </c>
      <c r="F301" s="36">
        <v>45348</v>
      </c>
      <c r="G301" s="37" t="s">
        <v>1986</v>
      </c>
      <c r="H301" s="40" t="s">
        <v>224</v>
      </c>
      <c r="I301" s="64" t="s">
        <v>1987</v>
      </c>
      <c r="J301" s="61">
        <v>12375990</v>
      </c>
      <c r="K301" s="41">
        <v>0</v>
      </c>
      <c r="L301" s="54">
        <v>0</v>
      </c>
      <c r="M301" s="54">
        <v>0</v>
      </c>
      <c r="N301" s="42">
        <f t="shared" si="51"/>
        <v>0</v>
      </c>
      <c r="O301" s="43">
        <f t="shared" si="46"/>
        <v>0</v>
      </c>
      <c r="P301" s="61">
        <v>12375990</v>
      </c>
      <c r="Q301" s="43">
        <f t="shared" si="47"/>
        <v>0</v>
      </c>
      <c r="R301" s="61">
        <v>12375990</v>
      </c>
      <c r="S301" s="30">
        <f t="shared" si="50"/>
        <v>12375990</v>
      </c>
      <c r="T301" s="30">
        <f t="shared" si="50"/>
        <v>12375990</v>
      </c>
      <c r="U301" s="30">
        <v>49.5</v>
      </c>
      <c r="V301" s="41">
        <f>T301/X301</f>
        <v>49.5</v>
      </c>
      <c r="W301" s="41">
        <f>V301*AU301</f>
        <v>4950</v>
      </c>
      <c r="X301" s="41">
        <f t="shared" si="48"/>
        <v>250020</v>
      </c>
      <c r="Y301" s="41">
        <v>250020</v>
      </c>
      <c r="Z301" s="41">
        <v>0</v>
      </c>
      <c r="AA301" s="41">
        <v>0</v>
      </c>
      <c r="AB301" s="41">
        <v>0</v>
      </c>
      <c r="AC301" s="41">
        <f t="shared" si="44"/>
        <v>0</v>
      </c>
      <c r="AD301" s="41">
        <v>0</v>
      </c>
      <c r="AE301" s="41">
        <f t="shared" si="45"/>
        <v>0</v>
      </c>
      <c r="AF301" s="41">
        <f>X301/AU301</f>
        <v>2500.1999999999998</v>
      </c>
      <c r="AG301" s="41">
        <f t="shared" si="49"/>
        <v>2501</v>
      </c>
      <c r="AH301" s="36">
        <v>45383</v>
      </c>
      <c r="AI301" s="36"/>
      <c r="AJ301" s="36"/>
      <c r="AK301" s="36">
        <v>45413</v>
      </c>
      <c r="AL301" s="36"/>
      <c r="AM301" s="46"/>
      <c r="AN301" s="40" t="s">
        <v>1988</v>
      </c>
      <c r="AO301" s="40" t="s">
        <v>1989</v>
      </c>
      <c r="AP301" s="40" t="s">
        <v>1990</v>
      </c>
      <c r="AQ301" s="40" t="s">
        <v>80</v>
      </c>
      <c r="AR301" s="48">
        <v>100</v>
      </c>
      <c r="AS301" s="37">
        <v>0</v>
      </c>
      <c r="AT301" s="37" t="s">
        <v>386</v>
      </c>
      <c r="AU301" s="47">
        <v>100</v>
      </c>
      <c r="AV301" s="37" t="s">
        <v>60</v>
      </c>
      <c r="AW301" s="37">
        <v>10</v>
      </c>
      <c r="AX301" s="30">
        <f>(J301*10)/100</f>
        <v>1237599</v>
      </c>
      <c r="AY301" s="40" t="s">
        <v>402</v>
      </c>
    </row>
    <row r="302" spans="1:51" ht="48" customHeight="1" x14ac:dyDescent="0.25">
      <c r="A302" s="59" t="s">
        <v>1991</v>
      </c>
      <c r="B302" s="60">
        <v>45324</v>
      </c>
      <c r="C302" s="40">
        <v>1416</v>
      </c>
      <c r="D302" s="35"/>
      <c r="E302" s="39" t="s">
        <v>1992</v>
      </c>
      <c r="F302" s="36">
        <v>45352</v>
      </c>
      <c r="G302" s="37" t="s">
        <v>1993</v>
      </c>
      <c r="H302" s="40" t="s">
        <v>139</v>
      </c>
      <c r="I302" s="62" t="s">
        <v>1994</v>
      </c>
      <c r="J302" s="61">
        <v>763941360</v>
      </c>
      <c r="K302" s="41">
        <v>0</v>
      </c>
      <c r="L302" s="54">
        <v>0</v>
      </c>
      <c r="M302" s="54">
        <v>0</v>
      </c>
      <c r="N302" s="42">
        <f t="shared" si="51"/>
        <v>2.5</v>
      </c>
      <c r="O302" s="43">
        <f t="shared" si="46"/>
        <v>19098534</v>
      </c>
      <c r="P302" s="41">
        <v>744842826</v>
      </c>
      <c r="Q302" s="43">
        <f t="shared" si="47"/>
        <v>19098534</v>
      </c>
      <c r="R302" s="41">
        <v>744842826</v>
      </c>
      <c r="S302" s="30">
        <f t="shared" si="50"/>
        <v>744842826</v>
      </c>
      <c r="T302" s="30">
        <f t="shared" si="50"/>
        <v>744842826</v>
      </c>
      <c r="U302" s="30">
        <v>7.28</v>
      </c>
      <c r="V302" s="41">
        <f>T302/X302</f>
        <v>7.0979999999999999</v>
      </c>
      <c r="W302" s="41">
        <f>V302*AU302</f>
        <v>7098</v>
      </c>
      <c r="X302" s="41">
        <f t="shared" si="48"/>
        <v>104937000</v>
      </c>
      <c r="Y302" s="41">
        <v>73121000</v>
      </c>
      <c r="Z302" s="41">
        <v>31816000</v>
      </c>
      <c r="AA302" s="41">
        <v>0</v>
      </c>
      <c r="AB302" s="41">
        <v>0</v>
      </c>
      <c r="AC302" s="41">
        <f t="shared" si="44"/>
        <v>0</v>
      </c>
      <c r="AD302" s="41">
        <f>73121000+31816000</f>
        <v>104937000</v>
      </c>
      <c r="AE302" s="41">
        <f t="shared" si="45"/>
        <v>744842826</v>
      </c>
      <c r="AF302" s="41">
        <f>X302/AU302</f>
        <v>104937</v>
      </c>
      <c r="AG302" s="41">
        <f t="shared" si="49"/>
        <v>104937</v>
      </c>
      <c r="AH302" s="36">
        <v>45366</v>
      </c>
      <c r="AI302" s="36">
        <v>45432</v>
      </c>
      <c r="AJ302" s="36"/>
      <c r="AK302" s="36">
        <v>45397</v>
      </c>
      <c r="AL302" s="36">
        <v>45463</v>
      </c>
      <c r="AM302" s="46"/>
      <c r="AN302" s="40" t="s">
        <v>1921</v>
      </c>
      <c r="AO302" s="40" t="s">
        <v>1995</v>
      </c>
      <c r="AP302" s="40" t="s">
        <v>1923</v>
      </c>
      <c r="AQ302" s="40" t="s">
        <v>80</v>
      </c>
      <c r="AR302" s="48">
        <v>100</v>
      </c>
      <c r="AS302" s="37">
        <v>0</v>
      </c>
      <c r="AT302" s="37" t="s">
        <v>93</v>
      </c>
      <c r="AU302" s="47">
        <v>1000</v>
      </c>
      <c r="AV302" s="37" t="s">
        <v>60</v>
      </c>
      <c r="AW302" s="37">
        <v>10</v>
      </c>
      <c r="AX302" s="30">
        <f>(J302*10)/100</f>
        <v>76394136</v>
      </c>
      <c r="AY302" s="40" t="s">
        <v>402</v>
      </c>
    </row>
    <row r="303" spans="1:51" ht="48" customHeight="1" x14ac:dyDescent="0.25">
      <c r="A303" s="59" t="s">
        <v>1996</v>
      </c>
      <c r="B303" s="60">
        <v>45324</v>
      </c>
      <c r="C303" s="40">
        <v>1416</v>
      </c>
      <c r="D303" s="35" t="s">
        <v>431</v>
      </c>
      <c r="E303" s="39" t="s">
        <v>1997</v>
      </c>
      <c r="F303" s="36" t="s">
        <v>431</v>
      </c>
      <c r="G303" s="37" t="s">
        <v>431</v>
      </c>
      <c r="H303" s="40" t="s">
        <v>431</v>
      </c>
      <c r="I303" s="62" t="s">
        <v>1998</v>
      </c>
      <c r="J303" s="61">
        <v>169078328.09999999</v>
      </c>
      <c r="K303" s="41">
        <v>0</v>
      </c>
      <c r="L303" s="54">
        <v>0</v>
      </c>
      <c r="M303" s="54">
        <v>0</v>
      </c>
      <c r="N303" s="42">
        <f t="shared" si="51"/>
        <v>100</v>
      </c>
      <c r="O303" s="43">
        <f t="shared" si="46"/>
        <v>169078328.09999999</v>
      </c>
      <c r="P303" s="41"/>
      <c r="Q303" s="43">
        <f t="shared" si="47"/>
        <v>169078328.09999999</v>
      </c>
      <c r="R303" s="41">
        <v>0</v>
      </c>
      <c r="S303" s="30">
        <f t="shared" si="50"/>
        <v>0</v>
      </c>
      <c r="T303" s="30">
        <f t="shared" si="50"/>
        <v>0</v>
      </c>
      <c r="U303" s="30">
        <v>3221.46</v>
      </c>
      <c r="V303" s="41">
        <f>T303/X303</f>
        <v>0</v>
      </c>
      <c r="W303" s="41">
        <f>V303*AU303</f>
        <v>0</v>
      </c>
      <c r="X303" s="41">
        <f t="shared" si="48"/>
        <v>52485</v>
      </c>
      <c r="Y303" s="41">
        <v>17665</v>
      </c>
      <c r="Z303" s="41">
        <v>34820</v>
      </c>
      <c r="AA303" s="41">
        <v>0</v>
      </c>
      <c r="AB303" s="41"/>
      <c r="AC303" s="41">
        <f t="shared" si="44"/>
        <v>0</v>
      </c>
      <c r="AD303" s="41">
        <v>0</v>
      </c>
      <c r="AE303" s="41">
        <f t="shared" si="45"/>
        <v>0</v>
      </c>
      <c r="AF303" s="41" t="e">
        <f>X303/AU303</f>
        <v>#DIV/0!</v>
      </c>
      <c r="AG303" s="41" t="e">
        <f t="shared" si="49"/>
        <v>#DIV/0!</v>
      </c>
      <c r="AH303" s="36">
        <v>45352</v>
      </c>
      <c r="AI303" s="36">
        <v>45444</v>
      </c>
      <c r="AJ303" s="36"/>
      <c r="AK303" s="36"/>
      <c r="AL303" s="36"/>
      <c r="AM303" s="46"/>
      <c r="AN303" s="40"/>
      <c r="AO303" s="40"/>
      <c r="AP303" s="40"/>
      <c r="AQ303" s="40"/>
      <c r="AR303" s="48"/>
      <c r="AS303" s="37"/>
      <c r="AT303" s="37"/>
      <c r="AU303" s="47"/>
      <c r="AV303" s="37"/>
      <c r="AW303" s="37">
        <v>10</v>
      </c>
      <c r="AX303" s="30">
        <f>(J303*10)/100</f>
        <v>16907832.809999999</v>
      </c>
      <c r="AY303" s="40" t="s">
        <v>431</v>
      </c>
    </row>
    <row r="304" spans="1:51" ht="63.75" customHeight="1" x14ac:dyDescent="0.25">
      <c r="A304" s="44" t="s">
        <v>1999</v>
      </c>
      <c r="B304" s="36">
        <v>45327</v>
      </c>
      <c r="C304" s="37">
        <v>1416</v>
      </c>
      <c r="D304" s="35"/>
      <c r="E304" s="39" t="s">
        <v>2000</v>
      </c>
      <c r="F304" s="36">
        <v>45352</v>
      </c>
      <c r="G304" s="37" t="s">
        <v>2001</v>
      </c>
      <c r="H304" s="40" t="s">
        <v>86</v>
      </c>
      <c r="I304" s="40" t="s">
        <v>710</v>
      </c>
      <c r="J304" s="41">
        <v>251473040</v>
      </c>
      <c r="K304" s="41">
        <v>0</v>
      </c>
      <c r="L304" s="54">
        <v>0</v>
      </c>
      <c r="M304" s="54">
        <v>0</v>
      </c>
      <c r="N304" s="42">
        <f t="shared" si="51"/>
        <v>0</v>
      </c>
      <c r="O304" s="43">
        <f t="shared" si="46"/>
        <v>0</v>
      </c>
      <c r="P304" s="41">
        <v>251473040</v>
      </c>
      <c r="Q304" s="43">
        <f t="shared" si="47"/>
        <v>0</v>
      </c>
      <c r="R304" s="41">
        <v>251473040</v>
      </c>
      <c r="S304" s="30">
        <f t="shared" si="50"/>
        <v>251473040</v>
      </c>
      <c r="T304" s="30">
        <f t="shared" si="50"/>
        <v>251473040</v>
      </c>
      <c r="U304" s="30">
        <v>7.28</v>
      </c>
      <c r="V304" s="41">
        <f>T304/X304</f>
        <v>7.28</v>
      </c>
      <c r="W304" s="41">
        <f>V304*AU304</f>
        <v>7280</v>
      </c>
      <c r="X304" s="41">
        <f t="shared" si="48"/>
        <v>34543000</v>
      </c>
      <c r="Y304" s="41">
        <v>34543000</v>
      </c>
      <c r="Z304" s="41">
        <v>0</v>
      </c>
      <c r="AA304" s="41">
        <v>0</v>
      </c>
      <c r="AB304" s="41">
        <v>34543000</v>
      </c>
      <c r="AC304" s="41">
        <f t="shared" si="44"/>
        <v>251473040</v>
      </c>
      <c r="AD304" s="41">
        <v>0</v>
      </c>
      <c r="AE304" s="41">
        <f t="shared" si="45"/>
        <v>0</v>
      </c>
      <c r="AF304" s="41">
        <f>X304/AU304</f>
        <v>34543</v>
      </c>
      <c r="AG304" s="41">
        <f t="shared" si="49"/>
        <v>34543</v>
      </c>
      <c r="AH304" s="36">
        <v>45366</v>
      </c>
      <c r="AI304" s="36"/>
      <c r="AJ304" s="36"/>
      <c r="AK304" s="36">
        <v>45397</v>
      </c>
      <c r="AL304" s="36"/>
      <c r="AM304" s="46"/>
      <c r="AN304" s="40" t="s">
        <v>1948</v>
      </c>
      <c r="AO304" s="40" t="s">
        <v>2002</v>
      </c>
      <c r="AP304" s="40" t="s">
        <v>1950</v>
      </c>
      <c r="AQ304" s="40" t="s">
        <v>1951</v>
      </c>
      <c r="AR304" s="48">
        <v>0</v>
      </c>
      <c r="AS304" s="37">
        <v>100</v>
      </c>
      <c r="AT304" s="37" t="s">
        <v>93</v>
      </c>
      <c r="AU304" s="47">
        <v>1000</v>
      </c>
      <c r="AV304" s="37" t="s">
        <v>60</v>
      </c>
      <c r="AW304" s="37">
        <v>10</v>
      </c>
      <c r="AX304" s="30">
        <f>(J304*10)/100</f>
        <v>25147304</v>
      </c>
      <c r="AY304" s="40" t="s">
        <v>402</v>
      </c>
    </row>
    <row r="305" spans="1:51" ht="36.75" customHeight="1" x14ac:dyDescent="0.25">
      <c r="A305" s="44" t="s">
        <v>2003</v>
      </c>
      <c r="B305" s="36">
        <v>45327</v>
      </c>
      <c r="C305" s="40" t="s">
        <v>494</v>
      </c>
      <c r="D305" s="35"/>
      <c r="E305" s="39" t="s">
        <v>2004</v>
      </c>
      <c r="F305" s="36">
        <v>45356</v>
      </c>
      <c r="G305" s="37" t="s">
        <v>2005</v>
      </c>
      <c r="H305" s="40" t="s">
        <v>139</v>
      </c>
      <c r="I305" s="40" t="s">
        <v>2006</v>
      </c>
      <c r="J305" s="41">
        <v>509832688</v>
      </c>
      <c r="K305" s="41">
        <v>0</v>
      </c>
      <c r="L305" s="54">
        <v>0</v>
      </c>
      <c r="M305" s="54">
        <v>0</v>
      </c>
      <c r="N305" s="42">
        <f t="shared" si="51"/>
        <v>0</v>
      </c>
      <c r="O305" s="43">
        <f t="shared" si="46"/>
        <v>0</v>
      </c>
      <c r="P305" s="41">
        <v>509832688</v>
      </c>
      <c r="Q305" s="43">
        <f t="shared" si="47"/>
        <v>0</v>
      </c>
      <c r="R305" s="41">
        <v>509832688</v>
      </c>
      <c r="S305" s="30">
        <f t="shared" si="50"/>
        <v>509832688</v>
      </c>
      <c r="T305" s="30">
        <f t="shared" si="50"/>
        <v>509832688</v>
      </c>
      <c r="U305" s="30">
        <f>T305/X305</f>
        <v>574.54999999999995</v>
      </c>
      <c r="V305" s="41">
        <f>T305/X305</f>
        <v>574.54999999999995</v>
      </c>
      <c r="W305" s="41">
        <f>V305*AU305</f>
        <v>108015.4</v>
      </c>
      <c r="X305" s="41">
        <f t="shared" si="48"/>
        <v>887360</v>
      </c>
      <c r="Y305" s="41">
        <v>887360</v>
      </c>
      <c r="Z305" s="41">
        <v>0</v>
      </c>
      <c r="AA305" s="41">
        <v>0</v>
      </c>
      <c r="AB305" s="41">
        <v>0</v>
      </c>
      <c r="AC305" s="41">
        <f t="shared" si="44"/>
        <v>0</v>
      </c>
      <c r="AD305" s="41">
        <v>0</v>
      </c>
      <c r="AE305" s="41">
        <f t="shared" si="45"/>
        <v>0</v>
      </c>
      <c r="AF305" s="41">
        <f>X305/AU305</f>
        <v>4720</v>
      </c>
      <c r="AG305" s="41">
        <f t="shared" si="49"/>
        <v>4720</v>
      </c>
      <c r="AH305" s="36">
        <v>45397</v>
      </c>
      <c r="AI305" s="36"/>
      <c r="AJ305" s="36"/>
      <c r="AK305" s="36">
        <v>45427</v>
      </c>
      <c r="AL305" s="36"/>
      <c r="AM305" s="46"/>
      <c r="AN305" s="40" t="s">
        <v>534</v>
      </c>
      <c r="AO305" s="40" t="s">
        <v>535</v>
      </c>
      <c r="AP305" s="40" t="s">
        <v>536</v>
      </c>
      <c r="AQ305" s="40" t="s">
        <v>80</v>
      </c>
      <c r="AR305" s="48">
        <v>100</v>
      </c>
      <c r="AS305" s="37">
        <v>0</v>
      </c>
      <c r="AT305" s="37" t="s">
        <v>386</v>
      </c>
      <c r="AU305" s="47">
        <v>188</v>
      </c>
      <c r="AV305" s="37" t="s">
        <v>60</v>
      </c>
      <c r="AW305" s="37">
        <v>10</v>
      </c>
      <c r="AX305" s="30">
        <f>(J305*10)/100</f>
        <v>50983268.799999997</v>
      </c>
      <c r="AY305" s="40" t="s">
        <v>402</v>
      </c>
    </row>
    <row r="306" spans="1:51" ht="107.25" customHeight="1" x14ac:dyDescent="0.25">
      <c r="A306" s="44" t="s">
        <v>2007</v>
      </c>
      <c r="B306" s="36">
        <v>45327</v>
      </c>
      <c r="C306" s="40" t="s">
        <v>494</v>
      </c>
      <c r="D306" s="35"/>
      <c r="E306" s="39" t="s">
        <v>2008</v>
      </c>
      <c r="F306" s="36">
        <v>45352</v>
      </c>
      <c r="G306" s="37" t="s">
        <v>2009</v>
      </c>
      <c r="H306" s="40" t="s">
        <v>224</v>
      </c>
      <c r="I306" s="40" t="s">
        <v>2010</v>
      </c>
      <c r="J306" s="41">
        <v>12153240</v>
      </c>
      <c r="K306" s="41">
        <v>0</v>
      </c>
      <c r="L306" s="54">
        <v>0</v>
      </c>
      <c r="M306" s="54">
        <v>0</v>
      </c>
      <c r="N306" s="42">
        <f t="shared" si="51"/>
        <v>0</v>
      </c>
      <c r="O306" s="43">
        <f t="shared" si="46"/>
        <v>0</v>
      </c>
      <c r="P306" s="41">
        <v>12153240</v>
      </c>
      <c r="Q306" s="43">
        <f t="shared" si="47"/>
        <v>0</v>
      </c>
      <c r="R306" s="41">
        <v>12153240</v>
      </c>
      <c r="S306" s="30">
        <f t="shared" si="50"/>
        <v>12153240</v>
      </c>
      <c r="T306" s="30">
        <f t="shared" si="50"/>
        <v>12153240</v>
      </c>
      <c r="U306" s="30">
        <f>T306/X306</f>
        <v>396</v>
      </c>
      <c r="V306" s="41">
        <f>T306/X306</f>
        <v>396</v>
      </c>
      <c r="W306" s="41">
        <f>V306*AU306</f>
        <v>39600</v>
      </c>
      <c r="X306" s="41">
        <f t="shared" si="48"/>
        <v>30690</v>
      </c>
      <c r="Y306" s="41">
        <v>30690</v>
      </c>
      <c r="Z306" s="41">
        <v>0</v>
      </c>
      <c r="AA306" s="41">
        <v>0</v>
      </c>
      <c r="AB306" s="41">
        <v>0</v>
      </c>
      <c r="AC306" s="41">
        <f t="shared" si="44"/>
        <v>0</v>
      </c>
      <c r="AD306" s="41">
        <v>0</v>
      </c>
      <c r="AE306" s="41">
        <f t="shared" si="45"/>
        <v>0</v>
      </c>
      <c r="AF306" s="41">
        <f>X306/AU306</f>
        <v>306.89999999999998</v>
      </c>
      <c r="AG306" s="41">
        <f t="shared" si="49"/>
        <v>307</v>
      </c>
      <c r="AH306" s="36">
        <v>45383</v>
      </c>
      <c r="AI306" s="36"/>
      <c r="AJ306" s="36"/>
      <c r="AK306" s="36">
        <v>45413</v>
      </c>
      <c r="AL306" s="36"/>
      <c r="AM306" s="46"/>
      <c r="AN306" s="40" t="s">
        <v>2011</v>
      </c>
      <c r="AO306" s="40" t="s">
        <v>2012</v>
      </c>
      <c r="AP306" s="40" t="s">
        <v>2013</v>
      </c>
      <c r="AQ306" s="40" t="s">
        <v>80</v>
      </c>
      <c r="AR306" s="48">
        <v>100</v>
      </c>
      <c r="AS306" s="37">
        <v>0</v>
      </c>
      <c r="AT306" s="37" t="s">
        <v>386</v>
      </c>
      <c r="AU306" s="47">
        <v>100</v>
      </c>
      <c r="AV306" s="37" t="s">
        <v>60</v>
      </c>
      <c r="AW306" s="37">
        <v>10</v>
      </c>
      <c r="AX306" s="30">
        <f>(J306*10)/100</f>
        <v>1215324</v>
      </c>
      <c r="AY306" s="40" t="s">
        <v>402</v>
      </c>
    </row>
    <row r="307" spans="1:51" ht="39" customHeight="1" x14ac:dyDescent="0.25">
      <c r="A307" s="59" t="s">
        <v>2014</v>
      </c>
      <c r="B307" s="60">
        <v>45327</v>
      </c>
      <c r="C307" s="40" t="s">
        <v>494</v>
      </c>
      <c r="D307" s="35"/>
      <c r="E307" s="39" t="s">
        <v>2015</v>
      </c>
      <c r="F307" s="36">
        <v>45352</v>
      </c>
      <c r="G307" s="37" t="s">
        <v>2016</v>
      </c>
      <c r="H307" s="40" t="s">
        <v>2017</v>
      </c>
      <c r="I307" s="64" t="s">
        <v>2018</v>
      </c>
      <c r="J307" s="61">
        <v>54510610</v>
      </c>
      <c r="K307" s="41">
        <v>0</v>
      </c>
      <c r="L307" s="54">
        <v>0</v>
      </c>
      <c r="M307" s="54">
        <v>0</v>
      </c>
      <c r="N307" s="42">
        <f t="shared" si="51"/>
        <v>0</v>
      </c>
      <c r="O307" s="43">
        <f t="shared" si="46"/>
        <v>0</v>
      </c>
      <c r="P307" s="61">
        <v>54510610</v>
      </c>
      <c r="Q307" s="43">
        <f t="shared" si="47"/>
        <v>0</v>
      </c>
      <c r="R307" s="61">
        <v>54510610</v>
      </c>
      <c r="S307" s="30">
        <f t="shared" si="50"/>
        <v>54510610</v>
      </c>
      <c r="T307" s="30">
        <f t="shared" si="50"/>
        <v>54510610</v>
      </c>
      <c r="U307" s="30">
        <f>T307/X307</f>
        <v>77</v>
      </c>
      <c r="V307" s="41">
        <f>T307/X307</f>
        <v>77</v>
      </c>
      <c r="W307" s="41" t="e">
        <f>V307*AU307</f>
        <v>#VALUE!</v>
      </c>
      <c r="X307" s="41">
        <f t="shared" si="48"/>
        <v>707930</v>
      </c>
      <c r="Y307" s="41">
        <v>707930</v>
      </c>
      <c r="Z307" s="41">
        <v>0</v>
      </c>
      <c r="AA307" s="41">
        <v>0</v>
      </c>
      <c r="AB307" s="41">
        <v>0</v>
      </c>
      <c r="AC307" s="41">
        <f t="shared" si="44"/>
        <v>0</v>
      </c>
      <c r="AD307" s="41">
        <v>0</v>
      </c>
      <c r="AE307" s="41">
        <f t="shared" si="45"/>
        <v>0</v>
      </c>
      <c r="AF307" s="41" t="e">
        <f>X307/AU307</f>
        <v>#VALUE!</v>
      </c>
      <c r="AG307" s="41" t="e">
        <f t="shared" si="49"/>
        <v>#VALUE!</v>
      </c>
      <c r="AH307" s="36">
        <v>45383</v>
      </c>
      <c r="AI307" s="36"/>
      <c r="AJ307" s="36"/>
      <c r="AK307" s="36">
        <v>45413</v>
      </c>
      <c r="AL307" s="36"/>
      <c r="AM307" s="46"/>
      <c r="AN307" s="40" t="s">
        <v>2019</v>
      </c>
      <c r="AO307" s="40" t="s">
        <v>2020</v>
      </c>
      <c r="AP307" s="40" t="s">
        <v>2021</v>
      </c>
      <c r="AQ307" s="40" t="s">
        <v>80</v>
      </c>
      <c r="AR307" s="48">
        <v>100</v>
      </c>
      <c r="AS307" s="37">
        <v>0</v>
      </c>
      <c r="AT307" s="37" t="s">
        <v>386</v>
      </c>
      <c r="AU307" s="51" t="s">
        <v>2022</v>
      </c>
      <c r="AV307" s="37" t="s">
        <v>60</v>
      </c>
      <c r="AW307" s="37">
        <v>10</v>
      </c>
      <c r="AX307" s="30">
        <f>(J307*10)/100</f>
        <v>5451061</v>
      </c>
      <c r="AY307" s="40" t="s">
        <v>402</v>
      </c>
    </row>
    <row r="308" spans="1:51" ht="39" customHeight="1" x14ac:dyDescent="0.25">
      <c r="A308" s="59" t="s">
        <v>2023</v>
      </c>
      <c r="B308" s="60">
        <v>45327</v>
      </c>
      <c r="C308" s="40">
        <v>1688</v>
      </c>
      <c r="D308" s="35"/>
      <c r="E308" s="39" t="s">
        <v>2024</v>
      </c>
      <c r="F308" s="36">
        <v>45352</v>
      </c>
      <c r="G308" s="37" t="s">
        <v>2025</v>
      </c>
      <c r="H308" s="40" t="s">
        <v>1751</v>
      </c>
      <c r="I308" s="62" t="s">
        <v>2026</v>
      </c>
      <c r="J308" s="61">
        <v>514258.4</v>
      </c>
      <c r="K308" s="41">
        <v>0</v>
      </c>
      <c r="L308" s="54">
        <v>0</v>
      </c>
      <c r="M308" s="54">
        <v>0</v>
      </c>
      <c r="N308" s="42">
        <f t="shared" si="51"/>
        <v>0</v>
      </c>
      <c r="O308" s="43">
        <f t="shared" si="46"/>
        <v>0</v>
      </c>
      <c r="P308" s="61">
        <v>514258.4</v>
      </c>
      <c r="Q308" s="43">
        <f t="shared" si="47"/>
        <v>0</v>
      </c>
      <c r="R308" s="61">
        <v>514258.4</v>
      </c>
      <c r="S308" s="30">
        <f t="shared" si="50"/>
        <v>514258.4</v>
      </c>
      <c r="T308" s="30">
        <f t="shared" si="50"/>
        <v>514258.4</v>
      </c>
      <c r="U308" s="30">
        <f>T308/X308</f>
        <v>162.74</v>
      </c>
      <c r="V308" s="41">
        <f>T308/X308</f>
        <v>162.74</v>
      </c>
      <c r="W308" s="41">
        <f>V308*AU308</f>
        <v>1627.4</v>
      </c>
      <c r="X308" s="41">
        <f t="shared" si="48"/>
        <v>3160</v>
      </c>
      <c r="Y308" s="41">
        <v>3160</v>
      </c>
      <c r="Z308" s="41">
        <v>0</v>
      </c>
      <c r="AA308" s="41">
        <v>0</v>
      </c>
      <c r="AB308" s="41">
        <v>0</v>
      </c>
      <c r="AC308" s="41">
        <f t="shared" si="44"/>
        <v>0</v>
      </c>
      <c r="AD308" s="41">
        <v>0</v>
      </c>
      <c r="AE308" s="41">
        <f t="shared" si="45"/>
        <v>0</v>
      </c>
      <c r="AF308" s="41">
        <f>X308/AU308</f>
        <v>316</v>
      </c>
      <c r="AG308" s="41">
        <f t="shared" si="49"/>
        <v>316</v>
      </c>
      <c r="AH308" s="36">
        <v>45383</v>
      </c>
      <c r="AI308" s="36"/>
      <c r="AJ308" s="36"/>
      <c r="AK308" s="36">
        <v>45413</v>
      </c>
      <c r="AL308" s="36"/>
      <c r="AM308" s="46"/>
      <c r="AN308" s="40" t="s">
        <v>2027</v>
      </c>
      <c r="AO308" s="40" t="s">
        <v>2028</v>
      </c>
      <c r="AP308" s="40" t="s">
        <v>2029</v>
      </c>
      <c r="AQ308" s="40" t="s">
        <v>80</v>
      </c>
      <c r="AR308" s="48">
        <v>100</v>
      </c>
      <c r="AS308" s="37">
        <v>0</v>
      </c>
      <c r="AT308" s="37" t="s">
        <v>314</v>
      </c>
      <c r="AU308" s="47">
        <v>10</v>
      </c>
      <c r="AV308" s="37" t="s">
        <v>219</v>
      </c>
      <c r="AW308" s="37">
        <v>10</v>
      </c>
      <c r="AX308" s="30">
        <f>(J308*10)/100</f>
        <v>51425.84</v>
      </c>
      <c r="AY308" s="40" t="s">
        <v>402</v>
      </c>
    </row>
    <row r="309" spans="1:51" ht="39" customHeight="1" x14ac:dyDescent="0.25">
      <c r="A309" s="59" t="s">
        <v>2030</v>
      </c>
      <c r="B309" s="60">
        <v>45328</v>
      </c>
      <c r="C309" s="40" t="s">
        <v>494</v>
      </c>
      <c r="D309" s="35"/>
      <c r="E309" s="39" t="s">
        <v>2031</v>
      </c>
      <c r="F309" s="36">
        <v>45352</v>
      </c>
      <c r="G309" s="37" t="s">
        <v>2032</v>
      </c>
      <c r="H309" s="40" t="s">
        <v>224</v>
      </c>
      <c r="I309" s="62" t="s">
        <v>2033</v>
      </c>
      <c r="J309" s="61">
        <v>1729855.6</v>
      </c>
      <c r="K309" s="41">
        <v>0</v>
      </c>
      <c r="L309" s="54">
        <v>0</v>
      </c>
      <c r="M309" s="54">
        <v>0</v>
      </c>
      <c r="N309" s="42">
        <f t="shared" si="51"/>
        <v>8.5809312638581048</v>
      </c>
      <c r="O309" s="43">
        <f t="shared" si="46"/>
        <v>148437.7200000002</v>
      </c>
      <c r="P309" s="41">
        <v>1581417.88</v>
      </c>
      <c r="Q309" s="43">
        <f t="shared" si="47"/>
        <v>148437.7200000002</v>
      </c>
      <c r="R309" s="41">
        <v>1581417.88</v>
      </c>
      <c r="S309" s="30">
        <f t="shared" si="50"/>
        <v>1581417.88</v>
      </c>
      <c r="T309" s="30">
        <f t="shared" si="50"/>
        <v>1581417.88</v>
      </c>
      <c r="U309" s="30">
        <f>T309/X309</f>
        <v>164.92</v>
      </c>
      <c r="V309" s="41">
        <f>T309/X309</f>
        <v>164.92</v>
      </c>
      <c r="W309" s="41">
        <f>V309*AU309</f>
        <v>82.46</v>
      </c>
      <c r="X309" s="41">
        <f t="shared" si="48"/>
        <v>9589</v>
      </c>
      <c r="Y309" s="41">
        <v>9589</v>
      </c>
      <c r="Z309" s="41">
        <v>0</v>
      </c>
      <c r="AA309" s="41">
        <v>0</v>
      </c>
      <c r="AB309" s="41">
        <v>0</v>
      </c>
      <c r="AC309" s="41">
        <f t="shared" si="44"/>
        <v>0</v>
      </c>
      <c r="AD309" s="41">
        <v>0</v>
      </c>
      <c r="AE309" s="41">
        <f t="shared" si="45"/>
        <v>0</v>
      </c>
      <c r="AF309" s="41">
        <f>X309/AU309</f>
        <v>19178</v>
      </c>
      <c r="AG309" s="41">
        <f t="shared" si="49"/>
        <v>19178</v>
      </c>
      <c r="AH309" s="36">
        <v>45397</v>
      </c>
      <c r="AI309" s="36"/>
      <c r="AJ309" s="36"/>
      <c r="AK309" s="36">
        <v>45427</v>
      </c>
      <c r="AL309" s="36"/>
      <c r="AM309" s="46"/>
      <c r="AN309" s="40" t="s">
        <v>2034</v>
      </c>
      <c r="AO309" s="40" t="s">
        <v>2035</v>
      </c>
      <c r="AP309" s="40" t="s">
        <v>2036</v>
      </c>
      <c r="AQ309" s="40" t="s">
        <v>80</v>
      </c>
      <c r="AR309" s="48">
        <v>100</v>
      </c>
      <c r="AS309" s="37">
        <v>0</v>
      </c>
      <c r="AT309" s="37" t="s">
        <v>343</v>
      </c>
      <c r="AU309" s="52">
        <v>0.5</v>
      </c>
      <c r="AV309" s="37" t="s">
        <v>219</v>
      </c>
      <c r="AW309" s="37">
        <v>10</v>
      </c>
      <c r="AX309" s="30">
        <f>(J309*10)/100</f>
        <v>172985.56</v>
      </c>
      <c r="AY309" s="40" t="s">
        <v>402</v>
      </c>
    </row>
    <row r="310" spans="1:51" ht="39" customHeight="1" x14ac:dyDescent="0.25">
      <c r="A310" s="59" t="s">
        <v>2037</v>
      </c>
      <c r="B310" s="60">
        <v>45328</v>
      </c>
      <c r="C310" s="40" t="s">
        <v>494</v>
      </c>
      <c r="D310" s="35"/>
      <c r="E310" s="39" t="s">
        <v>2038</v>
      </c>
      <c r="F310" s="36">
        <v>45352</v>
      </c>
      <c r="G310" s="37" t="s">
        <v>2039</v>
      </c>
      <c r="H310" s="40" t="s">
        <v>224</v>
      </c>
      <c r="I310" s="64" t="s">
        <v>2040</v>
      </c>
      <c r="J310" s="61">
        <v>145426006.90000001</v>
      </c>
      <c r="K310" s="41">
        <v>0</v>
      </c>
      <c r="L310" s="54">
        <v>0</v>
      </c>
      <c r="M310" s="54">
        <v>0</v>
      </c>
      <c r="N310" s="42">
        <f t="shared" si="51"/>
        <v>0</v>
      </c>
      <c r="O310" s="43">
        <f t="shared" si="46"/>
        <v>0</v>
      </c>
      <c r="P310" s="61">
        <v>145426006.90000001</v>
      </c>
      <c r="Q310" s="43">
        <f t="shared" si="47"/>
        <v>0</v>
      </c>
      <c r="R310" s="61">
        <v>145426006.90000001</v>
      </c>
      <c r="S310" s="30">
        <f t="shared" si="50"/>
        <v>145426006.90000001</v>
      </c>
      <c r="T310" s="30">
        <f t="shared" si="50"/>
        <v>145426006.90000001</v>
      </c>
      <c r="U310" s="30">
        <f>T310/X310</f>
        <v>83.570000000000007</v>
      </c>
      <c r="V310" s="41">
        <f>T310/X310</f>
        <v>83.570000000000007</v>
      </c>
      <c r="W310" s="41">
        <f>V310*AU310</f>
        <v>8357</v>
      </c>
      <c r="X310" s="41">
        <f t="shared" si="48"/>
        <v>1740170</v>
      </c>
      <c r="Y310" s="41">
        <v>1740170</v>
      </c>
      <c r="Z310" s="41">
        <v>0</v>
      </c>
      <c r="AA310" s="41">
        <v>0</v>
      </c>
      <c r="AB310" s="41">
        <v>0</v>
      </c>
      <c r="AC310" s="41">
        <f t="shared" si="44"/>
        <v>0</v>
      </c>
      <c r="AD310" s="41">
        <v>0</v>
      </c>
      <c r="AE310" s="41">
        <f t="shared" si="45"/>
        <v>0</v>
      </c>
      <c r="AF310" s="41">
        <f>X310/AU310</f>
        <v>17401.7</v>
      </c>
      <c r="AG310" s="41">
        <f t="shared" si="49"/>
        <v>17402</v>
      </c>
      <c r="AH310" s="36">
        <v>45397</v>
      </c>
      <c r="AI310" s="36"/>
      <c r="AJ310" s="36"/>
      <c r="AK310" s="36">
        <v>45427</v>
      </c>
      <c r="AL310" s="36"/>
      <c r="AM310" s="46"/>
      <c r="AN310" s="40" t="s">
        <v>2041</v>
      </c>
      <c r="AO310" s="40" t="s">
        <v>2042</v>
      </c>
      <c r="AP310" s="40" t="s">
        <v>2043</v>
      </c>
      <c r="AQ310" s="40" t="s">
        <v>80</v>
      </c>
      <c r="AR310" s="48">
        <v>100</v>
      </c>
      <c r="AS310" s="37">
        <v>0</v>
      </c>
      <c r="AT310" s="37" t="s">
        <v>386</v>
      </c>
      <c r="AU310" s="47">
        <v>100</v>
      </c>
      <c r="AV310" s="37" t="s">
        <v>60</v>
      </c>
      <c r="AW310" s="37">
        <v>10</v>
      </c>
      <c r="AX310" s="30">
        <f>(J310*10)/100</f>
        <v>14542600.689999999</v>
      </c>
      <c r="AY310" s="40" t="s">
        <v>402</v>
      </c>
    </row>
    <row r="311" spans="1:51" ht="39" customHeight="1" x14ac:dyDescent="0.25">
      <c r="A311" s="59" t="s">
        <v>2044</v>
      </c>
      <c r="B311" s="60">
        <v>45328</v>
      </c>
      <c r="C311" s="40" t="s">
        <v>494</v>
      </c>
      <c r="D311" s="35"/>
      <c r="E311" s="39" t="s">
        <v>2045</v>
      </c>
      <c r="F311" s="36">
        <v>45352</v>
      </c>
      <c r="G311" s="37" t="s">
        <v>2046</v>
      </c>
      <c r="H311" s="40" t="s">
        <v>2047</v>
      </c>
      <c r="I311" s="62" t="s">
        <v>2048</v>
      </c>
      <c r="J311" s="61">
        <v>1656207.3</v>
      </c>
      <c r="K311" s="41">
        <v>0</v>
      </c>
      <c r="L311" s="54">
        <v>0</v>
      </c>
      <c r="M311" s="54">
        <v>0</v>
      </c>
      <c r="N311" s="42">
        <f t="shared" si="51"/>
        <v>23.001245073608843</v>
      </c>
      <c r="O311" s="43">
        <f t="shared" si="46"/>
        <v>380948.30000000005</v>
      </c>
      <c r="P311" s="41">
        <v>1275259</v>
      </c>
      <c r="Q311" s="43">
        <f t="shared" si="47"/>
        <v>380948.30000000005</v>
      </c>
      <c r="R311" s="41">
        <v>1275259</v>
      </c>
      <c r="S311" s="30">
        <f t="shared" si="50"/>
        <v>1275259</v>
      </c>
      <c r="T311" s="30">
        <f t="shared" si="50"/>
        <v>1275259</v>
      </c>
      <c r="U311" s="30">
        <f>T311/X311</f>
        <v>138.90575388720964</v>
      </c>
      <c r="V311" s="41">
        <f>T311/X311</f>
        <v>138.90575388720964</v>
      </c>
      <c r="W311" s="41">
        <f>V311*AU311</f>
        <v>104.17931541540723</v>
      </c>
      <c r="X311" s="41">
        <f t="shared" si="48"/>
        <v>9180.75</v>
      </c>
      <c r="Y311" s="41">
        <v>9180.75</v>
      </c>
      <c r="Z311" s="41">
        <v>0</v>
      </c>
      <c r="AA311" s="41">
        <v>0</v>
      </c>
      <c r="AB311" s="41">
        <v>0</v>
      </c>
      <c r="AC311" s="41">
        <f t="shared" si="44"/>
        <v>0</v>
      </c>
      <c r="AD311" s="41">
        <v>0</v>
      </c>
      <c r="AE311" s="41">
        <f t="shared" si="45"/>
        <v>0</v>
      </c>
      <c r="AF311" s="41">
        <f>X311/AU311</f>
        <v>12241</v>
      </c>
      <c r="AG311" s="41">
        <f t="shared" si="49"/>
        <v>12241</v>
      </c>
      <c r="AH311" s="36">
        <v>45397</v>
      </c>
      <c r="AI311" s="36"/>
      <c r="AJ311" s="36"/>
      <c r="AK311" s="36">
        <v>45427</v>
      </c>
      <c r="AL311" s="36"/>
      <c r="AM311" s="46"/>
      <c r="AN311" s="40" t="s">
        <v>2034</v>
      </c>
      <c r="AO311" s="40" t="s">
        <v>2049</v>
      </c>
      <c r="AP311" s="40" t="s">
        <v>2050</v>
      </c>
      <c r="AQ311" s="40" t="s">
        <v>80</v>
      </c>
      <c r="AR311" s="48">
        <v>100</v>
      </c>
      <c r="AS311" s="37">
        <v>0</v>
      </c>
      <c r="AT311" s="37" t="s">
        <v>343</v>
      </c>
      <c r="AU311" s="41">
        <v>0.75</v>
      </c>
      <c r="AV311" s="37" t="s">
        <v>60</v>
      </c>
      <c r="AW311" s="37">
        <v>10</v>
      </c>
      <c r="AX311" s="30">
        <f>(J311*10)/100</f>
        <v>165620.73000000001</v>
      </c>
      <c r="AY311" s="40" t="s">
        <v>402</v>
      </c>
    </row>
    <row r="312" spans="1:51" ht="39" customHeight="1" x14ac:dyDescent="0.25">
      <c r="A312" s="59" t="s">
        <v>2051</v>
      </c>
      <c r="B312" s="60">
        <v>45328</v>
      </c>
      <c r="C312" s="40" t="s">
        <v>2052</v>
      </c>
      <c r="D312" s="37" t="s">
        <v>431</v>
      </c>
      <c r="E312" s="39" t="s">
        <v>2053</v>
      </c>
      <c r="F312" s="37" t="s">
        <v>431</v>
      </c>
      <c r="G312" s="37" t="s">
        <v>431</v>
      </c>
      <c r="H312" s="37" t="s">
        <v>431</v>
      </c>
      <c r="I312" s="65" t="s">
        <v>2054</v>
      </c>
      <c r="J312" s="66">
        <v>9820.7999999999993</v>
      </c>
      <c r="K312" s="41">
        <v>0</v>
      </c>
      <c r="L312" s="54">
        <v>0</v>
      </c>
      <c r="M312" s="54">
        <v>0</v>
      </c>
      <c r="N312" s="42">
        <f t="shared" si="51"/>
        <v>100</v>
      </c>
      <c r="O312" s="43">
        <f t="shared" si="46"/>
        <v>9820.7999999999993</v>
      </c>
      <c r="P312" s="41"/>
      <c r="Q312" s="43">
        <f t="shared" si="47"/>
        <v>9820.7999999999993</v>
      </c>
      <c r="R312" s="41">
        <v>0</v>
      </c>
      <c r="S312" s="30">
        <f t="shared" si="50"/>
        <v>0</v>
      </c>
      <c r="T312" s="30">
        <f t="shared" si="50"/>
        <v>0</v>
      </c>
      <c r="U312" s="30" t="e">
        <f>T312/X312</f>
        <v>#DIV/0!</v>
      </c>
      <c r="V312" s="41" t="e">
        <f>T312/X312</f>
        <v>#DIV/0!</v>
      </c>
      <c r="W312" s="41" t="e">
        <f>V312*AU312</f>
        <v>#DIV/0!</v>
      </c>
      <c r="X312" s="41">
        <f t="shared" si="48"/>
        <v>0</v>
      </c>
      <c r="Y312" s="41">
        <v>0</v>
      </c>
      <c r="Z312" s="41">
        <v>0</v>
      </c>
      <c r="AA312" s="41">
        <v>0</v>
      </c>
      <c r="AB312" s="41"/>
      <c r="AC312" s="41" t="e">
        <f t="shared" si="44"/>
        <v>#DIV/0!</v>
      </c>
      <c r="AD312" s="41"/>
      <c r="AE312" s="41" t="e">
        <f t="shared" si="45"/>
        <v>#DIV/0!</v>
      </c>
      <c r="AF312" s="41" t="e">
        <f>X312/AU312</f>
        <v>#DIV/0!</v>
      </c>
      <c r="AG312" s="41" t="e">
        <f t="shared" si="49"/>
        <v>#DIV/0!</v>
      </c>
      <c r="AH312" s="36">
        <v>45397</v>
      </c>
      <c r="AI312" s="36"/>
      <c r="AJ312" s="36"/>
      <c r="AK312" s="36"/>
      <c r="AL312" s="36"/>
      <c r="AM312" s="46"/>
      <c r="AN312" s="40"/>
      <c r="AO312" s="40"/>
      <c r="AP312" s="40"/>
      <c r="AQ312" s="40"/>
      <c r="AR312" s="48"/>
      <c r="AS312" s="37"/>
      <c r="AT312" s="37"/>
      <c r="AU312" s="47"/>
      <c r="AV312" s="37"/>
      <c r="AW312" s="37">
        <v>10</v>
      </c>
      <c r="AX312" s="30">
        <f>(J312*10)/100</f>
        <v>982.08</v>
      </c>
      <c r="AY312" s="40" t="s">
        <v>431</v>
      </c>
    </row>
    <row r="313" spans="1:51" ht="39" customHeight="1" x14ac:dyDescent="0.25">
      <c r="A313" s="59" t="s">
        <v>2055</v>
      </c>
      <c r="B313" s="60">
        <v>45328</v>
      </c>
      <c r="C313" s="40">
        <v>545</v>
      </c>
      <c r="D313" s="35"/>
      <c r="E313" s="39" t="s">
        <v>2056</v>
      </c>
      <c r="F313" s="36">
        <v>45352</v>
      </c>
      <c r="G313" s="37" t="s">
        <v>2057</v>
      </c>
      <c r="H313" s="40" t="s">
        <v>1884</v>
      </c>
      <c r="I313" s="62" t="s">
        <v>1325</v>
      </c>
      <c r="J313" s="61">
        <v>62321212.799999997</v>
      </c>
      <c r="K313" s="41">
        <v>0</v>
      </c>
      <c r="L313" s="54">
        <v>0</v>
      </c>
      <c r="M313" s="54">
        <v>0</v>
      </c>
      <c r="N313" s="42">
        <f t="shared" si="51"/>
        <v>0</v>
      </c>
      <c r="O313" s="43">
        <f t="shared" si="46"/>
        <v>0</v>
      </c>
      <c r="P313" s="61">
        <v>62321212.799999997</v>
      </c>
      <c r="Q313" s="43">
        <f t="shared" si="47"/>
        <v>0</v>
      </c>
      <c r="R313" s="61">
        <v>62321212.799999997</v>
      </c>
      <c r="S313" s="30">
        <f t="shared" si="50"/>
        <v>62321212.799999997</v>
      </c>
      <c r="T313" s="30">
        <f t="shared" si="50"/>
        <v>62321212.799999997</v>
      </c>
      <c r="U313" s="30">
        <f>T313/X313</f>
        <v>247306.4</v>
      </c>
      <c r="V313" s="41">
        <f>T313/X313</f>
        <v>247306.4</v>
      </c>
      <c r="W313" s="41">
        <f>V313*AU313</f>
        <v>2967676.8</v>
      </c>
      <c r="X313" s="41">
        <f t="shared" si="48"/>
        <v>252</v>
      </c>
      <c r="Y313" s="41">
        <v>252</v>
      </c>
      <c r="Z313" s="41">
        <v>0</v>
      </c>
      <c r="AA313" s="41">
        <v>0</v>
      </c>
      <c r="AB313" s="41">
        <v>0</v>
      </c>
      <c r="AC313" s="41">
        <f t="shared" si="44"/>
        <v>0</v>
      </c>
      <c r="AD313" s="41">
        <v>0</v>
      </c>
      <c r="AE313" s="41">
        <f t="shared" si="45"/>
        <v>0</v>
      </c>
      <c r="AF313" s="41">
        <f>X313/AU313</f>
        <v>21</v>
      </c>
      <c r="AG313" s="41">
        <f t="shared" si="49"/>
        <v>21</v>
      </c>
      <c r="AH313" s="36">
        <v>45371</v>
      </c>
      <c r="AI313" s="36"/>
      <c r="AJ313" s="36"/>
      <c r="AK313" s="36">
        <v>45402</v>
      </c>
      <c r="AL313" s="36"/>
      <c r="AM313" s="46"/>
      <c r="AN313" s="40" t="s">
        <v>599</v>
      </c>
      <c r="AO313" s="40" t="s">
        <v>2058</v>
      </c>
      <c r="AP313" s="40" t="s">
        <v>601</v>
      </c>
      <c r="AQ313" s="40" t="s">
        <v>58</v>
      </c>
      <c r="AR313" s="48">
        <v>0</v>
      </c>
      <c r="AS313" s="37">
        <v>100</v>
      </c>
      <c r="AT313" s="37" t="s">
        <v>81</v>
      </c>
      <c r="AU313" s="47">
        <v>12</v>
      </c>
      <c r="AV313" s="37" t="s">
        <v>219</v>
      </c>
      <c r="AW313" s="37">
        <v>10</v>
      </c>
      <c r="AX313" s="30">
        <f>(J313*10)/100</f>
        <v>6232121.2800000003</v>
      </c>
      <c r="AY313" s="40" t="s">
        <v>402</v>
      </c>
    </row>
    <row r="314" spans="1:51" ht="39" customHeight="1" x14ac:dyDescent="0.25">
      <c r="A314" s="59" t="s">
        <v>2059</v>
      </c>
      <c r="B314" s="60">
        <v>45329</v>
      </c>
      <c r="C314" s="40" t="s">
        <v>2060</v>
      </c>
      <c r="D314" s="37" t="s">
        <v>431</v>
      </c>
      <c r="E314" s="39" t="s">
        <v>2061</v>
      </c>
      <c r="F314" s="37" t="s">
        <v>431</v>
      </c>
      <c r="G314" s="37" t="s">
        <v>431</v>
      </c>
      <c r="H314" s="37" t="s">
        <v>431</v>
      </c>
      <c r="I314" s="62" t="s">
        <v>1977</v>
      </c>
      <c r="J314" s="61">
        <v>8860135.6799999997</v>
      </c>
      <c r="K314" s="41">
        <v>0</v>
      </c>
      <c r="L314" s="54">
        <v>0</v>
      </c>
      <c r="M314" s="54">
        <v>0</v>
      </c>
      <c r="N314" s="42">
        <f t="shared" si="51"/>
        <v>100</v>
      </c>
      <c r="O314" s="43">
        <f t="shared" si="46"/>
        <v>8860135.6799999997</v>
      </c>
      <c r="P314" s="41"/>
      <c r="Q314" s="43">
        <f t="shared" si="47"/>
        <v>8860135.6799999997</v>
      </c>
      <c r="R314" s="41">
        <v>0</v>
      </c>
      <c r="S314" s="30">
        <f t="shared" si="50"/>
        <v>0</v>
      </c>
      <c r="T314" s="30">
        <f t="shared" si="50"/>
        <v>0</v>
      </c>
      <c r="U314" s="30" t="e">
        <f>T314/X314</f>
        <v>#DIV/0!</v>
      </c>
      <c r="V314" s="41" t="e">
        <f>T314/X314</f>
        <v>#DIV/0!</v>
      </c>
      <c r="W314" s="41" t="e">
        <f>V314*AU314</f>
        <v>#DIV/0!</v>
      </c>
      <c r="X314" s="41">
        <f t="shared" si="48"/>
        <v>0</v>
      </c>
      <c r="Y314" s="41">
        <v>0</v>
      </c>
      <c r="Z314" s="41">
        <v>0</v>
      </c>
      <c r="AA314" s="41">
        <v>0</v>
      </c>
      <c r="AB314" s="41"/>
      <c r="AC314" s="41" t="e">
        <f t="shared" si="44"/>
        <v>#DIV/0!</v>
      </c>
      <c r="AD314" s="41"/>
      <c r="AE314" s="41" t="e">
        <f t="shared" si="45"/>
        <v>#DIV/0!</v>
      </c>
      <c r="AF314" s="41" t="e">
        <f>X314/AU314</f>
        <v>#DIV/0!</v>
      </c>
      <c r="AG314" s="41" t="e">
        <f t="shared" si="49"/>
        <v>#DIV/0!</v>
      </c>
      <c r="AH314" s="36">
        <v>45397</v>
      </c>
      <c r="AI314" s="36"/>
      <c r="AJ314" s="36"/>
      <c r="AK314" s="36"/>
      <c r="AL314" s="36"/>
      <c r="AM314" s="46"/>
      <c r="AN314" s="40"/>
      <c r="AO314" s="40"/>
      <c r="AP314" s="40"/>
      <c r="AQ314" s="40"/>
      <c r="AR314" s="48"/>
      <c r="AS314" s="37"/>
      <c r="AT314" s="37"/>
      <c r="AU314" s="47"/>
      <c r="AV314" s="37"/>
      <c r="AW314" s="37">
        <v>10</v>
      </c>
      <c r="AX314" s="30">
        <f>(J314*10)/100</f>
        <v>886013.56799999997</v>
      </c>
      <c r="AY314" s="40" t="s">
        <v>431</v>
      </c>
    </row>
    <row r="315" spans="1:51" ht="39" customHeight="1" x14ac:dyDescent="0.25">
      <c r="A315" s="59" t="s">
        <v>2062</v>
      </c>
      <c r="B315" s="60">
        <v>45329</v>
      </c>
      <c r="C315" s="40" t="s">
        <v>2052</v>
      </c>
      <c r="D315" s="35" t="s">
        <v>2063</v>
      </c>
      <c r="E315" s="39" t="s">
        <v>2064</v>
      </c>
      <c r="F315" s="36">
        <v>45341</v>
      </c>
      <c r="G315" s="37" t="s">
        <v>2065</v>
      </c>
      <c r="H315" s="57" t="s">
        <v>2066</v>
      </c>
      <c r="I315" s="62" t="s">
        <v>1571</v>
      </c>
      <c r="J315" s="61">
        <v>2434080</v>
      </c>
      <c r="K315" s="41">
        <v>0</v>
      </c>
      <c r="L315" s="54">
        <v>0</v>
      </c>
      <c r="M315" s="54">
        <v>0</v>
      </c>
      <c r="N315" s="42">
        <f t="shared" si="51"/>
        <v>14.099783080260304</v>
      </c>
      <c r="O315" s="43">
        <f t="shared" si="46"/>
        <v>343200</v>
      </c>
      <c r="P315" s="41">
        <v>2090880</v>
      </c>
      <c r="Q315" s="43">
        <f t="shared" si="47"/>
        <v>343200</v>
      </c>
      <c r="R315" s="41">
        <v>2090880</v>
      </c>
      <c r="S315" s="30">
        <f t="shared" si="50"/>
        <v>2090880</v>
      </c>
      <c r="T315" s="30">
        <f t="shared" si="50"/>
        <v>2090880</v>
      </c>
      <c r="U315" s="30">
        <f>T315/X315</f>
        <v>19.8</v>
      </c>
      <c r="V315" s="41">
        <f>T315/X315</f>
        <v>19.8</v>
      </c>
      <c r="W315" s="41">
        <f>V315*AU315</f>
        <v>990</v>
      </c>
      <c r="X315" s="41">
        <f t="shared" si="48"/>
        <v>105600</v>
      </c>
      <c r="Y315" s="41">
        <v>105600</v>
      </c>
      <c r="Z315" s="41">
        <v>0</v>
      </c>
      <c r="AA315" s="41">
        <v>0</v>
      </c>
      <c r="AB315" s="41">
        <v>0</v>
      </c>
      <c r="AC315" s="41">
        <f t="shared" si="44"/>
        <v>0</v>
      </c>
      <c r="AD315" s="41">
        <v>0</v>
      </c>
      <c r="AE315" s="41">
        <f t="shared" si="45"/>
        <v>0</v>
      </c>
      <c r="AF315" s="41">
        <f>X315/AU315</f>
        <v>2112</v>
      </c>
      <c r="AG315" s="41">
        <f t="shared" si="49"/>
        <v>2112</v>
      </c>
      <c r="AH315" s="36">
        <v>45397</v>
      </c>
      <c r="AI315" s="36"/>
      <c r="AJ315" s="36"/>
      <c r="AK315" s="36">
        <v>45427</v>
      </c>
      <c r="AL315" s="36"/>
      <c r="AM315" s="46"/>
      <c r="AN315" s="40" t="s">
        <v>2067</v>
      </c>
      <c r="AO315" s="40" t="s">
        <v>2068</v>
      </c>
      <c r="AP315" s="40" t="s">
        <v>2069</v>
      </c>
      <c r="AQ315" s="40" t="s">
        <v>80</v>
      </c>
      <c r="AR315" s="48">
        <v>100</v>
      </c>
      <c r="AS315" s="37">
        <v>0</v>
      </c>
      <c r="AT315" s="37" t="s">
        <v>386</v>
      </c>
      <c r="AU315" s="47">
        <v>50</v>
      </c>
      <c r="AV315" s="37" t="s">
        <v>219</v>
      </c>
      <c r="AW315" s="37">
        <v>10</v>
      </c>
      <c r="AX315" s="30">
        <f>(J315*10)/100</f>
        <v>243408</v>
      </c>
      <c r="AY315" s="40" t="s">
        <v>402</v>
      </c>
    </row>
    <row r="316" spans="1:51" ht="39" customHeight="1" x14ac:dyDescent="0.25">
      <c r="A316" s="59" t="s">
        <v>2070</v>
      </c>
      <c r="B316" s="60">
        <v>45329</v>
      </c>
      <c r="C316" s="40" t="s">
        <v>2052</v>
      </c>
      <c r="D316" s="37" t="s">
        <v>431</v>
      </c>
      <c r="E316" s="39" t="s">
        <v>2071</v>
      </c>
      <c r="F316" s="37" t="s">
        <v>431</v>
      </c>
      <c r="G316" s="37" t="s">
        <v>431</v>
      </c>
      <c r="H316" s="37" t="s">
        <v>431</v>
      </c>
      <c r="I316" s="62" t="s">
        <v>1711</v>
      </c>
      <c r="J316" s="61">
        <v>4644</v>
      </c>
      <c r="K316" s="41">
        <v>0</v>
      </c>
      <c r="L316" s="54">
        <v>0</v>
      </c>
      <c r="M316" s="54">
        <v>0</v>
      </c>
      <c r="N316" s="42">
        <f t="shared" si="51"/>
        <v>100</v>
      </c>
      <c r="O316" s="43">
        <f t="shared" si="46"/>
        <v>4644</v>
      </c>
      <c r="P316" s="41"/>
      <c r="Q316" s="43">
        <f t="shared" si="47"/>
        <v>4644</v>
      </c>
      <c r="R316" s="41">
        <v>0</v>
      </c>
      <c r="S316" s="30">
        <f t="shared" si="50"/>
        <v>0</v>
      </c>
      <c r="T316" s="30">
        <f t="shared" si="50"/>
        <v>0</v>
      </c>
      <c r="U316" s="30" t="e">
        <f>T316/X316</f>
        <v>#DIV/0!</v>
      </c>
      <c r="V316" s="41" t="e">
        <f>T316/X316</f>
        <v>#DIV/0!</v>
      </c>
      <c r="W316" s="41" t="e">
        <f>V316*AU316</f>
        <v>#DIV/0!</v>
      </c>
      <c r="X316" s="41">
        <f t="shared" si="48"/>
        <v>0</v>
      </c>
      <c r="Y316" s="41">
        <v>0</v>
      </c>
      <c r="Z316" s="41">
        <v>0</v>
      </c>
      <c r="AA316" s="41">
        <v>0</v>
      </c>
      <c r="AB316" s="41"/>
      <c r="AC316" s="41" t="e">
        <f t="shared" si="44"/>
        <v>#DIV/0!</v>
      </c>
      <c r="AD316" s="41"/>
      <c r="AE316" s="41" t="e">
        <f t="shared" si="45"/>
        <v>#DIV/0!</v>
      </c>
      <c r="AF316" s="41" t="e">
        <f>X316/AU316</f>
        <v>#DIV/0!</v>
      </c>
      <c r="AG316" s="41" t="e">
        <f t="shared" si="49"/>
        <v>#DIV/0!</v>
      </c>
      <c r="AH316" s="36">
        <v>45397</v>
      </c>
      <c r="AI316" s="36"/>
      <c r="AJ316" s="36"/>
      <c r="AK316" s="36"/>
      <c r="AL316" s="36"/>
      <c r="AM316" s="46"/>
      <c r="AN316" s="40"/>
      <c r="AO316" s="40"/>
      <c r="AP316" s="40"/>
      <c r="AQ316" s="40"/>
      <c r="AR316" s="48"/>
      <c r="AS316" s="37"/>
      <c r="AT316" s="37"/>
      <c r="AU316" s="47"/>
      <c r="AV316" s="37"/>
      <c r="AW316" s="37">
        <v>10</v>
      </c>
      <c r="AX316" s="30">
        <f>(J316*10)/100</f>
        <v>464.4</v>
      </c>
      <c r="AY316" s="40"/>
    </row>
    <row r="317" spans="1:51" ht="39" customHeight="1" x14ac:dyDescent="0.25">
      <c r="A317" s="59" t="s">
        <v>2072</v>
      </c>
      <c r="B317" s="60">
        <v>45329</v>
      </c>
      <c r="C317" s="40" t="s">
        <v>2060</v>
      </c>
      <c r="D317" s="35" t="s">
        <v>2073</v>
      </c>
      <c r="E317" s="39" t="s">
        <v>2074</v>
      </c>
      <c r="F317" s="36">
        <v>45341</v>
      </c>
      <c r="G317" s="37" t="s">
        <v>2075</v>
      </c>
      <c r="H317" s="40" t="s">
        <v>1115</v>
      </c>
      <c r="I317" s="64" t="s">
        <v>2018</v>
      </c>
      <c r="J317" s="61">
        <v>3873870</v>
      </c>
      <c r="K317" s="41">
        <v>0</v>
      </c>
      <c r="L317" s="54">
        <v>0</v>
      </c>
      <c r="M317" s="54">
        <v>0</v>
      </c>
      <c r="N317" s="42">
        <f t="shared" si="51"/>
        <v>0</v>
      </c>
      <c r="O317" s="43">
        <f t="shared" si="46"/>
        <v>0</v>
      </c>
      <c r="P317" s="61">
        <v>3873870</v>
      </c>
      <c r="Q317" s="43">
        <f t="shared" si="47"/>
        <v>0</v>
      </c>
      <c r="R317" s="61">
        <v>3873870</v>
      </c>
      <c r="S317" s="30">
        <f t="shared" si="50"/>
        <v>3873870</v>
      </c>
      <c r="T317" s="30">
        <f t="shared" si="50"/>
        <v>3873870</v>
      </c>
      <c r="U317" s="30">
        <f>T317/X317</f>
        <v>77</v>
      </c>
      <c r="V317" s="41">
        <f>T317/X317</f>
        <v>77</v>
      </c>
      <c r="W317" s="41">
        <f>V317*AU317</f>
        <v>7700</v>
      </c>
      <c r="X317" s="41">
        <f t="shared" si="48"/>
        <v>50310</v>
      </c>
      <c r="Y317" s="41">
        <v>50310</v>
      </c>
      <c r="Z317" s="41">
        <v>0</v>
      </c>
      <c r="AA317" s="41">
        <v>0</v>
      </c>
      <c r="AB317" s="41">
        <v>0</v>
      </c>
      <c r="AC317" s="41">
        <f t="shared" si="44"/>
        <v>0</v>
      </c>
      <c r="AD317" s="41">
        <v>0</v>
      </c>
      <c r="AE317" s="41">
        <f t="shared" si="45"/>
        <v>0</v>
      </c>
      <c r="AF317" s="41">
        <f>X317/AU317</f>
        <v>503.1</v>
      </c>
      <c r="AG317" s="41">
        <f t="shared" si="49"/>
        <v>504</v>
      </c>
      <c r="AH317" s="36">
        <v>45397</v>
      </c>
      <c r="AI317" s="36"/>
      <c r="AJ317" s="36"/>
      <c r="AK317" s="36">
        <v>45427</v>
      </c>
      <c r="AL317" s="36"/>
      <c r="AM317" s="46"/>
      <c r="AN317" s="40" t="s">
        <v>2076</v>
      </c>
      <c r="AO317" s="40" t="s">
        <v>2077</v>
      </c>
      <c r="AP317" s="40" t="s">
        <v>2078</v>
      </c>
      <c r="AQ317" s="40" t="s">
        <v>80</v>
      </c>
      <c r="AR317" s="48">
        <v>100</v>
      </c>
      <c r="AS317" s="37">
        <v>0</v>
      </c>
      <c r="AT317" s="37" t="s">
        <v>386</v>
      </c>
      <c r="AU317" s="47">
        <v>100</v>
      </c>
      <c r="AV317" s="37" t="s">
        <v>219</v>
      </c>
      <c r="AW317" s="37">
        <v>10</v>
      </c>
      <c r="AX317" s="30">
        <f>(J317*10)/100</f>
        <v>387387</v>
      </c>
      <c r="AY317" s="40" t="s">
        <v>402</v>
      </c>
    </row>
    <row r="318" spans="1:51" ht="39" customHeight="1" x14ac:dyDescent="0.25">
      <c r="A318" s="59" t="s">
        <v>2079</v>
      </c>
      <c r="B318" s="60">
        <v>45329</v>
      </c>
      <c r="C318" s="40" t="s">
        <v>2060</v>
      </c>
      <c r="D318" s="35" t="s">
        <v>2080</v>
      </c>
      <c r="E318" s="39" t="s">
        <v>2081</v>
      </c>
      <c r="F318" s="36">
        <v>45341</v>
      </c>
      <c r="G318" s="37" t="s">
        <v>2082</v>
      </c>
      <c r="H318" s="40" t="s">
        <v>1115</v>
      </c>
      <c r="I318" s="62" t="s">
        <v>2033</v>
      </c>
      <c r="J318" s="61">
        <v>18761.599999999999</v>
      </c>
      <c r="K318" s="41">
        <v>0</v>
      </c>
      <c r="L318" s="54">
        <v>0</v>
      </c>
      <c r="M318" s="54">
        <v>0</v>
      </c>
      <c r="N318" s="42">
        <f t="shared" si="51"/>
        <v>0</v>
      </c>
      <c r="O318" s="43">
        <f t="shared" si="46"/>
        <v>0</v>
      </c>
      <c r="P318" s="41">
        <v>18761.599999999999</v>
      </c>
      <c r="Q318" s="43">
        <f t="shared" si="47"/>
        <v>0</v>
      </c>
      <c r="R318" s="41">
        <v>18761.599999999999</v>
      </c>
      <c r="S318" s="30">
        <f t="shared" si="50"/>
        <v>18761.599999999999</v>
      </c>
      <c r="T318" s="30">
        <f t="shared" si="50"/>
        <v>18761.599999999999</v>
      </c>
      <c r="U318" s="30">
        <f>T318/X318</f>
        <v>180.39999999999998</v>
      </c>
      <c r="V318" s="41">
        <f>T318/X318</f>
        <v>180.39999999999998</v>
      </c>
      <c r="W318" s="41">
        <f>V318*AU318</f>
        <v>90.199999999999989</v>
      </c>
      <c r="X318" s="41">
        <f t="shared" si="48"/>
        <v>104</v>
      </c>
      <c r="Y318" s="41">
        <v>104</v>
      </c>
      <c r="Z318" s="41">
        <v>0</v>
      </c>
      <c r="AA318" s="41">
        <v>0</v>
      </c>
      <c r="AB318" s="41">
        <v>0</v>
      </c>
      <c r="AC318" s="41">
        <f t="shared" si="44"/>
        <v>0</v>
      </c>
      <c r="AD318" s="41">
        <v>0</v>
      </c>
      <c r="AE318" s="41">
        <f t="shared" si="45"/>
        <v>0</v>
      </c>
      <c r="AF318" s="41">
        <f>X318/AU318</f>
        <v>208</v>
      </c>
      <c r="AG318" s="41">
        <f t="shared" si="49"/>
        <v>208</v>
      </c>
      <c r="AH318" s="36">
        <v>45397</v>
      </c>
      <c r="AI318" s="36"/>
      <c r="AJ318" s="36"/>
      <c r="AK318" s="36">
        <v>45427</v>
      </c>
      <c r="AL318" s="36"/>
      <c r="AM318" s="46"/>
      <c r="AN318" s="40" t="s">
        <v>2034</v>
      </c>
      <c r="AO318" s="40" t="s">
        <v>2035</v>
      </c>
      <c r="AP318" s="40" t="s">
        <v>2036</v>
      </c>
      <c r="AQ318" s="40" t="s">
        <v>80</v>
      </c>
      <c r="AR318" s="48">
        <v>100</v>
      </c>
      <c r="AS318" s="37">
        <v>0</v>
      </c>
      <c r="AT318" s="37" t="s">
        <v>343</v>
      </c>
      <c r="AU318" s="52">
        <v>0.5</v>
      </c>
      <c r="AV318" s="37" t="s">
        <v>219</v>
      </c>
      <c r="AW318" s="37">
        <v>10</v>
      </c>
      <c r="AX318" s="30">
        <f>(J318*10)/100</f>
        <v>1876.16</v>
      </c>
      <c r="AY318" s="40" t="s">
        <v>402</v>
      </c>
    </row>
    <row r="319" spans="1:51" ht="39" customHeight="1" x14ac:dyDescent="0.25">
      <c r="A319" s="59" t="s">
        <v>2083</v>
      </c>
      <c r="B319" s="60">
        <v>45329</v>
      </c>
      <c r="C319" s="40" t="s">
        <v>2052</v>
      </c>
      <c r="D319" s="37" t="s">
        <v>431</v>
      </c>
      <c r="E319" s="39" t="s">
        <v>2084</v>
      </c>
      <c r="F319" s="37" t="s">
        <v>431</v>
      </c>
      <c r="G319" s="37" t="s">
        <v>431</v>
      </c>
      <c r="H319" s="37" t="s">
        <v>431</v>
      </c>
      <c r="I319" s="64" t="s">
        <v>491</v>
      </c>
      <c r="J319" s="61">
        <v>18191.7</v>
      </c>
      <c r="K319" s="41">
        <v>0</v>
      </c>
      <c r="L319" s="54">
        <v>0</v>
      </c>
      <c r="M319" s="54">
        <v>0</v>
      </c>
      <c r="N319" s="42">
        <f t="shared" si="51"/>
        <v>100</v>
      </c>
      <c r="O319" s="43">
        <f t="shared" si="46"/>
        <v>18191.7</v>
      </c>
      <c r="P319" s="41"/>
      <c r="Q319" s="43">
        <f t="shared" si="47"/>
        <v>18191.7</v>
      </c>
      <c r="R319" s="41">
        <v>0</v>
      </c>
      <c r="S319" s="30">
        <f t="shared" si="50"/>
        <v>0</v>
      </c>
      <c r="T319" s="30">
        <f t="shared" si="50"/>
        <v>0</v>
      </c>
      <c r="U319" s="30" t="e">
        <f>T319/X319</f>
        <v>#DIV/0!</v>
      </c>
      <c r="V319" s="41" t="e">
        <f>T319/X319</f>
        <v>#DIV/0!</v>
      </c>
      <c r="W319" s="41" t="e">
        <f>V319*AU319</f>
        <v>#DIV/0!</v>
      </c>
      <c r="X319" s="41">
        <f t="shared" si="48"/>
        <v>0</v>
      </c>
      <c r="Y319" s="41">
        <v>0</v>
      </c>
      <c r="Z319" s="41">
        <v>0</v>
      </c>
      <c r="AA319" s="41">
        <v>0</v>
      </c>
      <c r="AB319" s="41"/>
      <c r="AC319" s="41" t="e">
        <f t="shared" si="44"/>
        <v>#DIV/0!</v>
      </c>
      <c r="AD319" s="41"/>
      <c r="AE319" s="41" t="e">
        <f t="shared" si="45"/>
        <v>#DIV/0!</v>
      </c>
      <c r="AF319" s="41" t="e">
        <f>X319/AU319</f>
        <v>#DIV/0!</v>
      </c>
      <c r="AG319" s="41" t="e">
        <f t="shared" si="49"/>
        <v>#DIV/0!</v>
      </c>
      <c r="AH319" s="36">
        <v>45397</v>
      </c>
      <c r="AI319" s="36"/>
      <c r="AJ319" s="36"/>
      <c r="AK319" s="36"/>
      <c r="AL319" s="36"/>
      <c r="AM319" s="46"/>
      <c r="AN319" s="40"/>
      <c r="AO319" s="40"/>
      <c r="AP319" s="40"/>
      <c r="AQ319" s="40"/>
      <c r="AR319" s="48"/>
      <c r="AS319" s="37"/>
      <c r="AT319" s="37"/>
      <c r="AU319" s="47"/>
      <c r="AV319" s="37"/>
      <c r="AW319" s="37">
        <v>10</v>
      </c>
      <c r="AX319" s="30">
        <f>(J319*10)/100</f>
        <v>1819.17</v>
      </c>
      <c r="AY319" s="40" t="s">
        <v>431</v>
      </c>
    </row>
    <row r="320" spans="1:51" ht="39" customHeight="1" x14ac:dyDescent="0.25">
      <c r="A320" s="59" t="s">
        <v>2085</v>
      </c>
      <c r="B320" s="60">
        <v>45329</v>
      </c>
      <c r="C320" s="40" t="s">
        <v>2060</v>
      </c>
      <c r="D320" s="37" t="s">
        <v>431</v>
      </c>
      <c r="E320" s="39" t="s">
        <v>2086</v>
      </c>
      <c r="F320" s="37" t="s">
        <v>431</v>
      </c>
      <c r="G320" s="37" t="s">
        <v>431</v>
      </c>
      <c r="H320" s="37" t="s">
        <v>431</v>
      </c>
      <c r="I320" s="62" t="s">
        <v>2087</v>
      </c>
      <c r="J320" s="61">
        <v>336050</v>
      </c>
      <c r="K320" s="41">
        <v>0</v>
      </c>
      <c r="L320" s="54">
        <v>0</v>
      </c>
      <c r="M320" s="54">
        <v>0</v>
      </c>
      <c r="N320" s="42">
        <f t="shared" si="51"/>
        <v>100</v>
      </c>
      <c r="O320" s="43">
        <f t="shared" si="46"/>
        <v>336050</v>
      </c>
      <c r="P320" s="41"/>
      <c r="Q320" s="43">
        <f t="shared" si="47"/>
        <v>336050</v>
      </c>
      <c r="R320" s="41">
        <v>0</v>
      </c>
      <c r="S320" s="30">
        <f t="shared" si="50"/>
        <v>0</v>
      </c>
      <c r="T320" s="30">
        <f t="shared" si="50"/>
        <v>0</v>
      </c>
      <c r="U320" s="30" t="e">
        <f>T320/X320</f>
        <v>#DIV/0!</v>
      </c>
      <c r="V320" s="41" t="e">
        <f>T320/X320</f>
        <v>#DIV/0!</v>
      </c>
      <c r="W320" s="41" t="e">
        <f>V320*AU320</f>
        <v>#DIV/0!</v>
      </c>
      <c r="X320" s="41">
        <f t="shared" si="48"/>
        <v>0</v>
      </c>
      <c r="Y320" s="41">
        <v>0</v>
      </c>
      <c r="Z320" s="41">
        <v>0</v>
      </c>
      <c r="AA320" s="41">
        <v>0</v>
      </c>
      <c r="AB320" s="41"/>
      <c r="AC320" s="41" t="e">
        <f t="shared" si="44"/>
        <v>#DIV/0!</v>
      </c>
      <c r="AD320" s="41"/>
      <c r="AE320" s="41" t="e">
        <f t="shared" si="45"/>
        <v>#DIV/0!</v>
      </c>
      <c r="AF320" s="41" t="e">
        <f>X320/AU320</f>
        <v>#DIV/0!</v>
      </c>
      <c r="AG320" s="41" t="e">
        <f t="shared" si="49"/>
        <v>#DIV/0!</v>
      </c>
      <c r="AH320" s="36">
        <v>45397</v>
      </c>
      <c r="AI320" s="36"/>
      <c r="AJ320" s="36"/>
      <c r="AK320" s="36"/>
      <c r="AL320" s="36"/>
      <c r="AM320" s="46"/>
      <c r="AN320" s="40"/>
      <c r="AO320" s="40"/>
      <c r="AP320" s="40"/>
      <c r="AQ320" s="40"/>
      <c r="AR320" s="48"/>
      <c r="AS320" s="37"/>
      <c r="AT320" s="37"/>
      <c r="AU320" s="47"/>
      <c r="AV320" s="37"/>
      <c r="AW320" s="37">
        <v>10</v>
      </c>
      <c r="AX320" s="30">
        <f>(J320*10)/100</f>
        <v>33605</v>
      </c>
      <c r="AY320" s="40" t="s">
        <v>431</v>
      </c>
    </row>
    <row r="321" spans="1:51" ht="39" customHeight="1" x14ac:dyDescent="0.25">
      <c r="A321" s="59" t="s">
        <v>2088</v>
      </c>
      <c r="B321" s="60">
        <v>45329</v>
      </c>
      <c r="C321" s="40" t="s">
        <v>2052</v>
      </c>
      <c r="D321" s="37" t="s">
        <v>431</v>
      </c>
      <c r="E321" s="39" t="s">
        <v>2089</v>
      </c>
      <c r="F321" s="37" t="s">
        <v>431</v>
      </c>
      <c r="G321" s="37" t="s">
        <v>431</v>
      </c>
      <c r="H321" s="37" t="s">
        <v>431</v>
      </c>
      <c r="I321" s="62" t="s">
        <v>1618</v>
      </c>
      <c r="J321" s="61">
        <v>80173.8</v>
      </c>
      <c r="K321" s="41">
        <v>0</v>
      </c>
      <c r="L321" s="54">
        <v>0</v>
      </c>
      <c r="M321" s="54">
        <v>0</v>
      </c>
      <c r="N321" s="42">
        <f t="shared" si="51"/>
        <v>100</v>
      </c>
      <c r="O321" s="43">
        <f t="shared" si="46"/>
        <v>80173.8</v>
      </c>
      <c r="P321" s="41"/>
      <c r="Q321" s="43">
        <f t="shared" si="47"/>
        <v>80173.8</v>
      </c>
      <c r="R321" s="41">
        <v>0</v>
      </c>
      <c r="S321" s="30">
        <f t="shared" si="50"/>
        <v>0</v>
      </c>
      <c r="T321" s="30">
        <f t="shared" si="50"/>
        <v>0</v>
      </c>
      <c r="U321" s="30" t="e">
        <f>T321/X321</f>
        <v>#DIV/0!</v>
      </c>
      <c r="V321" s="41" t="e">
        <f>T321/X321</f>
        <v>#DIV/0!</v>
      </c>
      <c r="W321" s="41" t="e">
        <f>V321*AU321</f>
        <v>#DIV/0!</v>
      </c>
      <c r="X321" s="41">
        <f t="shared" si="48"/>
        <v>0</v>
      </c>
      <c r="Y321" s="41">
        <v>0</v>
      </c>
      <c r="Z321" s="41">
        <v>0</v>
      </c>
      <c r="AA321" s="41">
        <v>0</v>
      </c>
      <c r="AB321" s="41"/>
      <c r="AC321" s="41" t="e">
        <f t="shared" si="44"/>
        <v>#DIV/0!</v>
      </c>
      <c r="AD321" s="41"/>
      <c r="AE321" s="41" t="e">
        <f t="shared" si="45"/>
        <v>#DIV/0!</v>
      </c>
      <c r="AF321" s="41" t="e">
        <f>X321/AU321</f>
        <v>#DIV/0!</v>
      </c>
      <c r="AG321" s="41" t="e">
        <f t="shared" si="49"/>
        <v>#DIV/0!</v>
      </c>
      <c r="AH321" s="36">
        <v>45444</v>
      </c>
      <c r="AI321" s="36"/>
      <c r="AJ321" s="36"/>
      <c r="AK321" s="36"/>
      <c r="AL321" s="36"/>
      <c r="AM321" s="46"/>
      <c r="AN321" s="40"/>
      <c r="AO321" s="40"/>
      <c r="AP321" s="40"/>
      <c r="AQ321" s="40"/>
      <c r="AR321" s="48"/>
      <c r="AS321" s="37"/>
      <c r="AT321" s="37"/>
      <c r="AU321" s="47"/>
      <c r="AV321" s="37"/>
      <c r="AW321" s="37">
        <v>10</v>
      </c>
      <c r="AX321" s="30">
        <f>(J321*10)/100</f>
        <v>8017.38</v>
      </c>
      <c r="AY321" s="40" t="s">
        <v>431</v>
      </c>
    </row>
    <row r="322" spans="1:51" ht="39" customHeight="1" x14ac:dyDescent="0.25">
      <c r="A322" s="59" t="s">
        <v>2090</v>
      </c>
      <c r="B322" s="60">
        <v>45329</v>
      </c>
      <c r="C322" s="40" t="s">
        <v>2052</v>
      </c>
      <c r="D322" s="37" t="s">
        <v>431</v>
      </c>
      <c r="E322" s="39" t="s">
        <v>2091</v>
      </c>
      <c r="F322" s="37" t="s">
        <v>431</v>
      </c>
      <c r="G322" s="37" t="s">
        <v>431</v>
      </c>
      <c r="H322" s="37" t="s">
        <v>431</v>
      </c>
      <c r="I322" s="62" t="s">
        <v>1626</v>
      </c>
      <c r="J322" s="61">
        <v>4143700</v>
      </c>
      <c r="K322" s="41">
        <v>0</v>
      </c>
      <c r="L322" s="54">
        <v>0</v>
      </c>
      <c r="M322" s="54">
        <v>0</v>
      </c>
      <c r="N322" s="42">
        <f t="shared" si="51"/>
        <v>100</v>
      </c>
      <c r="O322" s="43">
        <f t="shared" si="46"/>
        <v>4143700</v>
      </c>
      <c r="P322" s="41"/>
      <c r="Q322" s="43">
        <f t="shared" si="47"/>
        <v>4143700</v>
      </c>
      <c r="R322" s="41">
        <v>0</v>
      </c>
      <c r="S322" s="30">
        <f t="shared" si="50"/>
        <v>0</v>
      </c>
      <c r="T322" s="30">
        <f t="shared" si="50"/>
        <v>0</v>
      </c>
      <c r="U322" s="30" t="e">
        <f>T322/X322</f>
        <v>#DIV/0!</v>
      </c>
      <c r="V322" s="41" t="e">
        <f>T322/X322</f>
        <v>#DIV/0!</v>
      </c>
      <c r="W322" s="41" t="e">
        <f>V322*AU322</f>
        <v>#DIV/0!</v>
      </c>
      <c r="X322" s="41">
        <f t="shared" si="48"/>
        <v>0</v>
      </c>
      <c r="Y322" s="41">
        <v>0</v>
      </c>
      <c r="Z322" s="41">
        <v>0</v>
      </c>
      <c r="AA322" s="41">
        <v>0</v>
      </c>
      <c r="AB322" s="41"/>
      <c r="AC322" s="41" t="e">
        <f t="shared" si="44"/>
        <v>#DIV/0!</v>
      </c>
      <c r="AD322" s="41"/>
      <c r="AE322" s="41" t="e">
        <f t="shared" si="45"/>
        <v>#DIV/0!</v>
      </c>
      <c r="AF322" s="41" t="e">
        <f>X322/AU322</f>
        <v>#DIV/0!</v>
      </c>
      <c r="AG322" s="41" t="e">
        <f t="shared" si="49"/>
        <v>#DIV/0!</v>
      </c>
      <c r="AH322" s="36">
        <v>45474</v>
      </c>
      <c r="AI322" s="36"/>
      <c r="AJ322" s="36"/>
      <c r="AK322" s="36"/>
      <c r="AL322" s="36"/>
      <c r="AM322" s="46"/>
      <c r="AN322" s="40"/>
      <c r="AO322" s="40"/>
      <c r="AP322" s="40"/>
      <c r="AQ322" s="40"/>
      <c r="AR322" s="48"/>
      <c r="AS322" s="37"/>
      <c r="AT322" s="37"/>
      <c r="AU322" s="47"/>
      <c r="AV322" s="37"/>
      <c r="AW322" s="37">
        <v>10</v>
      </c>
      <c r="AX322" s="30">
        <f>(J322*10)/100</f>
        <v>414370</v>
      </c>
      <c r="AY322" s="40" t="s">
        <v>431</v>
      </c>
    </row>
    <row r="323" spans="1:51" ht="39" customHeight="1" x14ac:dyDescent="0.25">
      <c r="A323" s="59" t="s">
        <v>2092</v>
      </c>
      <c r="B323" s="60">
        <v>45330</v>
      </c>
      <c r="C323" s="40" t="s">
        <v>2060</v>
      </c>
      <c r="D323" s="35" t="s">
        <v>2093</v>
      </c>
      <c r="E323" s="39" t="s">
        <v>2094</v>
      </c>
      <c r="F323" s="36">
        <v>45342</v>
      </c>
      <c r="G323" s="37" t="s">
        <v>2095</v>
      </c>
      <c r="H323" s="40" t="s">
        <v>1115</v>
      </c>
      <c r="I323" s="62" t="s">
        <v>2096</v>
      </c>
      <c r="J323" s="61">
        <v>363739.7</v>
      </c>
      <c r="K323" s="41">
        <v>0</v>
      </c>
      <c r="L323" s="54">
        <v>0</v>
      </c>
      <c r="M323" s="54">
        <v>0</v>
      </c>
      <c r="N323" s="42">
        <f t="shared" si="51"/>
        <v>0</v>
      </c>
      <c r="O323" s="43">
        <f t="shared" si="46"/>
        <v>0</v>
      </c>
      <c r="P323" s="41">
        <v>363739.7</v>
      </c>
      <c r="Q323" s="43">
        <f t="shared" si="47"/>
        <v>0</v>
      </c>
      <c r="R323" s="61">
        <v>363739.7</v>
      </c>
      <c r="S323" s="30">
        <f t="shared" si="50"/>
        <v>363739.7</v>
      </c>
      <c r="T323" s="30">
        <f t="shared" si="50"/>
        <v>363739.7</v>
      </c>
      <c r="U323" s="30">
        <f>T323/X323</f>
        <v>32.39</v>
      </c>
      <c r="V323" s="41">
        <f>T323/X323</f>
        <v>32.39</v>
      </c>
      <c r="W323" s="41">
        <f>V323*AU323</f>
        <v>226.73000000000002</v>
      </c>
      <c r="X323" s="41">
        <f t="shared" si="48"/>
        <v>11230</v>
      </c>
      <c r="Y323" s="41">
        <v>11230</v>
      </c>
      <c r="Z323" s="41">
        <v>0</v>
      </c>
      <c r="AA323" s="41">
        <v>0</v>
      </c>
      <c r="AB323" s="41">
        <v>0</v>
      </c>
      <c r="AC323" s="41">
        <f t="shared" si="44"/>
        <v>0</v>
      </c>
      <c r="AD323" s="41">
        <v>0</v>
      </c>
      <c r="AE323" s="41">
        <f t="shared" si="45"/>
        <v>0</v>
      </c>
      <c r="AF323" s="41">
        <f>X323/AU323</f>
        <v>1604.2857142857142</v>
      </c>
      <c r="AG323" s="41">
        <f t="shared" si="49"/>
        <v>1605</v>
      </c>
      <c r="AH323" s="36">
        <v>45397</v>
      </c>
      <c r="AI323" s="36"/>
      <c r="AJ323" s="36"/>
      <c r="AK323" s="36">
        <v>45427</v>
      </c>
      <c r="AL323" s="36"/>
      <c r="AM323" s="46"/>
      <c r="AN323" s="40" t="s">
        <v>2097</v>
      </c>
      <c r="AO323" s="40" t="s">
        <v>2098</v>
      </c>
      <c r="AP323" s="40" t="s">
        <v>2099</v>
      </c>
      <c r="AQ323" s="40" t="s">
        <v>80</v>
      </c>
      <c r="AR323" s="48">
        <v>100</v>
      </c>
      <c r="AS323" s="37">
        <v>0</v>
      </c>
      <c r="AT323" s="37" t="s">
        <v>386</v>
      </c>
      <c r="AU323" s="47">
        <v>7</v>
      </c>
      <c r="AV323" s="37" t="s">
        <v>219</v>
      </c>
      <c r="AW323" s="37">
        <v>10</v>
      </c>
      <c r="AX323" s="30">
        <f>(J323*10)/100</f>
        <v>36373.97</v>
      </c>
      <c r="AY323" s="40" t="s">
        <v>402</v>
      </c>
    </row>
    <row r="324" spans="1:51" ht="39" customHeight="1" x14ac:dyDescent="0.25">
      <c r="A324" s="59" t="s">
        <v>2100</v>
      </c>
      <c r="B324" s="60">
        <v>45330</v>
      </c>
      <c r="C324" s="40" t="s">
        <v>2060</v>
      </c>
      <c r="D324" s="35" t="s">
        <v>2101</v>
      </c>
      <c r="E324" s="39" t="s">
        <v>2102</v>
      </c>
      <c r="F324" s="36">
        <v>45342</v>
      </c>
      <c r="G324" s="37" t="s">
        <v>2103</v>
      </c>
      <c r="H324" s="40" t="s">
        <v>1115</v>
      </c>
      <c r="I324" s="64" t="s">
        <v>1987</v>
      </c>
      <c r="J324" s="61">
        <v>133650</v>
      </c>
      <c r="K324" s="41">
        <v>0</v>
      </c>
      <c r="L324" s="54">
        <v>0</v>
      </c>
      <c r="M324" s="54">
        <v>0</v>
      </c>
      <c r="N324" s="42">
        <f t="shared" si="51"/>
        <v>0</v>
      </c>
      <c r="O324" s="43">
        <f t="shared" si="46"/>
        <v>0</v>
      </c>
      <c r="P324" s="61">
        <v>133650</v>
      </c>
      <c r="Q324" s="43">
        <f t="shared" si="47"/>
        <v>0</v>
      </c>
      <c r="R324" s="61">
        <v>133650</v>
      </c>
      <c r="S324" s="30">
        <f t="shared" si="50"/>
        <v>133650</v>
      </c>
      <c r="T324" s="30">
        <f t="shared" si="50"/>
        <v>133650</v>
      </c>
      <c r="U324" s="30">
        <f>T324/X324</f>
        <v>49.5</v>
      </c>
      <c r="V324" s="41">
        <f>T324/X324</f>
        <v>49.5</v>
      </c>
      <c r="W324" s="41">
        <f>V324*AU324</f>
        <v>4950</v>
      </c>
      <c r="X324" s="41">
        <f t="shared" si="48"/>
        <v>2700</v>
      </c>
      <c r="Y324" s="41">
        <v>2700</v>
      </c>
      <c r="Z324" s="41">
        <v>0</v>
      </c>
      <c r="AA324" s="41">
        <v>0</v>
      </c>
      <c r="AB324" s="41">
        <v>0</v>
      </c>
      <c r="AC324" s="41">
        <f t="shared" ref="AC324:AC387" si="52">AB324*V324</f>
        <v>0</v>
      </c>
      <c r="AD324" s="41">
        <v>0</v>
      </c>
      <c r="AE324" s="41">
        <f t="shared" ref="AE324:AE387" si="53">AD324*V324</f>
        <v>0</v>
      </c>
      <c r="AF324" s="41">
        <f>X324/AU324</f>
        <v>27</v>
      </c>
      <c r="AG324" s="41">
        <f t="shared" si="49"/>
        <v>27</v>
      </c>
      <c r="AH324" s="36">
        <v>45397</v>
      </c>
      <c r="AI324" s="36"/>
      <c r="AJ324" s="36"/>
      <c r="AK324" s="36">
        <v>45427</v>
      </c>
      <c r="AL324" s="36"/>
      <c r="AM324" s="46"/>
      <c r="AN324" s="40" t="s">
        <v>2104</v>
      </c>
      <c r="AO324" s="40" t="s">
        <v>2105</v>
      </c>
      <c r="AP324" s="40" t="s">
        <v>2106</v>
      </c>
      <c r="AQ324" s="40" t="s">
        <v>80</v>
      </c>
      <c r="AR324" s="48">
        <v>100</v>
      </c>
      <c r="AS324" s="37">
        <v>0</v>
      </c>
      <c r="AT324" s="37" t="s">
        <v>386</v>
      </c>
      <c r="AU324" s="47">
        <v>100</v>
      </c>
      <c r="AV324" s="37" t="s">
        <v>219</v>
      </c>
      <c r="AW324" s="37">
        <v>10</v>
      </c>
      <c r="AX324" s="30">
        <f>(J324*10)/100</f>
        <v>13365</v>
      </c>
      <c r="AY324" s="40" t="s">
        <v>402</v>
      </c>
    </row>
    <row r="325" spans="1:51" ht="39" customHeight="1" x14ac:dyDescent="0.25">
      <c r="A325" s="59" t="s">
        <v>2107</v>
      </c>
      <c r="B325" s="60">
        <v>45330</v>
      </c>
      <c r="C325" s="40" t="s">
        <v>2052</v>
      </c>
      <c r="D325" s="37" t="s">
        <v>431</v>
      </c>
      <c r="E325" s="39" t="s">
        <v>2108</v>
      </c>
      <c r="F325" s="37" t="s">
        <v>431</v>
      </c>
      <c r="G325" s="37" t="s">
        <v>431</v>
      </c>
      <c r="H325" s="37" t="s">
        <v>431</v>
      </c>
      <c r="I325" s="62" t="s">
        <v>1664</v>
      </c>
      <c r="J325" s="61">
        <v>10444.200000000001</v>
      </c>
      <c r="K325" s="41">
        <v>0</v>
      </c>
      <c r="L325" s="54">
        <v>0</v>
      </c>
      <c r="M325" s="54">
        <v>0</v>
      </c>
      <c r="N325" s="42">
        <f t="shared" si="51"/>
        <v>100</v>
      </c>
      <c r="O325" s="43">
        <f t="shared" si="46"/>
        <v>10444.200000000001</v>
      </c>
      <c r="P325" s="41"/>
      <c r="Q325" s="43">
        <f t="shared" si="47"/>
        <v>10444.200000000001</v>
      </c>
      <c r="R325" s="41">
        <v>0</v>
      </c>
      <c r="S325" s="30">
        <f t="shared" si="50"/>
        <v>0</v>
      </c>
      <c r="T325" s="30">
        <f t="shared" si="50"/>
        <v>0</v>
      </c>
      <c r="U325" s="30" t="e">
        <f>T325/X325</f>
        <v>#DIV/0!</v>
      </c>
      <c r="V325" s="41" t="e">
        <f>T325/X325</f>
        <v>#DIV/0!</v>
      </c>
      <c r="W325" s="41" t="e">
        <f>V325*AU325</f>
        <v>#DIV/0!</v>
      </c>
      <c r="X325" s="41">
        <f t="shared" si="48"/>
        <v>0</v>
      </c>
      <c r="Y325" s="41">
        <v>0</v>
      </c>
      <c r="Z325" s="41">
        <v>0</v>
      </c>
      <c r="AA325" s="41">
        <v>0</v>
      </c>
      <c r="AB325" s="41"/>
      <c r="AC325" s="41" t="e">
        <f t="shared" si="52"/>
        <v>#DIV/0!</v>
      </c>
      <c r="AD325" s="41"/>
      <c r="AE325" s="41" t="e">
        <f t="shared" si="53"/>
        <v>#DIV/0!</v>
      </c>
      <c r="AF325" s="41" t="e">
        <f>X325/AU325</f>
        <v>#DIV/0!</v>
      </c>
      <c r="AG325" s="41" t="e">
        <f t="shared" si="49"/>
        <v>#DIV/0!</v>
      </c>
      <c r="AH325" s="36">
        <v>45397</v>
      </c>
      <c r="AI325" s="36"/>
      <c r="AJ325" s="36"/>
      <c r="AK325" s="36"/>
      <c r="AL325" s="36"/>
      <c r="AM325" s="46"/>
      <c r="AN325" s="40"/>
      <c r="AO325" s="40"/>
      <c r="AP325" s="40"/>
      <c r="AQ325" s="40"/>
      <c r="AR325" s="48"/>
      <c r="AS325" s="37"/>
      <c r="AT325" s="37"/>
      <c r="AU325" s="47"/>
      <c r="AV325" s="37"/>
      <c r="AW325" s="37">
        <v>10</v>
      </c>
      <c r="AX325" s="30">
        <f>(J325*10)/100</f>
        <v>1044.42</v>
      </c>
      <c r="AY325" s="40"/>
    </row>
    <row r="326" spans="1:51" ht="39" customHeight="1" x14ac:dyDescent="0.25">
      <c r="A326" s="59" t="s">
        <v>2109</v>
      </c>
      <c r="B326" s="60">
        <v>45330</v>
      </c>
      <c r="C326" s="40" t="s">
        <v>494</v>
      </c>
      <c r="D326" s="35"/>
      <c r="E326" s="39" t="s">
        <v>2110</v>
      </c>
      <c r="F326" s="36">
        <v>45352</v>
      </c>
      <c r="G326" s="37" t="s">
        <v>2111</v>
      </c>
      <c r="H326" s="40" t="s">
        <v>1830</v>
      </c>
      <c r="I326" s="38" t="s">
        <v>497</v>
      </c>
      <c r="J326" s="61">
        <v>24734665.559999999</v>
      </c>
      <c r="K326" s="41">
        <v>0</v>
      </c>
      <c r="L326" s="54">
        <v>0</v>
      </c>
      <c r="M326" s="54">
        <v>0</v>
      </c>
      <c r="N326" s="42">
        <f t="shared" si="51"/>
        <v>0</v>
      </c>
      <c r="O326" s="43">
        <f t="shared" si="46"/>
        <v>0</v>
      </c>
      <c r="P326" s="61">
        <v>24734665.559999999</v>
      </c>
      <c r="Q326" s="43">
        <f t="shared" si="47"/>
        <v>0</v>
      </c>
      <c r="R326" s="61">
        <v>24734665.559999999</v>
      </c>
      <c r="S326" s="30">
        <f t="shared" si="50"/>
        <v>24734665.559999999</v>
      </c>
      <c r="T326" s="30">
        <f t="shared" si="50"/>
        <v>24734665.559999999</v>
      </c>
      <c r="U326" s="30">
        <f>T326/X326</f>
        <v>574.53</v>
      </c>
      <c r="V326" s="41">
        <f>T326/X326</f>
        <v>574.53</v>
      </c>
      <c r="W326" s="41">
        <f>V326*AU326</f>
        <v>108011.64</v>
      </c>
      <c r="X326" s="41">
        <f t="shared" si="48"/>
        <v>43052</v>
      </c>
      <c r="Y326" s="41">
        <v>43052</v>
      </c>
      <c r="Z326" s="41">
        <v>0</v>
      </c>
      <c r="AA326" s="41">
        <v>0</v>
      </c>
      <c r="AB326" s="41">
        <v>0</v>
      </c>
      <c r="AC326" s="41">
        <f t="shared" si="52"/>
        <v>0</v>
      </c>
      <c r="AD326" s="41">
        <v>0</v>
      </c>
      <c r="AE326" s="41">
        <f t="shared" si="53"/>
        <v>0</v>
      </c>
      <c r="AF326" s="41">
        <f>X326/AU326</f>
        <v>229</v>
      </c>
      <c r="AG326" s="41">
        <f t="shared" si="49"/>
        <v>229</v>
      </c>
      <c r="AH326" s="36">
        <v>45397</v>
      </c>
      <c r="AI326" s="36"/>
      <c r="AJ326" s="36"/>
      <c r="AK326" s="36">
        <v>45427</v>
      </c>
      <c r="AL326" s="36"/>
      <c r="AM326" s="46"/>
      <c r="AN326" s="40" t="s">
        <v>534</v>
      </c>
      <c r="AO326" s="40" t="s">
        <v>535</v>
      </c>
      <c r="AP326" s="40" t="s">
        <v>536</v>
      </c>
      <c r="AQ326" s="40" t="s">
        <v>80</v>
      </c>
      <c r="AR326" s="48">
        <v>100</v>
      </c>
      <c r="AS326" s="37">
        <v>0</v>
      </c>
      <c r="AT326" s="37" t="s">
        <v>386</v>
      </c>
      <c r="AU326" s="47">
        <v>188</v>
      </c>
      <c r="AV326" s="37" t="s">
        <v>60</v>
      </c>
      <c r="AW326" s="37">
        <v>10</v>
      </c>
      <c r="AX326" s="30">
        <f>(J326*10)/100</f>
        <v>2473466.5559999999</v>
      </c>
      <c r="AY326" s="40" t="s">
        <v>402</v>
      </c>
    </row>
    <row r="327" spans="1:51" ht="39" customHeight="1" x14ac:dyDescent="0.25">
      <c r="A327" s="59" t="s">
        <v>2112</v>
      </c>
      <c r="B327" s="60">
        <v>45330</v>
      </c>
      <c r="C327" s="40" t="s">
        <v>2052</v>
      </c>
      <c r="D327" s="37" t="s">
        <v>431</v>
      </c>
      <c r="E327" s="39" t="s">
        <v>2113</v>
      </c>
      <c r="F327" s="37" t="s">
        <v>431</v>
      </c>
      <c r="G327" s="37" t="s">
        <v>431</v>
      </c>
      <c r="H327" s="37" t="s">
        <v>431</v>
      </c>
      <c r="I327" s="64" t="s">
        <v>1746</v>
      </c>
      <c r="J327" s="61">
        <v>106913.4</v>
      </c>
      <c r="K327" s="41">
        <v>0</v>
      </c>
      <c r="L327" s="54">
        <v>0</v>
      </c>
      <c r="M327" s="54">
        <v>0</v>
      </c>
      <c r="N327" s="42">
        <f t="shared" si="51"/>
        <v>100</v>
      </c>
      <c r="O327" s="43">
        <f t="shared" si="46"/>
        <v>106913.4</v>
      </c>
      <c r="P327" s="41"/>
      <c r="Q327" s="43">
        <f t="shared" si="47"/>
        <v>106913.4</v>
      </c>
      <c r="R327" s="41">
        <v>0</v>
      </c>
      <c r="S327" s="30">
        <f t="shared" si="50"/>
        <v>0</v>
      </c>
      <c r="T327" s="30">
        <f t="shared" si="50"/>
        <v>0</v>
      </c>
      <c r="U327" s="30" t="e">
        <f>T327/X327</f>
        <v>#DIV/0!</v>
      </c>
      <c r="V327" s="41" t="e">
        <f>T327/X327</f>
        <v>#DIV/0!</v>
      </c>
      <c r="W327" s="41" t="e">
        <f>V327*AU327</f>
        <v>#DIV/0!</v>
      </c>
      <c r="X327" s="41">
        <f t="shared" si="48"/>
        <v>0</v>
      </c>
      <c r="Y327" s="41">
        <v>0</v>
      </c>
      <c r="Z327" s="41">
        <v>0</v>
      </c>
      <c r="AA327" s="41">
        <v>0</v>
      </c>
      <c r="AB327" s="41"/>
      <c r="AC327" s="41" t="e">
        <f t="shared" si="52"/>
        <v>#DIV/0!</v>
      </c>
      <c r="AD327" s="41"/>
      <c r="AE327" s="41" t="e">
        <f t="shared" si="53"/>
        <v>#DIV/0!</v>
      </c>
      <c r="AF327" s="41" t="e">
        <f>X327/AU327</f>
        <v>#DIV/0!</v>
      </c>
      <c r="AG327" s="41" t="e">
        <f t="shared" si="49"/>
        <v>#DIV/0!</v>
      </c>
      <c r="AH327" s="36">
        <v>45397</v>
      </c>
      <c r="AI327" s="36"/>
      <c r="AJ327" s="36"/>
      <c r="AK327" s="36"/>
      <c r="AL327" s="36"/>
      <c r="AM327" s="46"/>
      <c r="AN327" s="40"/>
      <c r="AO327" s="40"/>
      <c r="AP327" s="40"/>
      <c r="AQ327" s="40"/>
      <c r="AR327" s="48"/>
      <c r="AS327" s="37"/>
      <c r="AT327" s="37"/>
      <c r="AU327" s="47"/>
      <c r="AV327" s="37"/>
      <c r="AW327" s="37">
        <v>10</v>
      </c>
      <c r="AX327" s="30">
        <f>(J327*10)/100</f>
        <v>10691.34</v>
      </c>
      <c r="AY327" s="40" t="s">
        <v>431</v>
      </c>
    </row>
    <row r="328" spans="1:51" ht="39" customHeight="1" x14ac:dyDescent="0.25">
      <c r="A328" s="59" t="s">
        <v>2114</v>
      </c>
      <c r="B328" s="60">
        <v>45330</v>
      </c>
      <c r="C328" s="40" t="s">
        <v>2052</v>
      </c>
      <c r="D328" s="37" t="s">
        <v>431</v>
      </c>
      <c r="E328" s="39" t="s">
        <v>2115</v>
      </c>
      <c r="F328" s="37" t="s">
        <v>431</v>
      </c>
      <c r="G328" s="37" t="s">
        <v>431</v>
      </c>
      <c r="H328" s="37" t="s">
        <v>431</v>
      </c>
      <c r="I328" s="62" t="s">
        <v>1683</v>
      </c>
      <c r="J328" s="61">
        <v>28586.400000000001</v>
      </c>
      <c r="K328" s="41">
        <v>0</v>
      </c>
      <c r="L328" s="54">
        <v>0</v>
      </c>
      <c r="M328" s="54">
        <v>0</v>
      </c>
      <c r="N328" s="42">
        <f t="shared" si="51"/>
        <v>100</v>
      </c>
      <c r="O328" s="43">
        <f t="shared" ref="O328:O391" si="54">J328-P328</f>
        <v>28586.400000000001</v>
      </c>
      <c r="P328" s="41"/>
      <c r="Q328" s="43">
        <f t="shared" ref="Q328:Q391" si="55">J328-R328</f>
        <v>28586.400000000001</v>
      </c>
      <c r="R328" s="41">
        <v>0</v>
      </c>
      <c r="S328" s="30">
        <f t="shared" si="50"/>
        <v>0</v>
      </c>
      <c r="T328" s="30">
        <f t="shared" si="50"/>
        <v>0</v>
      </c>
      <c r="U328" s="30" t="e">
        <f>T328/X328</f>
        <v>#DIV/0!</v>
      </c>
      <c r="V328" s="41" t="e">
        <f>T328/X328</f>
        <v>#DIV/0!</v>
      </c>
      <c r="W328" s="41" t="e">
        <f>V328*AU328</f>
        <v>#DIV/0!</v>
      </c>
      <c r="X328" s="41">
        <f t="shared" ref="X328:X391" si="56">Y328+Z328+AA328</f>
        <v>0</v>
      </c>
      <c r="Y328" s="41">
        <v>0</v>
      </c>
      <c r="Z328" s="41">
        <v>0</v>
      </c>
      <c r="AA328" s="41">
        <v>0</v>
      </c>
      <c r="AB328" s="41"/>
      <c r="AC328" s="41" t="e">
        <f t="shared" si="52"/>
        <v>#DIV/0!</v>
      </c>
      <c r="AD328" s="41"/>
      <c r="AE328" s="41" t="e">
        <f t="shared" si="53"/>
        <v>#DIV/0!</v>
      </c>
      <c r="AF328" s="41" t="e">
        <f>X328/AU328</f>
        <v>#DIV/0!</v>
      </c>
      <c r="AG328" s="41" t="e">
        <f t="shared" si="49"/>
        <v>#DIV/0!</v>
      </c>
      <c r="AH328" s="36">
        <v>45397</v>
      </c>
      <c r="AI328" s="36"/>
      <c r="AJ328" s="36"/>
      <c r="AK328" s="36"/>
      <c r="AL328" s="36"/>
      <c r="AM328" s="46"/>
      <c r="AN328" s="40"/>
      <c r="AO328" s="40"/>
      <c r="AP328" s="40"/>
      <c r="AQ328" s="40"/>
      <c r="AR328" s="48"/>
      <c r="AS328" s="37"/>
      <c r="AT328" s="37"/>
      <c r="AU328" s="47"/>
      <c r="AV328" s="37"/>
      <c r="AW328" s="37">
        <v>10</v>
      </c>
      <c r="AX328" s="30">
        <f>(J328*10)/100</f>
        <v>2858.64</v>
      </c>
      <c r="AY328" s="40" t="s">
        <v>431</v>
      </c>
    </row>
    <row r="329" spans="1:51" ht="39" customHeight="1" x14ac:dyDescent="0.25">
      <c r="A329" s="59" t="s">
        <v>2116</v>
      </c>
      <c r="B329" s="60">
        <v>45330</v>
      </c>
      <c r="C329" s="40" t="s">
        <v>494</v>
      </c>
      <c r="D329" s="35"/>
      <c r="E329" s="39" t="s">
        <v>2117</v>
      </c>
      <c r="F329" s="36">
        <v>45352</v>
      </c>
      <c r="G329" s="37" t="s">
        <v>2118</v>
      </c>
      <c r="H329" s="40" t="s">
        <v>2047</v>
      </c>
      <c r="I329" s="62" t="s">
        <v>2119</v>
      </c>
      <c r="J329" s="61">
        <v>20244060</v>
      </c>
      <c r="K329" s="41">
        <v>0</v>
      </c>
      <c r="L329" s="54">
        <v>0</v>
      </c>
      <c r="M329" s="54">
        <v>0</v>
      </c>
      <c r="N329" s="42">
        <f t="shared" si="51"/>
        <v>29.00005730075884</v>
      </c>
      <c r="O329" s="43">
        <f t="shared" si="54"/>
        <v>5870789</v>
      </c>
      <c r="P329" s="41">
        <v>14373271</v>
      </c>
      <c r="Q329" s="43">
        <f t="shared" si="55"/>
        <v>5870789</v>
      </c>
      <c r="R329" s="41">
        <v>14373271</v>
      </c>
      <c r="S329" s="30">
        <f t="shared" si="50"/>
        <v>14373271</v>
      </c>
      <c r="T329" s="30">
        <f t="shared" si="50"/>
        <v>14373271</v>
      </c>
      <c r="U329" s="30">
        <f>T329/X329</f>
        <v>127.79989685863409</v>
      </c>
      <c r="V329" s="41">
        <f>T329/X329</f>
        <v>127.79989685863409</v>
      </c>
      <c r="W329" s="41">
        <f>V329*AU329</f>
        <v>127.79989685863409</v>
      </c>
      <c r="X329" s="41">
        <f t="shared" si="56"/>
        <v>112467</v>
      </c>
      <c r="Y329" s="41">
        <v>112467</v>
      </c>
      <c r="Z329" s="41">
        <v>0</v>
      </c>
      <c r="AA329" s="41">
        <v>0</v>
      </c>
      <c r="AB329" s="41">
        <v>0</v>
      </c>
      <c r="AC329" s="41">
        <f t="shared" si="52"/>
        <v>0</v>
      </c>
      <c r="AD329" s="41">
        <v>0</v>
      </c>
      <c r="AE329" s="41">
        <f t="shared" si="53"/>
        <v>0</v>
      </c>
      <c r="AF329" s="41">
        <f>X329/AU329</f>
        <v>112467</v>
      </c>
      <c r="AG329" s="41">
        <f t="shared" si="49"/>
        <v>112467</v>
      </c>
      <c r="AH329" s="36">
        <v>45397</v>
      </c>
      <c r="AI329" s="36"/>
      <c r="AJ329" s="36"/>
      <c r="AK329" s="36">
        <v>45427</v>
      </c>
      <c r="AL329" s="36"/>
      <c r="AM329" s="46"/>
      <c r="AN329" s="40" t="s">
        <v>2034</v>
      </c>
      <c r="AO329" s="40" t="s">
        <v>2120</v>
      </c>
      <c r="AP329" s="40" t="s">
        <v>2121</v>
      </c>
      <c r="AQ329" s="40" t="s">
        <v>80</v>
      </c>
      <c r="AR329" s="48">
        <v>100</v>
      </c>
      <c r="AS329" s="37">
        <v>0</v>
      </c>
      <c r="AT329" s="37" t="s">
        <v>343</v>
      </c>
      <c r="AU329" s="47">
        <v>1</v>
      </c>
      <c r="AV329" s="37" t="s">
        <v>60</v>
      </c>
      <c r="AW329" s="37">
        <v>10</v>
      </c>
      <c r="AX329" s="30">
        <f>(J329*10)/100</f>
        <v>2024406</v>
      </c>
      <c r="AY329" s="40" t="s">
        <v>402</v>
      </c>
    </row>
    <row r="330" spans="1:51" ht="39" customHeight="1" x14ac:dyDescent="0.25">
      <c r="A330" s="59" t="s">
        <v>2122</v>
      </c>
      <c r="B330" s="60">
        <v>45330</v>
      </c>
      <c r="C330" s="40" t="s">
        <v>2052</v>
      </c>
      <c r="D330" s="37" t="s">
        <v>431</v>
      </c>
      <c r="E330" s="39" t="s">
        <v>2123</v>
      </c>
      <c r="F330" s="37" t="s">
        <v>431</v>
      </c>
      <c r="G330" s="37" t="s">
        <v>431</v>
      </c>
      <c r="H330" s="37" t="s">
        <v>431</v>
      </c>
      <c r="I330" s="62" t="s">
        <v>1721</v>
      </c>
      <c r="J330" s="61">
        <v>38544</v>
      </c>
      <c r="K330" s="41">
        <v>0</v>
      </c>
      <c r="L330" s="54">
        <v>0</v>
      </c>
      <c r="M330" s="54">
        <v>0</v>
      </c>
      <c r="N330" s="42">
        <f t="shared" si="51"/>
        <v>100</v>
      </c>
      <c r="O330" s="43">
        <f t="shared" si="54"/>
        <v>38544</v>
      </c>
      <c r="P330" s="41"/>
      <c r="Q330" s="43">
        <f t="shared" si="55"/>
        <v>38544</v>
      </c>
      <c r="R330" s="41">
        <v>0</v>
      </c>
      <c r="S330" s="30">
        <f t="shared" si="50"/>
        <v>0</v>
      </c>
      <c r="T330" s="30">
        <f t="shared" si="50"/>
        <v>0</v>
      </c>
      <c r="U330" s="30" t="e">
        <f>T330/X330</f>
        <v>#DIV/0!</v>
      </c>
      <c r="V330" s="41" t="e">
        <f>T330/X330</f>
        <v>#DIV/0!</v>
      </c>
      <c r="W330" s="41" t="e">
        <f>V330*AU330</f>
        <v>#DIV/0!</v>
      </c>
      <c r="X330" s="41">
        <f t="shared" si="56"/>
        <v>0</v>
      </c>
      <c r="Y330" s="41">
        <v>0</v>
      </c>
      <c r="Z330" s="41">
        <v>0</v>
      </c>
      <c r="AA330" s="41">
        <v>0</v>
      </c>
      <c r="AB330" s="41"/>
      <c r="AC330" s="41" t="e">
        <f t="shared" si="52"/>
        <v>#DIV/0!</v>
      </c>
      <c r="AD330" s="41"/>
      <c r="AE330" s="41" t="e">
        <f t="shared" si="53"/>
        <v>#DIV/0!</v>
      </c>
      <c r="AF330" s="41" t="e">
        <f>X330/AU330</f>
        <v>#DIV/0!</v>
      </c>
      <c r="AG330" s="41" t="e">
        <f t="shared" si="49"/>
        <v>#DIV/0!</v>
      </c>
      <c r="AH330" s="36">
        <v>45397</v>
      </c>
      <c r="AI330" s="36"/>
      <c r="AJ330" s="36"/>
      <c r="AK330" s="36"/>
      <c r="AL330" s="36"/>
      <c r="AM330" s="46"/>
      <c r="AN330" s="40"/>
      <c r="AO330" s="40"/>
      <c r="AP330" s="40"/>
      <c r="AQ330" s="40"/>
      <c r="AR330" s="48"/>
      <c r="AS330" s="37"/>
      <c r="AT330" s="37"/>
      <c r="AU330" s="47"/>
      <c r="AV330" s="37"/>
      <c r="AW330" s="37">
        <v>10</v>
      </c>
      <c r="AX330" s="30">
        <f>(J330*10)/100</f>
        <v>3854.4</v>
      </c>
      <c r="AY330" s="40" t="s">
        <v>431</v>
      </c>
    </row>
    <row r="331" spans="1:51" ht="39" customHeight="1" x14ac:dyDescent="0.25">
      <c r="A331" s="59" t="s">
        <v>2124</v>
      </c>
      <c r="B331" s="60">
        <v>45330</v>
      </c>
      <c r="C331" s="40" t="s">
        <v>2052</v>
      </c>
      <c r="D331" s="37" t="s">
        <v>431</v>
      </c>
      <c r="E331" s="39" t="s">
        <v>2125</v>
      </c>
      <c r="F331" s="37" t="s">
        <v>431</v>
      </c>
      <c r="G331" s="37" t="s">
        <v>431</v>
      </c>
      <c r="H331" s="37" t="s">
        <v>431</v>
      </c>
      <c r="I331" s="62" t="s">
        <v>1519</v>
      </c>
      <c r="J331" s="61">
        <v>23408</v>
      </c>
      <c r="K331" s="41">
        <v>0</v>
      </c>
      <c r="L331" s="54">
        <v>0</v>
      </c>
      <c r="M331" s="54">
        <v>0</v>
      </c>
      <c r="N331" s="42">
        <f t="shared" si="51"/>
        <v>100</v>
      </c>
      <c r="O331" s="43">
        <f t="shared" si="54"/>
        <v>23408</v>
      </c>
      <c r="P331" s="41"/>
      <c r="Q331" s="43">
        <f t="shared" si="55"/>
        <v>23408</v>
      </c>
      <c r="R331" s="41">
        <v>0</v>
      </c>
      <c r="S331" s="30">
        <f t="shared" si="50"/>
        <v>0</v>
      </c>
      <c r="T331" s="30">
        <f t="shared" si="50"/>
        <v>0</v>
      </c>
      <c r="U331" s="30" t="e">
        <f>T331/X331</f>
        <v>#DIV/0!</v>
      </c>
      <c r="V331" s="41" t="e">
        <f>T331/X331</f>
        <v>#DIV/0!</v>
      </c>
      <c r="W331" s="41" t="e">
        <f>V331*AU331</f>
        <v>#DIV/0!</v>
      </c>
      <c r="X331" s="41">
        <f t="shared" si="56"/>
        <v>0</v>
      </c>
      <c r="Y331" s="41">
        <v>0</v>
      </c>
      <c r="Z331" s="41">
        <v>0</v>
      </c>
      <c r="AA331" s="41">
        <v>0</v>
      </c>
      <c r="AB331" s="41"/>
      <c r="AC331" s="41" t="e">
        <f t="shared" si="52"/>
        <v>#DIV/0!</v>
      </c>
      <c r="AD331" s="41"/>
      <c r="AE331" s="41" t="e">
        <f t="shared" si="53"/>
        <v>#DIV/0!</v>
      </c>
      <c r="AF331" s="41" t="e">
        <f>X331/AU331</f>
        <v>#DIV/0!</v>
      </c>
      <c r="AG331" s="41" t="e">
        <f t="shared" si="49"/>
        <v>#DIV/0!</v>
      </c>
      <c r="AH331" s="36">
        <v>45397</v>
      </c>
      <c r="AI331" s="36"/>
      <c r="AJ331" s="36"/>
      <c r="AK331" s="36"/>
      <c r="AL331" s="36"/>
      <c r="AM331" s="46"/>
      <c r="AN331" s="40"/>
      <c r="AO331" s="40"/>
      <c r="AP331" s="40"/>
      <c r="AQ331" s="40"/>
      <c r="AR331" s="48"/>
      <c r="AS331" s="37"/>
      <c r="AT331" s="37"/>
      <c r="AU331" s="47"/>
      <c r="AV331" s="37"/>
      <c r="AW331" s="37">
        <v>10</v>
      </c>
      <c r="AX331" s="30">
        <f>(J331*10)/100</f>
        <v>2340.8000000000002</v>
      </c>
      <c r="AY331" s="40" t="s">
        <v>431</v>
      </c>
    </row>
    <row r="332" spans="1:51" ht="39" customHeight="1" x14ac:dyDescent="0.25">
      <c r="A332" s="59" t="s">
        <v>2126</v>
      </c>
      <c r="B332" s="60">
        <v>45330</v>
      </c>
      <c r="C332" s="40" t="s">
        <v>2052</v>
      </c>
      <c r="D332" s="37" t="s">
        <v>431</v>
      </c>
      <c r="E332" s="39" t="s">
        <v>2127</v>
      </c>
      <c r="F332" s="37" t="s">
        <v>431</v>
      </c>
      <c r="G332" s="37" t="s">
        <v>431</v>
      </c>
      <c r="H332" s="37" t="s">
        <v>431</v>
      </c>
      <c r="I332" s="62" t="s">
        <v>1819</v>
      </c>
      <c r="J332" s="61">
        <v>36465</v>
      </c>
      <c r="K332" s="41">
        <v>0</v>
      </c>
      <c r="L332" s="54">
        <v>0</v>
      </c>
      <c r="M332" s="54">
        <v>0</v>
      </c>
      <c r="N332" s="42">
        <f t="shared" si="51"/>
        <v>100</v>
      </c>
      <c r="O332" s="43">
        <f t="shared" si="54"/>
        <v>36465</v>
      </c>
      <c r="P332" s="41"/>
      <c r="Q332" s="43">
        <f t="shared" si="55"/>
        <v>36465</v>
      </c>
      <c r="R332" s="41">
        <v>0</v>
      </c>
      <c r="S332" s="30">
        <f t="shared" si="50"/>
        <v>0</v>
      </c>
      <c r="T332" s="30">
        <f t="shared" si="50"/>
        <v>0</v>
      </c>
      <c r="U332" s="30" t="e">
        <f>T332/X332</f>
        <v>#DIV/0!</v>
      </c>
      <c r="V332" s="41" t="e">
        <f>T332/X332</f>
        <v>#DIV/0!</v>
      </c>
      <c r="W332" s="41" t="e">
        <f>V332*AU332</f>
        <v>#DIV/0!</v>
      </c>
      <c r="X332" s="41">
        <f t="shared" si="56"/>
        <v>0</v>
      </c>
      <c r="Y332" s="41">
        <v>0</v>
      </c>
      <c r="Z332" s="41">
        <v>0</v>
      </c>
      <c r="AA332" s="41">
        <v>0</v>
      </c>
      <c r="AB332" s="41"/>
      <c r="AC332" s="41" t="e">
        <f t="shared" si="52"/>
        <v>#DIV/0!</v>
      </c>
      <c r="AD332" s="41"/>
      <c r="AE332" s="41" t="e">
        <f t="shared" si="53"/>
        <v>#DIV/0!</v>
      </c>
      <c r="AF332" s="41" t="e">
        <f>X332/AU332</f>
        <v>#DIV/0!</v>
      </c>
      <c r="AG332" s="41" t="e">
        <f t="shared" si="49"/>
        <v>#DIV/0!</v>
      </c>
      <c r="AH332" s="36">
        <v>45397</v>
      </c>
      <c r="AI332" s="36"/>
      <c r="AJ332" s="36"/>
      <c r="AK332" s="36"/>
      <c r="AL332" s="36"/>
      <c r="AM332" s="46"/>
      <c r="AN332" s="40"/>
      <c r="AO332" s="40"/>
      <c r="AP332" s="40"/>
      <c r="AQ332" s="40"/>
      <c r="AR332" s="48"/>
      <c r="AS332" s="37"/>
      <c r="AT332" s="37"/>
      <c r="AU332" s="47"/>
      <c r="AV332" s="37"/>
      <c r="AW332" s="37">
        <v>10</v>
      </c>
      <c r="AX332" s="30">
        <f>(J332*10)/100</f>
        <v>3646.5</v>
      </c>
      <c r="AY332" s="40" t="s">
        <v>431</v>
      </c>
    </row>
    <row r="333" spans="1:51" ht="41.25" customHeight="1" x14ac:dyDescent="0.25">
      <c r="A333" s="59" t="s">
        <v>2128</v>
      </c>
      <c r="B333" s="60">
        <v>45330</v>
      </c>
      <c r="C333" s="40" t="s">
        <v>2060</v>
      </c>
      <c r="D333" s="35" t="s">
        <v>2129</v>
      </c>
      <c r="E333" s="39" t="s">
        <v>2130</v>
      </c>
      <c r="F333" s="36">
        <v>45342</v>
      </c>
      <c r="G333" s="37" t="s">
        <v>2131</v>
      </c>
      <c r="H333" s="40" t="s">
        <v>1115</v>
      </c>
      <c r="I333" s="62" t="s">
        <v>2132</v>
      </c>
      <c r="J333" s="61">
        <v>198000</v>
      </c>
      <c r="K333" s="41">
        <v>0</v>
      </c>
      <c r="L333" s="54">
        <v>0</v>
      </c>
      <c r="M333" s="54">
        <v>0</v>
      </c>
      <c r="N333" s="42">
        <f t="shared" si="51"/>
        <v>0</v>
      </c>
      <c r="O333" s="43">
        <f t="shared" si="54"/>
        <v>0</v>
      </c>
      <c r="P333" s="61">
        <v>198000</v>
      </c>
      <c r="Q333" s="43">
        <f t="shared" si="55"/>
        <v>0</v>
      </c>
      <c r="R333" s="61">
        <v>198000</v>
      </c>
      <c r="S333" s="30">
        <f t="shared" si="50"/>
        <v>198000</v>
      </c>
      <c r="T333" s="30">
        <f t="shared" si="50"/>
        <v>198000</v>
      </c>
      <c r="U333" s="30">
        <f>T333/X333</f>
        <v>396</v>
      </c>
      <c r="V333" s="41">
        <f>T333/X333</f>
        <v>396</v>
      </c>
      <c r="W333" s="41">
        <f>V333*AU333</f>
        <v>39600</v>
      </c>
      <c r="X333" s="41">
        <f t="shared" si="56"/>
        <v>500</v>
      </c>
      <c r="Y333" s="41">
        <v>500</v>
      </c>
      <c r="Z333" s="41">
        <v>0</v>
      </c>
      <c r="AA333" s="41">
        <v>0</v>
      </c>
      <c r="AB333" s="41">
        <v>0</v>
      </c>
      <c r="AC333" s="41">
        <f t="shared" si="52"/>
        <v>0</v>
      </c>
      <c r="AD333" s="41">
        <v>0</v>
      </c>
      <c r="AE333" s="41">
        <f t="shared" si="53"/>
        <v>0</v>
      </c>
      <c r="AF333" s="41">
        <f>X333/AU333</f>
        <v>5</v>
      </c>
      <c r="AG333" s="41">
        <f t="shared" si="49"/>
        <v>5</v>
      </c>
      <c r="AH333" s="36">
        <v>45397</v>
      </c>
      <c r="AI333" s="36"/>
      <c r="AJ333" s="36"/>
      <c r="AK333" s="36">
        <v>45427</v>
      </c>
      <c r="AL333" s="36"/>
      <c r="AM333" s="46"/>
      <c r="AN333" s="40" t="s">
        <v>2011</v>
      </c>
      <c r="AO333" s="40" t="s">
        <v>2012</v>
      </c>
      <c r="AP333" s="40" t="s">
        <v>2013</v>
      </c>
      <c r="AQ333" s="40" t="s">
        <v>80</v>
      </c>
      <c r="AR333" s="48">
        <v>100</v>
      </c>
      <c r="AS333" s="37">
        <v>0</v>
      </c>
      <c r="AT333" s="37" t="s">
        <v>386</v>
      </c>
      <c r="AU333" s="47">
        <v>100</v>
      </c>
      <c r="AV333" s="37" t="s">
        <v>219</v>
      </c>
      <c r="AW333" s="37">
        <v>10</v>
      </c>
      <c r="AX333" s="30">
        <f>(J333*10)/100</f>
        <v>19800</v>
      </c>
      <c r="AY333" s="40" t="s">
        <v>402</v>
      </c>
    </row>
    <row r="334" spans="1:51" ht="41.25" customHeight="1" x14ac:dyDescent="0.25">
      <c r="A334" s="35" t="s">
        <v>2133</v>
      </c>
      <c r="B334" s="36">
        <v>45331</v>
      </c>
      <c r="C334" s="40" t="s">
        <v>2060</v>
      </c>
      <c r="D334" s="35"/>
      <c r="E334" s="39" t="s">
        <v>2134</v>
      </c>
      <c r="F334" s="36">
        <v>45343</v>
      </c>
      <c r="G334" s="37" t="s">
        <v>2135</v>
      </c>
      <c r="H334" s="40" t="s">
        <v>1115</v>
      </c>
      <c r="I334" s="63" t="s">
        <v>2048</v>
      </c>
      <c r="J334" s="41">
        <v>148830</v>
      </c>
      <c r="K334" s="41">
        <v>0</v>
      </c>
      <c r="L334" s="54">
        <v>0</v>
      </c>
      <c r="M334" s="54">
        <v>0</v>
      </c>
      <c r="N334" s="42">
        <f t="shared" si="51"/>
        <v>0</v>
      </c>
      <c r="O334" s="43">
        <f t="shared" si="54"/>
        <v>0</v>
      </c>
      <c r="P334" s="41">
        <v>148830</v>
      </c>
      <c r="Q334" s="43">
        <f t="shared" si="55"/>
        <v>0</v>
      </c>
      <c r="R334" s="41">
        <v>148830</v>
      </c>
      <c r="S334" s="30">
        <f t="shared" si="50"/>
        <v>148830</v>
      </c>
      <c r="T334" s="30">
        <f t="shared" si="50"/>
        <v>148830</v>
      </c>
      <c r="U334" s="30">
        <f>T334/X334</f>
        <v>180.4</v>
      </c>
      <c r="V334" s="41">
        <f>T334/X334</f>
        <v>180.4</v>
      </c>
      <c r="W334" s="41">
        <f>V334*AU334</f>
        <v>135.30000000000001</v>
      </c>
      <c r="X334" s="41">
        <f t="shared" si="56"/>
        <v>825</v>
      </c>
      <c r="Y334" s="41">
        <v>825</v>
      </c>
      <c r="Z334" s="41">
        <v>0</v>
      </c>
      <c r="AA334" s="41">
        <v>0</v>
      </c>
      <c r="AB334" s="41">
        <v>0</v>
      </c>
      <c r="AC334" s="41">
        <f t="shared" si="52"/>
        <v>0</v>
      </c>
      <c r="AD334" s="41">
        <v>0</v>
      </c>
      <c r="AE334" s="41">
        <f t="shared" si="53"/>
        <v>0</v>
      </c>
      <c r="AF334" s="41">
        <f>X334/AU334</f>
        <v>1100</v>
      </c>
      <c r="AG334" s="41">
        <f t="shared" si="49"/>
        <v>1100</v>
      </c>
      <c r="AH334" s="36">
        <v>45397</v>
      </c>
      <c r="AI334" s="36"/>
      <c r="AJ334" s="36"/>
      <c r="AK334" s="36">
        <v>45427</v>
      </c>
      <c r="AL334" s="36"/>
      <c r="AM334" s="46"/>
      <c r="AN334" s="40" t="s">
        <v>2034</v>
      </c>
      <c r="AO334" s="40" t="s">
        <v>2049</v>
      </c>
      <c r="AP334" s="40" t="s">
        <v>2036</v>
      </c>
      <c r="AQ334" s="40" t="s">
        <v>80</v>
      </c>
      <c r="AR334" s="48">
        <v>100</v>
      </c>
      <c r="AS334" s="37">
        <v>0</v>
      </c>
      <c r="AT334" s="37" t="s">
        <v>343</v>
      </c>
      <c r="AU334" s="41">
        <v>0.75</v>
      </c>
      <c r="AV334" s="37" t="s">
        <v>219</v>
      </c>
      <c r="AW334" s="37">
        <v>10</v>
      </c>
      <c r="AX334" s="30">
        <f>(J334*10)/100</f>
        <v>14883</v>
      </c>
      <c r="AY334" s="40" t="s">
        <v>402</v>
      </c>
    </row>
    <row r="335" spans="1:51" ht="41.25" customHeight="1" x14ac:dyDescent="0.25">
      <c r="A335" s="35" t="s">
        <v>2136</v>
      </c>
      <c r="B335" s="36">
        <v>45331</v>
      </c>
      <c r="C335" s="40" t="s">
        <v>2052</v>
      </c>
      <c r="D335" s="37" t="s">
        <v>431</v>
      </c>
      <c r="E335" s="39" t="s">
        <v>2137</v>
      </c>
      <c r="F335" s="37" t="s">
        <v>431</v>
      </c>
      <c r="G335" s="37" t="s">
        <v>431</v>
      </c>
      <c r="H335" s="37" t="s">
        <v>431</v>
      </c>
      <c r="I335" s="55" t="s">
        <v>1546</v>
      </c>
      <c r="J335" s="41">
        <v>48859.199999999997</v>
      </c>
      <c r="K335" s="41">
        <v>0</v>
      </c>
      <c r="L335" s="54">
        <v>0</v>
      </c>
      <c r="M335" s="54">
        <v>0</v>
      </c>
      <c r="N335" s="42">
        <f t="shared" si="51"/>
        <v>100</v>
      </c>
      <c r="O335" s="43">
        <f t="shared" si="54"/>
        <v>48859.199999999997</v>
      </c>
      <c r="P335" s="41"/>
      <c r="Q335" s="43">
        <f t="shared" si="55"/>
        <v>48859.199999999997</v>
      </c>
      <c r="R335" s="41">
        <v>0</v>
      </c>
      <c r="S335" s="30">
        <f t="shared" si="50"/>
        <v>0</v>
      </c>
      <c r="T335" s="30">
        <f t="shared" si="50"/>
        <v>0</v>
      </c>
      <c r="U335" s="30" t="e">
        <f>T335/X335</f>
        <v>#DIV/0!</v>
      </c>
      <c r="V335" s="41" t="e">
        <f>T335/X335</f>
        <v>#DIV/0!</v>
      </c>
      <c r="W335" s="41" t="e">
        <f>V335*AU335</f>
        <v>#DIV/0!</v>
      </c>
      <c r="X335" s="41">
        <f t="shared" si="56"/>
        <v>0</v>
      </c>
      <c r="Y335" s="41">
        <v>0</v>
      </c>
      <c r="Z335" s="41">
        <v>0</v>
      </c>
      <c r="AA335" s="41">
        <v>0</v>
      </c>
      <c r="AB335" s="41"/>
      <c r="AC335" s="41" t="e">
        <f t="shared" si="52"/>
        <v>#DIV/0!</v>
      </c>
      <c r="AD335" s="41"/>
      <c r="AE335" s="41" t="e">
        <f t="shared" si="53"/>
        <v>#DIV/0!</v>
      </c>
      <c r="AF335" s="41" t="e">
        <f>X335/AU335</f>
        <v>#DIV/0!</v>
      </c>
      <c r="AG335" s="41" t="e">
        <f t="shared" ref="AG335:AG398" si="57">_xlfn.CEILING.MATH(AF335)</f>
        <v>#DIV/0!</v>
      </c>
      <c r="AH335" s="36">
        <v>45397</v>
      </c>
      <c r="AI335" s="36"/>
      <c r="AJ335" s="36"/>
      <c r="AK335" s="36"/>
      <c r="AL335" s="36"/>
      <c r="AM335" s="46"/>
      <c r="AN335" s="40"/>
      <c r="AO335" s="40"/>
      <c r="AP335" s="40"/>
      <c r="AQ335" s="40"/>
      <c r="AR335" s="48"/>
      <c r="AS335" s="37"/>
      <c r="AT335" s="37"/>
      <c r="AU335" s="47"/>
      <c r="AV335" s="37"/>
      <c r="AW335" s="37">
        <v>10</v>
      </c>
      <c r="AX335" s="30">
        <f>(J335*10)/100</f>
        <v>4885.92</v>
      </c>
      <c r="AY335" s="40" t="s">
        <v>431</v>
      </c>
    </row>
    <row r="336" spans="1:51" ht="41.25" customHeight="1" x14ac:dyDescent="0.25">
      <c r="A336" s="35" t="s">
        <v>2138</v>
      </c>
      <c r="B336" s="36">
        <v>45331</v>
      </c>
      <c r="C336" s="40" t="s">
        <v>2052</v>
      </c>
      <c r="D336" s="37" t="s">
        <v>431</v>
      </c>
      <c r="E336" s="39" t="s">
        <v>2139</v>
      </c>
      <c r="F336" s="37" t="s">
        <v>431</v>
      </c>
      <c r="G336" s="37" t="s">
        <v>431</v>
      </c>
      <c r="H336" s="37" t="s">
        <v>431</v>
      </c>
      <c r="I336" s="63" t="s">
        <v>2140</v>
      </c>
      <c r="J336" s="41">
        <v>10567.2</v>
      </c>
      <c r="K336" s="41">
        <v>0</v>
      </c>
      <c r="L336" s="54">
        <v>0</v>
      </c>
      <c r="M336" s="54">
        <v>0</v>
      </c>
      <c r="N336" s="42">
        <f t="shared" si="51"/>
        <v>100</v>
      </c>
      <c r="O336" s="43">
        <f t="shared" si="54"/>
        <v>10567.2</v>
      </c>
      <c r="P336" s="41"/>
      <c r="Q336" s="43">
        <f t="shared" si="55"/>
        <v>10567.2</v>
      </c>
      <c r="R336" s="41">
        <v>0</v>
      </c>
      <c r="S336" s="30">
        <f t="shared" si="50"/>
        <v>0</v>
      </c>
      <c r="T336" s="30">
        <f t="shared" si="50"/>
        <v>0</v>
      </c>
      <c r="U336" s="30" t="e">
        <f>T336/X336</f>
        <v>#DIV/0!</v>
      </c>
      <c r="V336" s="41" t="e">
        <f>T336/X336</f>
        <v>#DIV/0!</v>
      </c>
      <c r="W336" s="41" t="e">
        <f>V336*AU336</f>
        <v>#DIV/0!</v>
      </c>
      <c r="X336" s="41">
        <f t="shared" si="56"/>
        <v>0</v>
      </c>
      <c r="Y336" s="41">
        <v>0</v>
      </c>
      <c r="Z336" s="41">
        <v>0</v>
      </c>
      <c r="AA336" s="41">
        <v>0</v>
      </c>
      <c r="AB336" s="41"/>
      <c r="AC336" s="41" t="e">
        <f t="shared" si="52"/>
        <v>#DIV/0!</v>
      </c>
      <c r="AD336" s="41"/>
      <c r="AE336" s="41" t="e">
        <f t="shared" si="53"/>
        <v>#DIV/0!</v>
      </c>
      <c r="AF336" s="41" t="e">
        <f>X336/AU336</f>
        <v>#DIV/0!</v>
      </c>
      <c r="AG336" s="41" t="e">
        <f t="shared" si="57"/>
        <v>#DIV/0!</v>
      </c>
      <c r="AH336" s="36">
        <v>45397</v>
      </c>
      <c r="AI336" s="36"/>
      <c r="AJ336" s="36"/>
      <c r="AK336" s="36"/>
      <c r="AL336" s="36"/>
      <c r="AM336" s="46"/>
      <c r="AN336" s="40"/>
      <c r="AO336" s="40"/>
      <c r="AP336" s="40"/>
      <c r="AQ336" s="40"/>
      <c r="AR336" s="48"/>
      <c r="AS336" s="37"/>
      <c r="AT336" s="37"/>
      <c r="AU336" s="47"/>
      <c r="AV336" s="37"/>
      <c r="AW336" s="37">
        <v>10</v>
      </c>
      <c r="AX336" s="30">
        <f>(J336*10)/100</f>
        <v>1056.72</v>
      </c>
      <c r="AY336" s="40" t="s">
        <v>431</v>
      </c>
    </row>
    <row r="337" spans="1:51" ht="41.25" customHeight="1" x14ac:dyDescent="0.25">
      <c r="A337" s="35" t="s">
        <v>2141</v>
      </c>
      <c r="B337" s="36">
        <v>45331</v>
      </c>
      <c r="C337" s="40" t="s">
        <v>2060</v>
      </c>
      <c r="D337" s="37" t="s">
        <v>431</v>
      </c>
      <c r="E337" s="39" t="s">
        <v>2142</v>
      </c>
      <c r="F337" s="37" t="s">
        <v>431</v>
      </c>
      <c r="G337" s="37" t="s">
        <v>431</v>
      </c>
      <c r="H337" s="37" t="s">
        <v>431</v>
      </c>
      <c r="I337" s="63" t="s">
        <v>2119</v>
      </c>
      <c r="J337" s="41">
        <v>524851.19999999995</v>
      </c>
      <c r="K337" s="41">
        <v>0</v>
      </c>
      <c r="L337" s="54">
        <v>0</v>
      </c>
      <c r="M337" s="54">
        <v>0</v>
      </c>
      <c r="N337" s="42">
        <f t="shared" si="51"/>
        <v>100</v>
      </c>
      <c r="O337" s="43">
        <f t="shared" si="54"/>
        <v>524851.19999999995</v>
      </c>
      <c r="P337" s="41"/>
      <c r="Q337" s="43">
        <f t="shared" si="55"/>
        <v>524851.19999999995</v>
      </c>
      <c r="R337" s="41">
        <v>0</v>
      </c>
      <c r="S337" s="30">
        <f t="shared" si="50"/>
        <v>0</v>
      </c>
      <c r="T337" s="30">
        <f t="shared" si="50"/>
        <v>0</v>
      </c>
      <c r="U337" s="30" t="e">
        <f>T337/X337</f>
        <v>#DIV/0!</v>
      </c>
      <c r="V337" s="41" t="e">
        <f>T337/X337</f>
        <v>#DIV/0!</v>
      </c>
      <c r="W337" s="41" t="e">
        <f>V337*AU337</f>
        <v>#DIV/0!</v>
      </c>
      <c r="X337" s="41">
        <f t="shared" si="56"/>
        <v>0</v>
      </c>
      <c r="Y337" s="41">
        <v>0</v>
      </c>
      <c r="Z337" s="41">
        <v>0</v>
      </c>
      <c r="AA337" s="41">
        <v>0</v>
      </c>
      <c r="AB337" s="41"/>
      <c r="AC337" s="41" t="e">
        <f t="shared" si="52"/>
        <v>#DIV/0!</v>
      </c>
      <c r="AD337" s="41"/>
      <c r="AE337" s="41" t="e">
        <f t="shared" si="53"/>
        <v>#DIV/0!</v>
      </c>
      <c r="AF337" s="41" t="e">
        <f>X337/AU337</f>
        <v>#DIV/0!</v>
      </c>
      <c r="AG337" s="41" t="e">
        <f t="shared" si="57"/>
        <v>#DIV/0!</v>
      </c>
      <c r="AH337" s="36">
        <v>45397</v>
      </c>
      <c r="AI337" s="36"/>
      <c r="AJ337" s="36"/>
      <c r="AK337" s="36"/>
      <c r="AL337" s="36"/>
      <c r="AM337" s="46"/>
      <c r="AN337" s="40"/>
      <c r="AO337" s="40"/>
      <c r="AP337" s="40"/>
      <c r="AQ337" s="40"/>
      <c r="AR337" s="48"/>
      <c r="AS337" s="37"/>
      <c r="AT337" s="37"/>
      <c r="AU337" s="47"/>
      <c r="AV337" s="37"/>
      <c r="AW337" s="37">
        <v>10</v>
      </c>
      <c r="AX337" s="30">
        <f>(J337*10)/100</f>
        <v>52485.120000000003</v>
      </c>
      <c r="AY337" s="40" t="s">
        <v>431</v>
      </c>
    </row>
    <row r="338" spans="1:51" ht="41.25" customHeight="1" x14ac:dyDescent="0.25">
      <c r="A338" s="35" t="s">
        <v>2143</v>
      </c>
      <c r="B338" s="36">
        <v>45331</v>
      </c>
      <c r="C338" s="40" t="s">
        <v>2052</v>
      </c>
      <c r="D338" s="37" t="s">
        <v>431</v>
      </c>
      <c r="E338" s="39" t="s">
        <v>2144</v>
      </c>
      <c r="F338" s="37" t="s">
        <v>431</v>
      </c>
      <c r="G338" s="37" t="s">
        <v>431</v>
      </c>
      <c r="H338" s="37" t="s">
        <v>431</v>
      </c>
      <c r="I338" s="55" t="s">
        <v>1554</v>
      </c>
      <c r="J338" s="41">
        <v>3240237</v>
      </c>
      <c r="K338" s="41">
        <v>0</v>
      </c>
      <c r="L338" s="54">
        <v>0</v>
      </c>
      <c r="M338" s="54">
        <v>0</v>
      </c>
      <c r="N338" s="42">
        <f t="shared" si="51"/>
        <v>100</v>
      </c>
      <c r="O338" s="43">
        <f t="shared" si="54"/>
        <v>3240237</v>
      </c>
      <c r="P338" s="41"/>
      <c r="Q338" s="43">
        <f t="shared" si="55"/>
        <v>3240237</v>
      </c>
      <c r="R338" s="41">
        <v>0</v>
      </c>
      <c r="S338" s="30">
        <f t="shared" si="50"/>
        <v>0</v>
      </c>
      <c r="T338" s="30">
        <f t="shared" si="50"/>
        <v>0</v>
      </c>
      <c r="U338" s="30" t="e">
        <f>T338/X338</f>
        <v>#DIV/0!</v>
      </c>
      <c r="V338" s="41" t="e">
        <f>T338/X338</f>
        <v>#DIV/0!</v>
      </c>
      <c r="W338" s="41" t="e">
        <f>V338*AU338</f>
        <v>#DIV/0!</v>
      </c>
      <c r="X338" s="41">
        <f t="shared" si="56"/>
        <v>0</v>
      </c>
      <c r="Y338" s="41">
        <v>0</v>
      </c>
      <c r="Z338" s="41">
        <v>0</v>
      </c>
      <c r="AA338" s="41">
        <v>0</v>
      </c>
      <c r="AB338" s="41"/>
      <c r="AC338" s="41" t="e">
        <f t="shared" si="52"/>
        <v>#DIV/0!</v>
      </c>
      <c r="AD338" s="41"/>
      <c r="AE338" s="41" t="e">
        <f t="shared" si="53"/>
        <v>#DIV/0!</v>
      </c>
      <c r="AF338" s="41" t="e">
        <f>X338/AU338</f>
        <v>#DIV/0!</v>
      </c>
      <c r="AG338" s="41" t="e">
        <f t="shared" si="57"/>
        <v>#DIV/0!</v>
      </c>
      <c r="AH338" s="36">
        <v>45397</v>
      </c>
      <c r="AI338" s="36"/>
      <c r="AJ338" s="36"/>
      <c r="AK338" s="36"/>
      <c r="AL338" s="36"/>
      <c r="AM338" s="46"/>
      <c r="AN338" s="40"/>
      <c r="AO338" s="40"/>
      <c r="AP338" s="40"/>
      <c r="AQ338" s="40"/>
      <c r="AR338" s="48"/>
      <c r="AS338" s="37"/>
      <c r="AT338" s="37"/>
      <c r="AU338" s="47"/>
      <c r="AV338" s="37"/>
      <c r="AW338" s="37">
        <v>10</v>
      </c>
      <c r="AX338" s="30">
        <f>(J338*10)/100</f>
        <v>324023.7</v>
      </c>
      <c r="AY338" s="40" t="s">
        <v>431</v>
      </c>
    </row>
    <row r="339" spans="1:51" ht="41.25" customHeight="1" x14ac:dyDescent="0.25">
      <c r="A339" s="35" t="s">
        <v>2145</v>
      </c>
      <c r="B339" s="36">
        <v>45335</v>
      </c>
      <c r="C339" s="40">
        <v>545</v>
      </c>
      <c r="D339" s="37" t="s">
        <v>431</v>
      </c>
      <c r="E339" s="39" t="s">
        <v>2146</v>
      </c>
      <c r="F339" s="37" t="s">
        <v>431</v>
      </c>
      <c r="G339" s="37" t="s">
        <v>431</v>
      </c>
      <c r="H339" s="37" t="s">
        <v>431</v>
      </c>
      <c r="I339" s="55" t="s">
        <v>590</v>
      </c>
      <c r="J339" s="41">
        <v>11343735</v>
      </c>
      <c r="K339" s="41">
        <v>0</v>
      </c>
      <c r="L339" s="54">
        <v>0</v>
      </c>
      <c r="M339" s="54">
        <v>0</v>
      </c>
      <c r="N339" s="42">
        <f t="shared" si="51"/>
        <v>100</v>
      </c>
      <c r="O339" s="43">
        <f t="shared" si="54"/>
        <v>11343735</v>
      </c>
      <c r="P339" s="41"/>
      <c r="Q339" s="43">
        <f t="shared" si="55"/>
        <v>11343735</v>
      </c>
      <c r="R339" s="41">
        <v>0</v>
      </c>
      <c r="S339" s="30">
        <f t="shared" si="50"/>
        <v>0</v>
      </c>
      <c r="T339" s="30">
        <f t="shared" si="50"/>
        <v>0</v>
      </c>
      <c r="U339" s="30" t="e">
        <f>T339/X339</f>
        <v>#DIV/0!</v>
      </c>
      <c r="V339" s="41" t="e">
        <f>T339/X339</f>
        <v>#DIV/0!</v>
      </c>
      <c r="W339" s="41" t="e">
        <f>V339*AU339</f>
        <v>#DIV/0!</v>
      </c>
      <c r="X339" s="41">
        <f t="shared" si="56"/>
        <v>0</v>
      </c>
      <c r="Y339" s="41">
        <v>0</v>
      </c>
      <c r="Z339" s="41">
        <v>0</v>
      </c>
      <c r="AA339" s="41">
        <v>0</v>
      </c>
      <c r="AB339" s="41"/>
      <c r="AC339" s="41" t="e">
        <f t="shared" si="52"/>
        <v>#DIV/0!</v>
      </c>
      <c r="AD339" s="41"/>
      <c r="AE339" s="41" t="e">
        <f t="shared" si="53"/>
        <v>#DIV/0!</v>
      </c>
      <c r="AF339" s="41" t="e">
        <f>X339/AU339</f>
        <v>#DIV/0!</v>
      </c>
      <c r="AG339" s="41" t="e">
        <f t="shared" si="57"/>
        <v>#DIV/0!</v>
      </c>
      <c r="AH339" s="36">
        <v>45371</v>
      </c>
      <c r="AI339" s="36"/>
      <c r="AJ339" s="36"/>
      <c r="AK339" s="36"/>
      <c r="AL339" s="36"/>
      <c r="AM339" s="46"/>
      <c r="AN339" s="40"/>
      <c r="AO339" s="40"/>
      <c r="AP339" s="40"/>
      <c r="AQ339" s="40"/>
      <c r="AR339" s="48"/>
      <c r="AS339" s="37"/>
      <c r="AT339" s="37"/>
      <c r="AU339" s="47"/>
      <c r="AV339" s="37"/>
      <c r="AW339" s="37">
        <v>10</v>
      </c>
      <c r="AX339" s="30">
        <f>(J339*10)/100</f>
        <v>1134373.5</v>
      </c>
      <c r="AY339" s="40" t="s">
        <v>431</v>
      </c>
    </row>
    <row r="340" spans="1:51" ht="41.25" customHeight="1" x14ac:dyDescent="0.25">
      <c r="A340" s="35" t="s">
        <v>2147</v>
      </c>
      <c r="B340" s="36">
        <v>45335</v>
      </c>
      <c r="C340" s="40" t="s">
        <v>2052</v>
      </c>
      <c r="D340" s="37" t="s">
        <v>431</v>
      </c>
      <c r="E340" s="39" t="s">
        <v>2148</v>
      </c>
      <c r="F340" s="37" t="s">
        <v>431</v>
      </c>
      <c r="G340" s="37" t="s">
        <v>431</v>
      </c>
      <c r="H340" s="37" t="s">
        <v>431</v>
      </c>
      <c r="I340" s="55" t="s">
        <v>1260</v>
      </c>
      <c r="J340" s="41">
        <v>92692.800000000003</v>
      </c>
      <c r="K340" s="41">
        <v>0</v>
      </c>
      <c r="L340" s="54">
        <v>0</v>
      </c>
      <c r="M340" s="54">
        <v>0</v>
      </c>
      <c r="N340" s="42">
        <f t="shared" si="51"/>
        <v>100</v>
      </c>
      <c r="O340" s="43">
        <f t="shared" si="54"/>
        <v>92692.800000000003</v>
      </c>
      <c r="P340" s="41"/>
      <c r="Q340" s="43">
        <f t="shared" si="55"/>
        <v>92692.800000000003</v>
      </c>
      <c r="R340" s="41">
        <v>0</v>
      </c>
      <c r="S340" s="30">
        <f t="shared" si="50"/>
        <v>0</v>
      </c>
      <c r="T340" s="30">
        <f t="shared" si="50"/>
        <v>0</v>
      </c>
      <c r="U340" s="30" t="e">
        <f>T340/X340</f>
        <v>#DIV/0!</v>
      </c>
      <c r="V340" s="41" t="e">
        <f>T340/X340</f>
        <v>#DIV/0!</v>
      </c>
      <c r="W340" s="41" t="e">
        <f>V340*AU340</f>
        <v>#DIV/0!</v>
      </c>
      <c r="X340" s="41">
        <f t="shared" si="56"/>
        <v>0</v>
      </c>
      <c r="Y340" s="41">
        <v>0</v>
      </c>
      <c r="Z340" s="41">
        <v>0</v>
      </c>
      <c r="AA340" s="41">
        <v>0</v>
      </c>
      <c r="AB340" s="41"/>
      <c r="AC340" s="41" t="e">
        <f t="shared" si="52"/>
        <v>#DIV/0!</v>
      </c>
      <c r="AD340" s="41"/>
      <c r="AE340" s="41" t="e">
        <f t="shared" si="53"/>
        <v>#DIV/0!</v>
      </c>
      <c r="AF340" s="41" t="e">
        <f>X340/AU340</f>
        <v>#DIV/0!</v>
      </c>
      <c r="AG340" s="41" t="e">
        <f t="shared" si="57"/>
        <v>#DIV/0!</v>
      </c>
      <c r="AH340" s="36">
        <v>45505</v>
      </c>
      <c r="AI340" s="36"/>
      <c r="AJ340" s="36"/>
      <c r="AK340" s="36"/>
      <c r="AL340" s="36"/>
      <c r="AM340" s="46"/>
      <c r="AN340" s="40"/>
      <c r="AO340" s="40"/>
      <c r="AP340" s="40"/>
      <c r="AQ340" s="40"/>
      <c r="AR340" s="48"/>
      <c r="AS340" s="37"/>
      <c r="AT340" s="37"/>
      <c r="AU340" s="47"/>
      <c r="AV340" s="37"/>
      <c r="AW340" s="37">
        <v>10</v>
      </c>
      <c r="AX340" s="30">
        <f>(J340*10)/100</f>
        <v>9269.2800000000007</v>
      </c>
      <c r="AY340" s="40" t="s">
        <v>431</v>
      </c>
    </row>
    <row r="341" spans="1:51" ht="41.25" customHeight="1" x14ac:dyDescent="0.25">
      <c r="A341" s="35" t="s">
        <v>2149</v>
      </c>
      <c r="B341" s="36">
        <v>45335</v>
      </c>
      <c r="C341" s="37" t="s">
        <v>432</v>
      </c>
      <c r="D341" s="37" t="s">
        <v>431</v>
      </c>
      <c r="E341" s="39" t="s">
        <v>2150</v>
      </c>
      <c r="F341" s="37" t="s">
        <v>431</v>
      </c>
      <c r="G341" s="37" t="s">
        <v>431</v>
      </c>
      <c r="H341" s="37" t="s">
        <v>431</v>
      </c>
      <c r="I341" s="63" t="s">
        <v>1632</v>
      </c>
      <c r="J341" s="41">
        <v>45744464.399999999</v>
      </c>
      <c r="K341" s="41">
        <v>0</v>
      </c>
      <c r="L341" s="54">
        <v>0</v>
      </c>
      <c r="M341" s="54">
        <v>0</v>
      </c>
      <c r="N341" s="42">
        <f t="shared" si="51"/>
        <v>100</v>
      </c>
      <c r="O341" s="43">
        <f t="shared" si="54"/>
        <v>45744464.399999999</v>
      </c>
      <c r="P341" s="41"/>
      <c r="Q341" s="43">
        <f t="shared" si="55"/>
        <v>45744464.399999999</v>
      </c>
      <c r="R341" s="41">
        <v>0</v>
      </c>
      <c r="S341" s="30">
        <f t="shared" si="50"/>
        <v>0</v>
      </c>
      <c r="T341" s="30">
        <f t="shared" si="50"/>
        <v>0</v>
      </c>
      <c r="U341" s="30" t="e">
        <f>T341/X341</f>
        <v>#DIV/0!</v>
      </c>
      <c r="V341" s="41" t="e">
        <f>T341/X341</f>
        <v>#DIV/0!</v>
      </c>
      <c r="W341" s="41" t="e">
        <f>V341*AU341</f>
        <v>#DIV/0!</v>
      </c>
      <c r="X341" s="41">
        <f t="shared" si="56"/>
        <v>0</v>
      </c>
      <c r="Y341" s="41">
        <v>0</v>
      </c>
      <c r="Z341" s="41">
        <v>0</v>
      </c>
      <c r="AA341" s="41">
        <v>0</v>
      </c>
      <c r="AB341" s="41"/>
      <c r="AC341" s="41" t="e">
        <f t="shared" si="52"/>
        <v>#DIV/0!</v>
      </c>
      <c r="AD341" s="41"/>
      <c r="AE341" s="41" t="e">
        <f t="shared" si="53"/>
        <v>#DIV/0!</v>
      </c>
      <c r="AF341" s="41" t="e">
        <f>X341/AU341</f>
        <v>#DIV/0!</v>
      </c>
      <c r="AG341" s="41" t="e">
        <f t="shared" si="57"/>
        <v>#DIV/0!</v>
      </c>
      <c r="AH341" s="36">
        <v>45397</v>
      </c>
      <c r="AI341" s="36"/>
      <c r="AJ341" s="36"/>
      <c r="AK341" s="36"/>
      <c r="AL341" s="36"/>
      <c r="AM341" s="46"/>
      <c r="AN341" s="40"/>
      <c r="AO341" s="40"/>
      <c r="AP341" s="40"/>
      <c r="AQ341" s="40"/>
      <c r="AR341" s="48"/>
      <c r="AS341" s="37"/>
      <c r="AT341" s="37"/>
      <c r="AU341" s="47"/>
      <c r="AV341" s="37"/>
      <c r="AW341" s="37">
        <v>10</v>
      </c>
      <c r="AX341" s="30">
        <f>(J341*10)/100</f>
        <v>4574446.4400000004</v>
      </c>
      <c r="AY341" s="40" t="s">
        <v>431</v>
      </c>
    </row>
    <row r="342" spans="1:51" ht="41.25" customHeight="1" x14ac:dyDescent="0.25">
      <c r="A342" s="35" t="s">
        <v>2151</v>
      </c>
      <c r="B342" s="36">
        <v>45335</v>
      </c>
      <c r="C342" s="37" t="s">
        <v>432</v>
      </c>
      <c r="D342" s="35"/>
      <c r="E342" s="39" t="s">
        <v>2152</v>
      </c>
      <c r="F342" s="36">
        <v>45355</v>
      </c>
      <c r="G342" s="37" t="s">
        <v>2153</v>
      </c>
      <c r="H342" s="40" t="s">
        <v>1115</v>
      </c>
      <c r="I342" s="63" t="s">
        <v>1876</v>
      </c>
      <c r="J342" s="41">
        <v>48392919</v>
      </c>
      <c r="K342" s="41">
        <v>0</v>
      </c>
      <c r="L342" s="54">
        <v>0</v>
      </c>
      <c r="M342" s="54">
        <v>0</v>
      </c>
      <c r="N342" s="42">
        <f t="shared" si="51"/>
        <v>0</v>
      </c>
      <c r="O342" s="43">
        <f t="shared" si="54"/>
        <v>0</v>
      </c>
      <c r="P342" s="41">
        <v>48392919</v>
      </c>
      <c r="Q342" s="43">
        <f t="shared" si="55"/>
        <v>0</v>
      </c>
      <c r="R342" s="41">
        <v>48392919</v>
      </c>
      <c r="S342" s="30">
        <f t="shared" si="50"/>
        <v>48392919</v>
      </c>
      <c r="T342" s="30">
        <f t="shared" si="50"/>
        <v>48392919</v>
      </c>
      <c r="U342" s="30">
        <f>T342/X342</f>
        <v>206.94</v>
      </c>
      <c r="V342" s="41">
        <f>T342/X342</f>
        <v>206.94</v>
      </c>
      <c r="W342" s="41">
        <f>V342*AU342</f>
        <v>12416.4</v>
      </c>
      <c r="X342" s="41">
        <f t="shared" si="56"/>
        <v>233850</v>
      </c>
      <c r="Y342" s="41">
        <v>233850</v>
      </c>
      <c r="Z342" s="41">
        <v>0</v>
      </c>
      <c r="AA342" s="41">
        <v>0</v>
      </c>
      <c r="AB342" s="41">
        <v>0</v>
      </c>
      <c r="AC342" s="41">
        <f t="shared" si="52"/>
        <v>0</v>
      </c>
      <c r="AD342" s="41">
        <v>0</v>
      </c>
      <c r="AE342" s="41">
        <f t="shared" si="53"/>
        <v>0</v>
      </c>
      <c r="AF342" s="41">
        <f>X342/AU342</f>
        <v>3897.5</v>
      </c>
      <c r="AG342" s="41">
        <f t="shared" si="57"/>
        <v>3898</v>
      </c>
      <c r="AH342" s="36">
        <v>45397</v>
      </c>
      <c r="AI342" s="36"/>
      <c r="AJ342" s="36"/>
      <c r="AK342" s="36">
        <v>45427</v>
      </c>
      <c r="AL342" s="36"/>
      <c r="AM342" s="46"/>
      <c r="AN342" s="40" t="s">
        <v>2154</v>
      </c>
      <c r="AO342" s="40" t="s">
        <v>2155</v>
      </c>
      <c r="AP342" s="40" t="s">
        <v>2156</v>
      </c>
      <c r="AQ342" s="40" t="s">
        <v>80</v>
      </c>
      <c r="AR342" s="48">
        <v>100</v>
      </c>
      <c r="AS342" s="37">
        <v>0</v>
      </c>
      <c r="AT342" s="37" t="s">
        <v>386</v>
      </c>
      <c r="AU342" s="47">
        <v>60</v>
      </c>
      <c r="AV342" s="37" t="s">
        <v>60</v>
      </c>
      <c r="AW342" s="37">
        <v>10</v>
      </c>
      <c r="AX342" s="30">
        <f>(J342*10)/100</f>
        <v>4839291.9000000004</v>
      </c>
      <c r="AY342" s="40" t="s">
        <v>402</v>
      </c>
    </row>
    <row r="343" spans="1:51" ht="41.25" customHeight="1" x14ac:dyDescent="0.25">
      <c r="A343" s="35" t="s">
        <v>2157</v>
      </c>
      <c r="B343" s="36">
        <v>45335</v>
      </c>
      <c r="C343" s="37" t="s">
        <v>432</v>
      </c>
      <c r="D343" s="35" t="s">
        <v>431</v>
      </c>
      <c r="E343" s="39" t="s">
        <v>2158</v>
      </c>
      <c r="F343" s="35" t="s">
        <v>431</v>
      </c>
      <c r="G343" s="35" t="s">
        <v>431</v>
      </c>
      <c r="H343" s="35" t="s">
        <v>431</v>
      </c>
      <c r="I343" s="63" t="s">
        <v>1597</v>
      </c>
      <c r="J343" s="41">
        <v>126853650</v>
      </c>
      <c r="K343" s="41">
        <v>0</v>
      </c>
      <c r="L343" s="54">
        <v>0</v>
      </c>
      <c r="M343" s="54">
        <v>0</v>
      </c>
      <c r="N343" s="42">
        <f t="shared" si="51"/>
        <v>100</v>
      </c>
      <c r="O343" s="43">
        <f t="shared" si="54"/>
        <v>126853650</v>
      </c>
      <c r="P343" s="41"/>
      <c r="Q343" s="43">
        <f t="shared" si="55"/>
        <v>126853650</v>
      </c>
      <c r="R343" s="41">
        <v>0</v>
      </c>
      <c r="S343" s="30">
        <f t="shared" si="50"/>
        <v>0</v>
      </c>
      <c r="T343" s="30">
        <f t="shared" si="50"/>
        <v>0</v>
      </c>
      <c r="U343" s="30" t="e">
        <f>T343/X343</f>
        <v>#DIV/0!</v>
      </c>
      <c r="V343" s="41" t="e">
        <f>T343/X343</f>
        <v>#DIV/0!</v>
      </c>
      <c r="W343" s="41" t="e">
        <f>V343*AU343</f>
        <v>#DIV/0!</v>
      </c>
      <c r="X343" s="41">
        <f t="shared" si="56"/>
        <v>0</v>
      </c>
      <c r="Y343" s="41">
        <v>0</v>
      </c>
      <c r="Z343" s="41">
        <v>0</v>
      </c>
      <c r="AA343" s="41">
        <v>0</v>
      </c>
      <c r="AB343" s="41"/>
      <c r="AC343" s="41" t="e">
        <f t="shared" si="52"/>
        <v>#DIV/0!</v>
      </c>
      <c r="AD343" s="41"/>
      <c r="AE343" s="41" t="e">
        <f t="shared" si="53"/>
        <v>#DIV/0!</v>
      </c>
      <c r="AF343" s="41" t="e">
        <f>X343/AU343</f>
        <v>#DIV/0!</v>
      </c>
      <c r="AG343" s="41" t="e">
        <f t="shared" si="57"/>
        <v>#DIV/0!</v>
      </c>
      <c r="AH343" s="36">
        <v>45397</v>
      </c>
      <c r="AI343" s="36"/>
      <c r="AJ343" s="36"/>
      <c r="AK343" s="36"/>
      <c r="AL343" s="36"/>
      <c r="AM343" s="46"/>
      <c r="AN343" s="40"/>
      <c r="AO343" s="40"/>
      <c r="AP343" s="40"/>
      <c r="AQ343" s="40"/>
      <c r="AR343" s="48"/>
      <c r="AS343" s="37"/>
      <c r="AT343" s="37"/>
      <c r="AU343" s="47"/>
      <c r="AV343" s="37"/>
      <c r="AW343" s="37">
        <v>10</v>
      </c>
      <c r="AX343" s="30">
        <f>(J343*10)/100</f>
        <v>12685365</v>
      </c>
      <c r="AY343" s="40" t="s">
        <v>431</v>
      </c>
    </row>
    <row r="344" spans="1:51" ht="41.25" customHeight="1" x14ac:dyDescent="0.25">
      <c r="A344" s="35" t="s">
        <v>2159</v>
      </c>
      <c r="B344" s="36">
        <v>45335</v>
      </c>
      <c r="C344" s="37" t="s">
        <v>432</v>
      </c>
      <c r="D344" s="35"/>
      <c r="E344" s="39" t="s">
        <v>2160</v>
      </c>
      <c r="F344" s="36">
        <v>45355</v>
      </c>
      <c r="G344" s="37" t="s">
        <v>2161</v>
      </c>
      <c r="H344" s="40" t="s">
        <v>2162</v>
      </c>
      <c r="I344" s="63" t="s">
        <v>2163</v>
      </c>
      <c r="J344" s="41">
        <v>42046110</v>
      </c>
      <c r="K344" s="41">
        <v>0</v>
      </c>
      <c r="L344" s="54">
        <v>0</v>
      </c>
      <c r="M344" s="54">
        <v>0</v>
      </c>
      <c r="N344" s="42">
        <f t="shared" si="51"/>
        <v>0</v>
      </c>
      <c r="O344" s="43">
        <f t="shared" si="54"/>
        <v>0</v>
      </c>
      <c r="P344" s="41">
        <v>42046110</v>
      </c>
      <c r="Q344" s="43">
        <f t="shared" si="55"/>
        <v>0</v>
      </c>
      <c r="R344" s="41">
        <v>42046110</v>
      </c>
      <c r="S344" s="30">
        <f t="shared" ref="S344:T406" si="58">R344</f>
        <v>42046110</v>
      </c>
      <c r="T344" s="30">
        <f t="shared" si="58"/>
        <v>42046110</v>
      </c>
      <c r="U344" s="30">
        <f>T344/X344</f>
        <v>201.66</v>
      </c>
      <c r="V344" s="41">
        <f>T344/X344</f>
        <v>201.66</v>
      </c>
      <c r="W344" s="41">
        <f>V344*AU344</f>
        <v>6049.8</v>
      </c>
      <c r="X344" s="41">
        <f t="shared" si="56"/>
        <v>208500</v>
      </c>
      <c r="Y344" s="41">
        <v>208500</v>
      </c>
      <c r="Z344" s="41">
        <v>0</v>
      </c>
      <c r="AA344" s="41">
        <v>0</v>
      </c>
      <c r="AB344" s="41">
        <v>0</v>
      </c>
      <c r="AC344" s="41">
        <f t="shared" si="52"/>
        <v>0</v>
      </c>
      <c r="AD344" s="41">
        <v>0</v>
      </c>
      <c r="AE344" s="41">
        <f t="shared" si="53"/>
        <v>0</v>
      </c>
      <c r="AF344" s="41">
        <f>X344/AU344</f>
        <v>6950</v>
      </c>
      <c r="AG344" s="41">
        <f t="shared" si="57"/>
        <v>6950</v>
      </c>
      <c r="AH344" s="36">
        <v>45397</v>
      </c>
      <c r="AI344" s="36"/>
      <c r="AJ344" s="36"/>
      <c r="AK344" s="36">
        <v>45427</v>
      </c>
      <c r="AL344" s="36"/>
      <c r="AM344" s="46"/>
      <c r="AN344" s="40" t="s">
        <v>2164</v>
      </c>
      <c r="AO344" s="40" t="s">
        <v>2165</v>
      </c>
      <c r="AP344" s="40" t="s">
        <v>2166</v>
      </c>
      <c r="AQ344" s="40" t="s">
        <v>80</v>
      </c>
      <c r="AR344" s="48">
        <v>100</v>
      </c>
      <c r="AS344" s="37">
        <v>0</v>
      </c>
      <c r="AT344" s="37" t="s">
        <v>386</v>
      </c>
      <c r="AU344" s="47">
        <v>30</v>
      </c>
      <c r="AV344" s="37" t="s">
        <v>60</v>
      </c>
      <c r="AW344" s="37">
        <v>10</v>
      </c>
      <c r="AX344" s="30">
        <f>(J344*10)/100</f>
        <v>4204611</v>
      </c>
      <c r="AY344" s="40" t="s">
        <v>402</v>
      </c>
    </row>
    <row r="345" spans="1:51" ht="41.25" customHeight="1" x14ac:dyDescent="0.25">
      <c r="A345" s="35" t="s">
        <v>2167</v>
      </c>
      <c r="B345" s="36">
        <v>45335</v>
      </c>
      <c r="C345" s="40" t="s">
        <v>2052</v>
      </c>
      <c r="D345" s="35" t="s">
        <v>431</v>
      </c>
      <c r="E345" s="39" t="s">
        <v>2168</v>
      </c>
      <c r="F345" s="35" t="s">
        <v>431</v>
      </c>
      <c r="G345" s="35" t="s">
        <v>431</v>
      </c>
      <c r="H345" s="35" t="s">
        <v>431</v>
      </c>
      <c r="I345" s="63" t="s">
        <v>1533</v>
      </c>
      <c r="J345" s="41">
        <v>4695840</v>
      </c>
      <c r="K345" s="41">
        <v>0</v>
      </c>
      <c r="L345" s="54">
        <v>0</v>
      </c>
      <c r="M345" s="54">
        <v>0</v>
      </c>
      <c r="N345" s="42">
        <f t="shared" si="51"/>
        <v>100</v>
      </c>
      <c r="O345" s="43">
        <f t="shared" si="54"/>
        <v>4695840</v>
      </c>
      <c r="P345" s="41"/>
      <c r="Q345" s="43">
        <f t="shared" si="55"/>
        <v>4695840</v>
      </c>
      <c r="R345" s="41">
        <v>0</v>
      </c>
      <c r="S345" s="30">
        <f t="shared" si="58"/>
        <v>0</v>
      </c>
      <c r="T345" s="30">
        <f t="shared" si="58"/>
        <v>0</v>
      </c>
      <c r="U345" s="30" t="e">
        <f>T345/X345</f>
        <v>#DIV/0!</v>
      </c>
      <c r="V345" s="41" t="e">
        <f>T345/X345</f>
        <v>#DIV/0!</v>
      </c>
      <c r="W345" s="41" t="e">
        <f>V345*AU345</f>
        <v>#DIV/0!</v>
      </c>
      <c r="X345" s="41">
        <f t="shared" si="56"/>
        <v>0</v>
      </c>
      <c r="Y345" s="41">
        <v>0</v>
      </c>
      <c r="Z345" s="41">
        <v>0</v>
      </c>
      <c r="AA345" s="41">
        <v>0</v>
      </c>
      <c r="AB345" s="41"/>
      <c r="AC345" s="41" t="e">
        <f t="shared" si="52"/>
        <v>#DIV/0!</v>
      </c>
      <c r="AD345" s="41"/>
      <c r="AE345" s="41" t="e">
        <f t="shared" si="53"/>
        <v>#DIV/0!</v>
      </c>
      <c r="AF345" s="41" t="e">
        <f>X345/AU345</f>
        <v>#DIV/0!</v>
      </c>
      <c r="AG345" s="41" t="e">
        <f t="shared" si="57"/>
        <v>#DIV/0!</v>
      </c>
      <c r="AH345" s="36">
        <v>45397</v>
      </c>
      <c r="AI345" s="36"/>
      <c r="AJ345" s="36"/>
      <c r="AK345" s="36"/>
      <c r="AL345" s="36"/>
      <c r="AM345" s="46"/>
      <c r="AN345" s="40"/>
      <c r="AO345" s="40"/>
      <c r="AP345" s="40"/>
      <c r="AQ345" s="40"/>
      <c r="AR345" s="48"/>
      <c r="AS345" s="37"/>
      <c r="AT345" s="37"/>
      <c r="AU345" s="47"/>
      <c r="AV345" s="37"/>
      <c r="AW345" s="37">
        <v>10</v>
      </c>
      <c r="AX345" s="30">
        <f>(J345*10)/100</f>
        <v>469584</v>
      </c>
      <c r="AY345" s="40" t="s">
        <v>431</v>
      </c>
    </row>
    <row r="346" spans="1:51" ht="41.25" customHeight="1" x14ac:dyDescent="0.25">
      <c r="A346" s="35" t="s">
        <v>2169</v>
      </c>
      <c r="B346" s="36">
        <v>45335</v>
      </c>
      <c r="C346" s="37" t="s">
        <v>432</v>
      </c>
      <c r="D346" s="35"/>
      <c r="E346" s="39" t="s">
        <v>2170</v>
      </c>
      <c r="F346" s="36"/>
      <c r="G346" s="37"/>
      <c r="H346" s="40"/>
      <c r="I346" s="63" t="s">
        <v>1664</v>
      </c>
      <c r="J346" s="41">
        <v>367438394.39999998</v>
      </c>
      <c r="K346" s="41">
        <v>0</v>
      </c>
      <c r="L346" s="54">
        <v>0</v>
      </c>
      <c r="M346" s="54">
        <v>0</v>
      </c>
      <c r="N346" s="42">
        <f t="shared" si="51"/>
        <v>100</v>
      </c>
      <c r="O346" s="43">
        <f t="shared" si="54"/>
        <v>367438394.39999998</v>
      </c>
      <c r="P346" s="41"/>
      <c r="Q346" s="43">
        <f t="shared" si="55"/>
        <v>367438394.39999998</v>
      </c>
      <c r="R346" s="41">
        <v>0</v>
      </c>
      <c r="S346" s="30">
        <f t="shared" si="58"/>
        <v>0</v>
      </c>
      <c r="T346" s="30">
        <f t="shared" si="58"/>
        <v>0</v>
      </c>
      <c r="U346" s="30" t="e">
        <f>T346/X346</f>
        <v>#DIV/0!</v>
      </c>
      <c r="V346" s="41" t="e">
        <f>T346/X346</f>
        <v>#DIV/0!</v>
      </c>
      <c r="W346" s="41" t="e">
        <f>V346*AU346</f>
        <v>#DIV/0!</v>
      </c>
      <c r="X346" s="41">
        <f t="shared" si="56"/>
        <v>0</v>
      </c>
      <c r="Y346" s="41">
        <v>0</v>
      </c>
      <c r="Z346" s="41">
        <v>0</v>
      </c>
      <c r="AA346" s="41">
        <v>0</v>
      </c>
      <c r="AB346" s="41"/>
      <c r="AC346" s="41" t="e">
        <f t="shared" si="52"/>
        <v>#DIV/0!</v>
      </c>
      <c r="AD346" s="41"/>
      <c r="AE346" s="41" t="e">
        <f t="shared" si="53"/>
        <v>#DIV/0!</v>
      </c>
      <c r="AF346" s="41" t="e">
        <f>X346/AU346</f>
        <v>#DIV/0!</v>
      </c>
      <c r="AG346" s="41" t="e">
        <f t="shared" si="57"/>
        <v>#DIV/0!</v>
      </c>
      <c r="AH346" s="36">
        <v>45397</v>
      </c>
      <c r="AI346" s="36"/>
      <c r="AJ346" s="36"/>
      <c r="AK346" s="36"/>
      <c r="AL346" s="36"/>
      <c r="AM346" s="46"/>
      <c r="AN346" s="40"/>
      <c r="AO346" s="40"/>
      <c r="AP346" s="40"/>
      <c r="AQ346" s="40"/>
      <c r="AR346" s="48"/>
      <c r="AS346" s="37"/>
      <c r="AT346" s="37"/>
      <c r="AU346" s="47"/>
      <c r="AV346" s="37"/>
      <c r="AW346" s="37">
        <v>10</v>
      </c>
      <c r="AX346" s="30">
        <f>(J346*10)/100</f>
        <v>36743839.439999998</v>
      </c>
      <c r="AY346" s="40"/>
    </row>
    <row r="347" spans="1:51" ht="41.25" customHeight="1" x14ac:dyDescent="0.25">
      <c r="A347" s="35" t="s">
        <v>2171</v>
      </c>
      <c r="B347" s="36">
        <v>45335</v>
      </c>
      <c r="C347" s="40" t="s">
        <v>2052</v>
      </c>
      <c r="D347" s="35"/>
      <c r="E347" s="39" t="s">
        <v>2172</v>
      </c>
      <c r="F347" s="36">
        <v>45348</v>
      </c>
      <c r="G347" s="37" t="s">
        <v>2173</v>
      </c>
      <c r="H347" s="40" t="s">
        <v>1115</v>
      </c>
      <c r="I347" s="55" t="s">
        <v>1250</v>
      </c>
      <c r="J347" s="41">
        <v>399096</v>
      </c>
      <c r="K347" s="41">
        <v>0</v>
      </c>
      <c r="L347" s="54">
        <v>0</v>
      </c>
      <c r="M347" s="54">
        <v>0</v>
      </c>
      <c r="N347" s="42">
        <f t="shared" si="51"/>
        <v>0</v>
      </c>
      <c r="O347" s="43">
        <f t="shared" si="54"/>
        <v>0</v>
      </c>
      <c r="P347" s="41">
        <v>399096</v>
      </c>
      <c r="Q347" s="43">
        <f t="shared" si="55"/>
        <v>0</v>
      </c>
      <c r="R347" s="41">
        <v>399096</v>
      </c>
      <c r="S347" s="30">
        <f t="shared" si="58"/>
        <v>399096</v>
      </c>
      <c r="T347" s="30">
        <f t="shared" si="58"/>
        <v>399096</v>
      </c>
      <c r="U347" s="30">
        <f>T347/X347</f>
        <v>110.86</v>
      </c>
      <c r="V347" s="41">
        <f>T347/X347</f>
        <v>110.86</v>
      </c>
      <c r="W347" s="41">
        <f>V347*AU347</f>
        <v>13303.2</v>
      </c>
      <c r="X347" s="41">
        <f t="shared" si="56"/>
        <v>3600</v>
      </c>
      <c r="Y347" s="41">
        <v>3600</v>
      </c>
      <c r="Z347" s="41">
        <v>0</v>
      </c>
      <c r="AA347" s="41">
        <v>0</v>
      </c>
      <c r="AB347" s="41">
        <v>0</v>
      </c>
      <c r="AC347" s="41">
        <f t="shared" si="52"/>
        <v>0</v>
      </c>
      <c r="AD347" s="41">
        <v>0</v>
      </c>
      <c r="AE347" s="41">
        <f t="shared" si="53"/>
        <v>0</v>
      </c>
      <c r="AF347" s="41">
        <f>X347/AU347</f>
        <v>30</v>
      </c>
      <c r="AG347" s="41">
        <f t="shared" si="57"/>
        <v>30</v>
      </c>
      <c r="AH347" s="36">
        <v>45397</v>
      </c>
      <c r="AI347" s="36"/>
      <c r="AJ347" s="36"/>
      <c r="AK347" s="36">
        <v>45427</v>
      </c>
      <c r="AL347" s="36"/>
      <c r="AM347" s="46"/>
      <c r="AN347" s="40" t="s">
        <v>1251</v>
      </c>
      <c r="AO347" s="40" t="s">
        <v>1252</v>
      </c>
      <c r="AP347" s="40" t="s">
        <v>1253</v>
      </c>
      <c r="AQ347" s="40" t="s">
        <v>80</v>
      </c>
      <c r="AR347" s="48">
        <v>100</v>
      </c>
      <c r="AS347" s="37">
        <v>0</v>
      </c>
      <c r="AT347" s="37" t="s">
        <v>386</v>
      </c>
      <c r="AU347" s="47">
        <v>120</v>
      </c>
      <c r="AV347" s="37" t="s">
        <v>219</v>
      </c>
      <c r="AW347" s="37">
        <v>10</v>
      </c>
      <c r="AX347" s="30">
        <f>(J347*10)/100</f>
        <v>39909.599999999999</v>
      </c>
      <c r="AY347" s="40" t="s">
        <v>402</v>
      </c>
    </row>
    <row r="348" spans="1:51" ht="41.25" customHeight="1" x14ac:dyDescent="0.25">
      <c r="A348" s="35" t="s">
        <v>2174</v>
      </c>
      <c r="B348" s="36">
        <v>45335</v>
      </c>
      <c r="C348" s="37" t="s">
        <v>432</v>
      </c>
      <c r="D348" s="35" t="s">
        <v>431</v>
      </c>
      <c r="E348" s="39" t="s">
        <v>2175</v>
      </c>
      <c r="F348" s="35" t="s">
        <v>431</v>
      </c>
      <c r="G348" s="35" t="s">
        <v>431</v>
      </c>
      <c r="H348" s="35" t="s">
        <v>431</v>
      </c>
      <c r="I348" s="55" t="s">
        <v>1566</v>
      </c>
      <c r="J348" s="41">
        <v>65903003.700000003</v>
      </c>
      <c r="K348" s="41">
        <v>0</v>
      </c>
      <c r="L348" s="54">
        <v>0</v>
      </c>
      <c r="M348" s="54">
        <v>0</v>
      </c>
      <c r="N348" s="42">
        <f t="shared" si="51"/>
        <v>100</v>
      </c>
      <c r="O348" s="43">
        <f t="shared" si="54"/>
        <v>65903003.700000003</v>
      </c>
      <c r="P348" s="41"/>
      <c r="Q348" s="43">
        <f t="shared" si="55"/>
        <v>65903003.700000003</v>
      </c>
      <c r="R348" s="41">
        <v>0</v>
      </c>
      <c r="S348" s="30">
        <f t="shared" si="58"/>
        <v>0</v>
      </c>
      <c r="T348" s="30">
        <f t="shared" si="58"/>
        <v>0</v>
      </c>
      <c r="U348" s="30" t="e">
        <f>T348/X348</f>
        <v>#DIV/0!</v>
      </c>
      <c r="V348" s="41" t="e">
        <f>T348/X348</f>
        <v>#DIV/0!</v>
      </c>
      <c r="W348" s="41" t="e">
        <f>V348*AU348</f>
        <v>#DIV/0!</v>
      </c>
      <c r="X348" s="41">
        <f t="shared" si="56"/>
        <v>0</v>
      </c>
      <c r="Y348" s="41">
        <v>0</v>
      </c>
      <c r="Z348" s="41">
        <v>0</v>
      </c>
      <c r="AA348" s="41">
        <v>0</v>
      </c>
      <c r="AB348" s="41"/>
      <c r="AC348" s="41" t="e">
        <f t="shared" si="52"/>
        <v>#DIV/0!</v>
      </c>
      <c r="AD348" s="41"/>
      <c r="AE348" s="41" t="e">
        <f t="shared" si="53"/>
        <v>#DIV/0!</v>
      </c>
      <c r="AF348" s="41" t="e">
        <f>X348/AU348</f>
        <v>#DIV/0!</v>
      </c>
      <c r="AG348" s="41" t="e">
        <f t="shared" si="57"/>
        <v>#DIV/0!</v>
      </c>
      <c r="AH348" s="36">
        <v>45397</v>
      </c>
      <c r="AI348" s="36"/>
      <c r="AJ348" s="36"/>
      <c r="AK348" s="36"/>
      <c r="AL348" s="36"/>
      <c r="AM348" s="46"/>
      <c r="AN348" s="40"/>
      <c r="AO348" s="40"/>
      <c r="AP348" s="40"/>
      <c r="AQ348" s="40"/>
      <c r="AR348" s="48"/>
      <c r="AS348" s="37"/>
      <c r="AT348" s="37"/>
      <c r="AU348" s="47"/>
      <c r="AV348" s="37"/>
      <c r="AW348" s="37">
        <v>10</v>
      </c>
      <c r="AX348" s="30">
        <f>(J348*10)/100</f>
        <v>6590300.3700000001</v>
      </c>
      <c r="AY348" s="40" t="s">
        <v>431</v>
      </c>
    </row>
    <row r="349" spans="1:51" ht="41.25" customHeight="1" x14ac:dyDescent="0.25">
      <c r="A349" s="35" t="s">
        <v>2176</v>
      </c>
      <c r="B349" s="36">
        <v>45337</v>
      </c>
      <c r="C349" s="37">
        <v>1416</v>
      </c>
      <c r="D349" s="35"/>
      <c r="E349" s="39" t="s">
        <v>2177</v>
      </c>
      <c r="F349" s="36"/>
      <c r="G349" s="37"/>
      <c r="H349" s="40"/>
      <c r="I349" s="63" t="s">
        <v>2178</v>
      </c>
      <c r="J349" s="41">
        <v>661467276.47000003</v>
      </c>
      <c r="K349" s="41">
        <v>0</v>
      </c>
      <c r="L349" s="54">
        <v>0</v>
      </c>
      <c r="M349" s="54">
        <v>0</v>
      </c>
      <c r="N349" s="42">
        <f t="shared" si="51"/>
        <v>100</v>
      </c>
      <c r="O349" s="43">
        <f t="shared" si="54"/>
        <v>661467276.47000003</v>
      </c>
      <c r="P349" s="41"/>
      <c r="Q349" s="43">
        <f t="shared" si="55"/>
        <v>661467276.47000003</v>
      </c>
      <c r="R349" s="41">
        <v>0</v>
      </c>
      <c r="S349" s="30">
        <f t="shared" si="58"/>
        <v>0</v>
      </c>
      <c r="T349" s="30">
        <f t="shared" si="58"/>
        <v>0</v>
      </c>
      <c r="U349" s="30" t="e">
        <f>T349/X349</f>
        <v>#DIV/0!</v>
      </c>
      <c r="V349" s="41" t="e">
        <f>T349/X349</f>
        <v>#DIV/0!</v>
      </c>
      <c r="W349" s="41" t="e">
        <f>V349*AU349</f>
        <v>#DIV/0!</v>
      </c>
      <c r="X349" s="41">
        <f t="shared" si="56"/>
        <v>0</v>
      </c>
      <c r="Y349" s="41">
        <v>0</v>
      </c>
      <c r="Z349" s="41">
        <v>0</v>
      </c>
      <c r="AA349" s="41">
        <v>0</v>
      </c>
      <c r="AB349" s="41"/>
      <c r="AC349" s="41" t="e">
        <f t="shared" si="52"/>
        <v>#DIV/0!</v>
      </c>
      <c r="AD349" s="41"/>
      <c r="AE349" s="41" t="e">
        <f t="shared" si="53"/>
        <v>#DIV/0!</v>
      </c>
      <c r="AF349" s="41" t="e">
        <f>X349/AU349</f>
        <v>#DIV/0!</v>
      </c>
      <c r="AG349" s="41" t="e">
        <f t="shared" si="57"/>
        <v>#DIV/0!</v>
      </c>
      <c r="AH349" s="36">
        <v>45474</v>
      </c>
      <c r="AI349" s="36"/>
      <c r="AJ349" s="36"/>
      <c r="AK349" s="36"/>
      <c r="AL349" s="36"/>
      <c r="AM349" s="46"/>
      <c r="AN349" s="40"/>
      <c r="AO349" s="40"/>
      <c r="AP349" s="40"/>
      <c r="AQ349" s="40"/>
      <c r="AR349" s="48"/>
      <c r="AS349" s="37"/>
      <c r="AT349" s="37"/>
      <c r="AU349" s="47"/>
      <c r="AV349" s="37"/>
      <c r="AW349" s="37">
        <v>10</v>
      </c>
      <c r="AX349" s="30">
        <f>(J349*10)/100</f>
        <v>66146727.647000007</v>
      </c>
      <c r="AY349" s="40"/>
    </row>
    <row r="350" spans="1:51" ht="41.25" customHeight="1" x14ac:dyDescent="0.25">
      <c r="A350" s="35" t="s">
        <v>2179</v>
      </c>
      <c r="B350" s="36">
        <v>45337</v>
      </c>
      <c r="C350" s="37" t="s">
        <v>432</v>
      </c>
      <c r="D350" s="35"/>
      <c r="E350" s="39" t="s">
        <v>2180</v>
      </c>
      <c r="F350" s="36"/>
      <c r="G350" s="37"/>
      <c r="H350" s="40"/>
      <c r="I350" s="63" t="s">
        <v>1667</v>
      </c>
      <c r="J350" s="41">
        <v>51248268</v>
      </c>
      <c r="K350" s="41">
        <v>0</v>
      </c>
      <c r="L350" s="54">
        <v>0</v>
      </c>
      <c r="M350" s="54">
        <v>0</v>
      </c>
      <c r="N350" s="42">
        <f t="shared" si="51"/>
        <v>100</v>
      </c>
      <c r="O350" s="43">
        <f t="shared" si="54"/>
        <v>51248268</v>
      </c>
      <c r="P350" s="41"/>
      <c r="Q350" s="43">
        <f t="shared" si="55"/>
        <v>51248268</v>
      </c>
      <c r="R350" s="41">
        <v>0</v>
      </c>
      <c r="S350" s="30">
        <f t="shared" si="58"/>
        <v>0</v>
      </c>
      <c r="T350" s="30">
        <f t="shared" si="58"/>
        <v>0</v>
      </c>
      <c r="U350" s="30" t="e">
        <f>T350/X350</f>
        <v>#DIV/0!</v>
      </c>
      <c r="V350" s="41" t="e">
        <f>T350/X350</f>
        <v>#DIV/0!</v>
      </c>
      <c r="W350" s="41" t="e">
        <f>V350*AU350</f>
        <v>#DIV/0!</v>
      </c>
      <c r="X350" s="41">
        <f t="shared" si="56"/>
        <v>0</v>
      </c>
      <c r="Y350" s="41">
        <v>0</v>
      </c>
      <c r="Z350" s="41">
        <v>0</v>
      </c>
      <c r="AA350" s="41">
        <v>0</v>
      </c>
      <c r="AB350" s="41"/>
      <c r="AC350" s="41" t="e">
        <f t="shared" si="52"/>
        <v>#DIV/0!</v>
      </c>
      <c r="AD350" s="41"/>
      <c r="AE350" s="41" t="e">
        <f t="shared" si="53"/>
        <v>#DIV/0!</v>
      </c>
      <c r="AF350" s="41" t="e">
        <f>X350/AU350</f>
        <v>#DIV/0!</v>
      </c>
      <c r="AG350" s="41" t="e">
        <f t="shared" si="57"/>
        <v>#DIV/0!</v>
      </c>
      <c r="AH350" s="36">
        <v>45397</v>
      </c>
      <c r="AI350" s="36"/>
      <c r="AJ350" s="36"/>
      <c r="AK350" s="36"/>
      <c r="AL350" s="36"/>
      <c r="AM350" s="46"/>
      <c r="AN350" s="40"/>
      <c r="AO350" s="40"/>
      <c r="AP350" s="40"/>
      <c r="AQ350" s="40"/>
      <c r="AR350" s="48"/>
      <c r="AS350" s="37"/>
      <c r="AT350" s="37"/>
      <c r="AU350" s="47"/>
      <c r="AV350" s="37"/>
      <c r="AW350" s="37">
        <v>10</v>
      </c>
      <c r="AX350" s="30">
        <f>(J350*10)/100</f>
        <v>5124826.8</v>
      </c>
      <c r="AY350" s="40"/>
    </row>
    <row r="351" spans="1:51" ht="41.25" customHeight="1" x14ac:dyDescent="0.25">
      <c r="A351" s="35" t="s">
        <v>2181</v>
      </c>
      <c r="B351" s="36">
        <v>45337</v>
      </c>
      <c r="C351" s="37" t="s">
        <v>432</v>
      </c>
      <c r="D351" s="35"/>
      <c r="E351" s="39" t="s">
        <v>2182</v>
      </c>
      <c r="F351" s="36"/>
      <c r="G351" s="37"/>
      <c r="H351" s="40"/>
      <c r="I351" s="63" t="s">
        <v>1586</v>
      </c>
      <c r="J351" s="41">
        <v>200538624</v>
      </c>
      <c r="K351" s="41">
        <v>0</v>
      </c>
      <c r="L351" s="54">
        <v>0</v>
      </c>
      <c r="M351" s="54">
        <v>0</v>
      </c>
      <c r="N351" s="42">
        <f t="shared" si="51"/>
        <v>100</v>
      </c>
      <c r="O351" s="43">
        <f t="shared" si="54"/>
        <v>200538624</v>
      </c>
      <c r="P351" s="41"/>
      <c r="Q351" s="43">
        <f t="shared" si="55"/>
        <v>200538624</v>
      </c>
      <c r="R351" s="41">
        <v>0</v>
      </c>
      <c r="S351" s="30">
        <f t="shared" si="58"/>
        <v>0</v>
      </c>
      <c r="T351" s="30">
        <f t="shared" si="58"/>
        <v>0</v>
      </c>
      <c r="U351" s="30" t="e">
        <f>T351/X351</f>
        <v>#DIV/0!</v>
      </c>
      <c r="V351" s="41" t="e">
        <f>T351/X351</f>
        <v>#DIV/0!</v>
      </c>
      <c r="W351" s="41" t="e">
        <f>V351*AU351</f>
        <v>#DIV/0!</v>
      </c>
      <c r="X351" s="41">
        <f t="shared" si="56"/>
        <v>0</v>
      </c>
      <c r="Y351" s="41">
        <v>0</v>
      </c>
      <c r="Z351" s="41">
        <v>0</v>
      </c>
      <c r="AA351" s="41">
        <v>0</v>
      </c>
      <c r="AB351" s="41"/>
      <c r="AC351" s="41" t="e">
        <f t="shared" si="52"/>
        <v>#DIV/0!</v>
      </c>
      <c r="AD351" s="41"/>
      <c r="AE351" s="41" t="e">
        <f t="shared" si="53"/>
        <v>#DIV/0!</v>
      </c>
      <c r="AF351" s="41" t="e">
        <f>X351/AU351</f>
        <v>#DIV/0!</v>
      </c>
      <c r="AG351" s="41" t="e">
        <f t="shared" si="57"/>
        <v>#DIV/0!</v>
      </c>
      <c r="AH351" s="36">
        <v>45397</v>
      </c>
      <c r="AI351" s="36">
        <v>45473</v>
      </c>
      <c r="AJ351" s="36"/>
      <c r="AK351" s="36"/>
      <c r="AL351" s="36"/>
      <c r="AM351" s="46"/>
      <c r="AN351" s="40"/>
      <c r="AO351" s="40"/>
      <c r="AP351" s="40"/>
      <c r="AQ351" s="40"/>
      <c r="AR351" s="48"/>
      <c r="AS351" s="37"/>
      <c r="AT351" s="37"/>
      <c r="AU351" s="47"/>
      <c r="AV351" s="37"/>
      <c r="AW351" s="37">
        <v>10</v>
      </c>
      <c r="AX351" s="30">
        <f>(J351*10)/100</f>
        <v>20053862.399999999</v>
      </c>
      <c r="AY351" s="40"/>
    </row>
    <row r="352" spans="1:51" ht="41.25" customHeight="1" x14ac:dyDescent="0.25">
      <c r="A352" s="35" t="s">
        <v>2183</v>
      </c>
      <c r="B352" s="36">
        <v>45337</v>
      </c>
      <c r="C352" s="37" t="s">
        <v>432</v>
      </c>
      <c r="D352" s="35"/>
      <c r="E352" s="39" t="s">
        <v>2184</v>
      </c>
      <c r="F352" s="36"/>
      <c r="G352" s="37"/>
      <c r="H352" s="40"/>
      <c r="I352" s="63" t="s">
        <v>1661</v>
      </c>
      <c r="J352" s="41">
        <v>48569637.600000001</v>
      </c>
      <c r="K352" s="41">
        <v>0</v>
      </c>
      <c r="L352" s="54">
        <v>0</v>
      </c>
      <c r="M352" s="54">
        <v>0</v>
      </c>
      <c r="N352" s="42">
        <f t="shared" ref="N352:N415" si="59">((J352-P352)/J352)*100</f>
        <v>100</v>
      </c>
      <c r="O352" s="43">
        <f t="shared" si="54"/>
        <v>48569637.600000001</v>
      </c>
      <c r="P352" s="41"/>
      <c r="Q352" s="43">
        <f t="shared" si="55"/>
        <v>48569637.600000001</v>
      </c>
      <c r="R352" s="41">
        <v>0</v>
      </c>
      <c r="S352" s="30">
        <f t="shared" si="58"/>
        <v>0</v>
      </c>
      <c r="T352" s="30">
        <f t="shared" si="58"/>
        <v>0</v>
      </c>
      <c r="U352" s="30" t="e">
        <f>T352/X352</f>
        <v>#DIV/0!</v>
      </c>
      <c r="V352" s="41" t="e">
        <f>T352/X352</f>
        <v>#DIV/0!</v>
      </c>
      <c r="W352" s="41" t="e">
        <f>V352*AU352</f>
        <v>#DIV/0!</v>
      </c>
      <c r="X352" s="41">
        <f t="shared" si="56"/>
        <v>0</v>
      </c>
      <c r="Y352" s="41">
        <v>0</v>
      </c>
      <c r="Z352" s="41">
        <v>0</v>
      </c>
      <c r="AA352" s="41">
        <v>0</v>
      </c>
      <c r="AB352" s="41"/>
      <c r="AC352" s="41" t="e">
        <f t="shared" si="52"/>
        <v>#DIV/0!</v>
      </c>
      <c r="AD352" s="41"/>
      <c r="AE352" s="41" t="e">
        <f t="shared" si="53"/>
        <v>#DIV/0!</v>
      </c>
      <c r="AF352" s="41" t="e">
        <f>X352/AU352</f>
        <v>#DIV/0!</v>
      </c>
      <c r="AG352" s="41" t="e">
        <f t="shared" si="57"/>
        <v>#DIV/0!</v>
      </c>
      <c r="AH352" s="36">
        <v>45397</v>
      </c>
      <c r="AI352" s="36"/>
      <c r="AJ352" s="36"/>
      <c r="AK352" s="36"/>
      <c r="AL352" s="36"/>
      <c r="AM352" s="46"/>
      <c r="AN352" s="40"/>
      <c r="AO352" s="40"/>
      <c r="AP352" s="40"/>
      <c r="AQ352" s="40"/>
      <c r="AR352" s="48"/>
      <c r="AS352" s="37"/>
      <c r="AT352" s="37"/>
      <c r="AU352" s="47"/>
      <c r="AV352" s="37"/>
      <c r="AW352" s="37">
        <v>10</v>
      </c>
      <c r="AX352" s="30">
        <f>(J352*10)/100</f>
        <v>4856963.76</v>
      </c>
      <c r="AY352" s="40"/>
    </row>
    <row r="353" spans="1:51" ht="41.25" customHeight="1" x14ac:dyDescent="0.25">
      <c r="A353" s="35" t="s">
        <v>2185</v>
      </c>
      <c r="B353" s="36">
        <v>45337</v>
      </c>
      <c r="C353" s="37">
        <v>1416</v>
      </c>
      <c r="D353" s="35"/>
      <c r="E353" s="39" t="s">
        <v>2186</v>
      </c>
      <c r="F353" s="36"/>
      <c r="G353" s="37"/>
      <c r="H353" s="40"/>
      <c r="I353" s="63" t="s">
        <v>2187</v>
      </c>
      <c r="J353" s="41">
        <v>626565718.35000002</v>
      </c>
      <c r="K353" s="41">
        <v>0</v>
      </c>
      <c r="L353" s="54">
        <v>0</v>
      </c>
      <c r="M353" s="54">
        <v>0</v>
      </c>
      <c r="N353" s="42">
        <f t="shared" si="59"/>
        <v>100</v>
      </c>
      <c r="O353" s="43">
        <f t="shared" si="54"/>
        <v>626565718.35000002</v>
      </c>
      <c r="P353" s="41"/>
      <c r="Q353" s="43">
        <f t="shared" si="55"/>
        <v>626565718.35000002</v>
      </c>
      <c r="R353" s="41">
        <v>0</v>
      </c>
      <c r="S353" s="30">
        <f t="shared" si="58"/>
        <v>0</v>
      </c>
      <c r="T353" s="30">
        <f t="shared" si="58"/>
        <v>0</v>
      </c>
      <c r="U353" s="30" t="e">
        <f>T353/X353</f>
        <v>#DIV/0!</v>
      </c>
      <c r="V353" s="41" t="e">
        <f>T353/X353</f>
        <v>#DIV/0!</v>
      </c>
      <c r="W353" s="41" t="e">
        <f>V353*AU353</f>
        <v>#DIV/0!</v>
      </c>
      <c r="X353" s="41">
        <f t="shared" si="56"/>
        <v>0</v>
      </c>
      <c r="Y353" s="41">
        <v>0</v>
      </c>
      <c r="Z353" s="41">
        <v>0</v>
      </c>
      <c r="AA353" s="41">
        <v>0</v>
      </c>
      <c r="AB353" s="41"/>
      <c r="AC353" s="41" t="e">
        <f t="shared" si="52"/>
        <v>#DIV/0!</v>
      </c>
      <c r="AD353" s="41"/>
      <c r="AE353" s="41" t="e">
        <f t="shared" si="53"/>
        <v>#DIV/0!</v>
      </c>
      <c r="AF353" s="41" t="e">
        <f>X353/AU353</f>
        <v>#DIV/0!</v>
      </c>
      <c r="AG353" s="41" t="e">
        <f t="shared" si="57"/>
        <v>#DIV/0!</v>
      </c>
      <c r="AH353" s="36">
        <v>45413</v>
      </c>
      <c r="AI353" s="36"/>
      <c r="AJ353" s="36"/>
      <c r="AK353" s="36"/>
      <c r="AL353" s="36"/>
      <c r="AM353" s="46"/>
      <c r="AN353" s="40"/>
      <c r="AO353" s="40"/>
      <c r="AP353" s="40"/>
      <c r="AQ353" s="40"/>
      <c r="AR353" s="48"/>
      <c r="AS353" s="37"/>
      <c r="AT353" s="37"/>
      <c r="AU353" s="47"/>
      <c r="AV353" s="37"/>
      <c r="AW353" s="37">
        <v>10</v>
      </c>
      <c r="AX353" s="30">
        <f>(J353*10)/100</f>
        <v>62656571.835000001</v>
      </c>
      <c r="AY353" s="40"/>
    </row>
    <row r="354" spans="1:51" ht="41.25" customHeight="1" x14ac:dyDescent="0.25">
      <c r="A354" s="35" t="s">
        <v>2188</v>
      </c>
      <c r="B354" s="36">
        <v>45337</v>
      </c>
      <c r="C354" s="40" t="s">
        <v>2189</v>
      </c>
      <c r="D354" s="35" t="s">
        <v>431</v>
      </c>
      <c r="E354" s="39" t="s">
        <v>2190</v>
      </c>
      <c r="F354" s="35" t="s">
        <v>431</v>
      </c>
      <c r="G354" s="35" t="s">
        <v>431</v>
      </c>
      <c r="H354" s="35" t="s">
        <v>431</v>
      </c>
      <c r="I354" s="63" t="s">
        <v>2178</v>
      </c>
      <c r="J354" s="41">
        <v>9023426.2799999993</v>
      </c>
      <c r="K354" s="41">
        <v>0</v>
      </c>
      <c r="L354" s="54">
        <v>0</v>
      </c>
      <c r="M354" s="54">
        <v>0</v>
      </c>
      <c r="N354" s="42">
        <f t="shared" si="59"/>
        <v>100</v>
      </c>
      <c r="O354" s="43">
        <f t="shared" si="54"/>
        <v>9023426.2799999993</v>
      </c>
      <c r="P354" s="41"/>
      <c r="Q354" s="43">
        <f t="shared" si="55"/>
        <v>9023426.2799999993</v>
      </c>
      <c r="R354" s="41">
        <v>0</v>
      </c>
      <c r="S354" s="30">
        <f t="shared" si="58"/>
        <v>0</v>
      </c>
      <c r="T354" s="30">
        <f t="shared" si="58"/>
        <v>0</v>
      </c>
      <c r="U354" s="30" t="e">
        <f>T354/X354</f>
        <v>#DIV/0!</v>
      </c>
      <c r="V354" s="41" t="e">
        <f>T354/X354</f>
        <v>#DIV/0!</v>
      </c>
      <c r="W354" s="41" t="e">
        <f>V354*AU354</f>
        <v>#DIV/0!</v>
      </c>
      <c r="X354" s="41">
        <f t="shared" si="56"/>
        <v>0</v>
      </c>
      <c r="Y354" s="41">
        <v>0</v>
      </c>
      <c r="Z354" s="41">
        <v>0</v>
      </c>
      <c r="AA354" s="41">
        <v>0</v>
      </c>
      <c r="AB354" s="41"/>
      <c r="AC354" s="41" t="e">
        <f t="shared" si="52"/>
        <v>#DIV/0!</v>
      </c>
      <c r="AD354" s="41"/>
      <c r="AE354" s="41" t="e">
        <f t="shared" si="53"/>
        <v>#DIV/0!</v>
      </c>
      <c r="AF354" s="41" t="e">
        <f>X354/AU354</f>
        <v>#DIV/0!</v>
      </c>
      <c r="AG354" s="41" t="e">
        <f t="shared" si="57"/>
        <v>#DIV/0!</v>
      </c>
      <c r="AH354" s="36">
        <v>45474</v>
      </c>
      <c r="AI354" s="36"/>
      <c r="AJ354" s="36"/>
      <c r="AK354" s="36"/>
      <c r="AL354" s="36"/>
      <c r="AM354" s="46"/>
      <c r="AN354" s="40"/>
      <c r="AO354" s="40"/>
      <c r="AP354" s="40"/>
      <c r="AQ354" s="40"/>
      <c r="AR354" s="48"/>
      <c r="AS354" s="37"/>
      <c r="AT354" s="37"/>
      <c r="AU354" s="47"/>
      <c r="AV354" s="37"/>
      <c r="AW354" s="37">
        <v>10</v>
      </c>
      <c r="AX354" s="30">
        <f>(J354*10)/100</f>
        <v>902342.62800000003</v>
      </c>
      <c r="AY354" s="40" t="s">
        <v>431</v>
      </c>
    </row>
    <row r="355" spans="1:51" ht="41.25" customHeight="1" x14ac:dyDescent="0.25">
      <c r="A355" s="35" t="s">
        <v>2191</v>
      </c>
      <c r="B355" s="36">
        <v>45337</v>
      </c>
      <c r="C355" s="40" t="s">
        <v>2189</v>
      </c>
      <c r="D355" s="35" t="s">
        <v>431</v>
      </c>
      <c r="E355" s="39" t="s">
        <v>2192</v>
      </c>
      <c r="F355" s="35" t="s">
        <v>431</v>
      </c>
      <c r="G355" s="35" t="s">
        <v>431</v>
      </c>
      <c r="H355" s="35" t="s">
        <v>431</v>
      </c>
      <c r="I355" s="63" t="s">
        <v>2193</v>
      </c>
      <c r="J355" s="41">
        <v>62977.5</v>
      </c>
      <c r="K355" s="41">
        <v>0</v>
      </c>
      <c r="L355" s="54">
        <v>0</v>
      </c>
      <c r="M355" s="54">
        <v>0</v>
      </c>
      <c r="N355" s="42">
        <f t="shared" si="59"/>
        <v>100</v>
      </c>
      <c r="O355" s="43">
        <f t="shared" si="54"/>
        <v>62977.5</v>
      </c>
      <c r="P355" s="41"/>
      <c r="Q355" s="43">
        <f t="shared" si="55"/>
        <v>62977.5</v>
      </c>
      <c r="R355" s="41">
        <v>0</v>
      </c>
      <c r="S355" s="30">
        <f t="shared" si="58"/>
        <v>0</v>
      </c>
      <c r="T355" s="30">
        <f t="shared" si="58"/>
        <v>0</v>
      </c>
      <c r="U355" s="30" t="e">
        <f>T355/X355</f>
        <v>#DIV/0!</v>
      </c>
      <c r="V355" s="41" t="e">
        <f>T355/X355</f>
        <v>#DIV/0!</v>
      </c>
      <c r="W355" s="41" t="e">
        <f>V355*AU355</f>
        <v>#DIV/0!</v>
      </c>
      <c r="X355" s="41">
        <f t="shared" si="56"/>
        <v>0</v>
      </c>
      <c r="Y355" s="41">
        <v>0</v>
      </c>
      <c r="Z355" s="41">
        <v>0</v>
      </c>
      <c r="AA355" s="41">
        <v>0</v>
      </c>
      <c r="AB355" s="41"/>
      <c r="AC355" s="41" t="e">
        <f t="shared" si="52"/>
        <v>#DIV/0!</v>
      </c>
      <c r="AD355" s="41"/>
      <c r="AE355" s="41" t="e">
        <f t="shared" si="53"/>
        <v>#DIV/0!</v>
      </c>
      <c r="AF355" s="41" t="e">
        <f>X355/AU355</f>
        <v>#DIV/0!</v>
      </c>
      <c r="AG355" s="41" t="e">
        <f t="shared" si="57"/>
        <v>#DIV/0!</v>
      </c>
      <c r="AH355" s="36">
        <v>45397</v>
      </c>
      <c r="AI355" s="36"/>
      <c r="AJ355" s="36"/>
      <c r="AK355" s="36"/>
      <c r="AL355" s="36"/>
      <c r="AM355" s="46"/>
      <c r="AN355" s="40"/>
      <c r="AO355" s="40"/>
      <c r="AP355" s="40"/>
      <c r="AQ355" s="40"/>
      <c r="AR355" s="48"/>
      <c r="AS355" s="37"/>
      <c r="AT355" s="37"/>
      <c r="AU355" s="47"/>
      <c r="AV355" s="37"/>
      <c r="AW355" s="37">
        <v>10</v>
      </c>
      <c r="AX355" s="30">
        <f>(J355*10)/100</f>
        <v>6297.75</v>
      </c>
      <c r="AY355" s="40" t="s">
        <v>431</v>
      </c>
    </row>
    <row r="356" spans="1:51" ht="41.25" customHeight="1" x14ac:dyDescent="0.25">
      <c r="A356" s="35" t="s">
        <v>2194</v>
      </c>
      <c r="B356" s="36">
        <v>45337</v>
      </c>
      <c r="C356" s="40" t="s">
        <v>2052</v>
      </c>
      <c r="D356" s="35"/>
      <c r="E356" s="39" t="s">
        <v>2195</v>
      </c>
      <c r="F356" s="36">
        <v>45350</v>
      </c>
      <c r="G356" s="37" t="s">
        <v>2196</v>
      </c>
      <c r="H356" s="40" t="s">
        <v>1115</v>
      </c>
      <c r="I356" s="63" t="s">
        <v>1538</v>
      </c>
      <c r="J356" s="41">
        <v>2490397.2000000002</v>
      </c>
      <c r="K356" s="41">
        <v>0</v>
      </c>
      <c r="L356" s="54">
        <v>0</v>
      </c>
      <c r="M356" s="54">
        <v>0</v>
      </c>
      <c r="N356" s="42">
        <f t="shared" si="59"/>
        <v>0</v>
      </c>
      <c r="O356" s="43">
        <f t="shared" si="54"/>
        <v>0</v>
      </c>
      <c r="P356" s="41">
        <v>2490397.2000000002</v>
      </c>
      <c r="Q356" s="43">
        <f t="shared" si="55"/>
        <v>0</v>
      </c>
      <c r="R356" s="41">
        <v>2490397.2000000002</v>
      </c>
      <c r="S356" s="30">
        <f t="shared" si="58"/>
        <v>2490397.2000000002</v>
      </c>
      <c r="T356" s="30">
        <f t="shared" si="58"/>
        <v>2490397.2000000002</v>
      </c>
      <c r="U356" s="30">
        <f>T356/X356</f>
        <v>4.66</v>
      </c>
      <c r="V356" s="41">
        <f>T356/X356</f>
        <v>4.66</v>
      </c>
      <c r="W356" s="41">
        <f>V356*AU356</f>
        <v>139.80000000000001</v>
      </c>
      <c r="X356" s="41">
        <f t="shared" si="56"/>
        <v>534420</v>
      </c>
      <c r="Y356" s="41">
        <v>534420</v>
      </c>
      <c r="Z356" s="41">
        <v>0</v>
      </c>
      <c r="AA356" s="41">
        <v>0</v>
      </c>
      <c r="AB356" s="41">
        <v>0</v>
      </c>
      <c r="AC356" s="41">
        <f t="shared" si="52"/>
        <v>0</v>
      </c>
      <c r="AD356" s="41">
        <v>0</v>
      </c>
      <c r="AE356" s="41">
        <f t="shared" si="53"/>
        <v>0</v>
      </c>
      <c r="AF356" s="41">
        <f>X356/AU356</f>
        <v>17814</v>
      </c>
      <c r="AG356" s="41">
        <f t="shared" si="57"/>
        <v>17814</v>
      </c>
      <c r="AH356" s="36">
        <v>45397</v>
      </c>
      <c r="AI356" s="36"/>
      <c r="AJ356" s="36"/>
      <c r="AK356" s="36">
        <v>45427</v>
      </c>
      <c r="AL356" s="36"/>
      <c r="AM356" s="46"/>
      <c r="AN356" s="40" t="s">
        <v>1539</v>
      </c>
      <c r="AO356" s="40" t="s">
        <v>2197</v>
      </c>
      <c r="AP356" s="40" t="s">
        <v>1541</v>
      </c>
      <c r="AQ356" s="40" t="s">
        <v>80</v>
      </c>
      <c r="AR356" s="48">
        <v>100</v>
      </c>
      <c r="AS356" s="37">
        <v>0</v>
      </c>
      <c r="AT356" s="37" t="s">
        <v>386</v>
      </c>
      <c r="AU356" s="47">
        <v>30</v>
      </c>
      <c r="AV356" s="37" t="s">
        <v>219</v>
      </c>
      <c r="AW356" s="37">
        <v>10</v>
      </c>
      <c r="AX356" s="30">
        <f>(J356*10)/100</f>
        <v>249039.72</v>
      </c>
      <c r="AY356" s="40" t="s">
        <v>402</v>
      </c>
    </row>
    <row r="357" spans="1:51" ht="41.25" customHeight="1" x14ac:dyDescent="0.25">
      <c r="A357" s="35" t="s">
        <v>2198</v>
      </c>
      <c r="B357" s="36">
        <v>45337</v>
      </c>
      <c r="C357" s="40" t="s">
        <v>2052</v>
      </c>
      <c r="D357" s="35"/>
      <c r="E357" s="39" t="s">
        <v>2199</v>
      </c>
      <c r="F357" s="36">
        <v>45350</v>
      </c>
      <c r="G357" s="37" t="s">
        <v>2200</v>
      </c>
      <c r="H357" s="40" t="s">
        <v>1115</v>
      </c>
      <c r="I357" s="63" t="s">
        <v>1586</v>
      </c>
      <c r="J357" s="41">
        <v>17424</v>
      </c>
      <c r="K357" s="41">
        <v>0</v>
      </c>
      <c r="L357" s="54">
        <v>0</v>
      </c>
      <c r="M357" s="54">
        <v>0</v>
      </c>
      <c r="N357" s="42">
        <f t="shared" si="59"/>
        <v>0</v>
      </c>
      <c r="O357" s="43">
        <f t="shared" si="54"/>
        <v>0</v>
      </c>
      <c r="P357" s="41">
        <v>17424</v>
      </c>
      <c r="Q357" s="43">
        <f t="shared" si="55"/>
        <v>0</v>
      </c>
      <c r="R357" s="41">
        <v>17424</v>
      </c>
      <c r="S357" s="30">
        <f t="shared" si="58"/>
        <v>17424</v>
      </c>
      <c r="T357" s="30">
        <f t="shared" si="58"/>
        <v>17424</v>
      </c>
      <c r="U357" s="30">
        <f>T357/X357</f>
        <v>48.4</v>
      </c>
      <c r="V357" s="41">
        <f>T357/X357</f>
        <v>48.4</v>
      </c>
      <c r="W357" s="41">
        <f>V357*AU357</f>
        <v>2904</v>
      </c>
      <c r="X357" s="41">
        <f t="shared" si="56"/>
        <v>360</v>
      </c>
      <c r="Y357" s="41">
        <v>360</v>
      </c>
      <c r="Z357" s="41">
        <v>0</v>
      </c>
      <c r="AA357" s="41">
        <v>0</v>
      </c>
      <c r="AB357" s="41">
        <v>0</v>
      </c>
      <c r="AC357" s="41">
        <f t="shared" si="52"/>
        <v>0</v>
      </c>
      <c r="AD357" s="41">
        <v>0</v>
      </c>
      <c r="AE357" s="41">
        <f t="shared" si="53"/>
        <v>0</v>
      </c>
      <c r="AF357" s="41">
        <f>X357/AU357</f>
        <v>6</v>
      </c>
      <c r="AG357" s="41">
        <f t="shared" si="57"/>
        <v>6</v>
      </c>
      <c r="AH357" s="36">
        <v>45397</v>
      </c>
      <c r="AI357" s="36"/>
      <c r="AJ357" s="36"/>
      <c r="AK357" s="36">
        <v>45427</v>
      </c>
      <c r="AL357" s="36"/>
      <c r="AM357" s="46"/>
      <c r="AN357" s="40" t="s">
        <v>2201</v>
      </c>
      <c r="AO357" s="40" t="s">
        <v>2202</v>
      </c>
      <c r="AP357" s="40" t="s">
        <v>2203</v>
      </c>
      <c r="AQ357" s="40" t="s">
        <v>80</v>
      </c>
      <c r="AR357" s="48">
        <v>100</v>
      </c>
      <c r="AS357" s="37">
        <v>0</v>
      </c>
      <c r="AT357" s="37" t="s">
        <v>386</v>
      </c>
      <c r="AU357" s="47">
        <v>60</v>
      </c>
      <c r="AV357" s="37" t="s">
        <v>219</v>
      </c>
      <c r="AW357" s="37">
        <v>10</v>
      </c>
      <c r="AX357" s="30">
        <f>(J357*10)/100</f>
        <v>1742.4</v>
      </c>
      <c r="AY357" s="40" t="s">
        <v>402</v>
      </c>
    </row>
    <row r="358" spans="1:51" ht="41.25" customHeight="1" x14ac:dyDescent="0.25">
      <c r="A358" s="35" t="s">
        <v>2204</v>
      </c>
      <c r="B358" s="36">
        <v>45337</v>
      </c>
      <c r="C358" s="40" t="s">
        <v>2189</v>
      </c>
      <c r="D358" s="35"/>
      <c r="E358" s="39" t="s">
        <v>2205</v>
      </c>
      <c r="F358" s="36">
        <v>45350</v>
      </c>
      <c r="G358" s="37" t="s">
        <v>2206</v>
      </c>
      <c r="H358" s="40" t="s">
        <v>2162</v>
      </c>
      <c r="I358" s="63" t="s">
        <v>2187</v>
      </c>
      <c r="J358" s="41">
        <v>3802660.95</v>
      </c>
      <c r="K358" s="41">
        <v>0</v>
      </c>
      <c r="L358" s="54">
        <v>0</v>
      </c>
      <c r="M358" s="54">
        <v>0</v>
      </c>
      <c r="N358" s="42">
        <f t="shared" si="59"/>
        <v>0</v>
      </c>
      <c r="O358" s="43">
        <f t="shared" si="54"/>
        <v>0</v>
      </c>
      <c r="P358" s="41">
        <v>3802660.95</v>
      </c>
      <c r="Q358" s="43">
        <f t="shared" si="55"/>
        <v>0</v>
      </c>
      <c r="R358" s="41">
        <v>3802660.95</v>
      </c>
      <c r="S358" s="30">
        <f t="shared" si="58"/>
        <v>3802660.95</v>
      </c>
      <c r="T358" s="30">
        <f t="shared" si="58"/>
        <v>3802660.95</v>
      </c>
      <c r="U358" s="30">
        <f>T358/X358</f>
        <v>1212.97</v>
      </c>
      <c r="V358" s="41">
        <f>T358/X358</f>
        <v>1212.97</v>
      </c>
      <c r="W358" s="41">
        <f>V358*AU358</f>
        <v>18194.55</v>
      </c>
      <c r="X358" s="41">
        <f t="shared" si="56"/>
        <v>3135</v>
      </c>
      <c r="Y358" s="41">
        <v>3135</v>
      </c>
      <c r="Z358" s="41">
        <v>0</v>
      </c>
      <c r="AA358" s="41">
        <v>0</v>
      </c>
      <c r="AB358" s="41">
        <v>0</v>
      </c>
      <c r="AC358" s="41">
        <f t="shared" si="52"/>
        <v>0</v>
      </c>
      <c r="AD358" s="41">
        <v>3135</v>
      </c>
      <c r="AE358" s="41">
        <f t="shared" si="53"/>
        <v>3802660.95</v>
      </c>
      <c r="AF358" s="41">
        <f>X358/AU358</f>
        <v>209</v>
      </c>
      <c r="AG358" s="41">
        <f t="shared" si="57"/>
        <v>209</v>
      </c>
      <c r="AH358" s="36">
        <v>45413</v>
      </c>
      <c r="AI358" s="36"/>
      <c r="AJ358" s="36"/>
      <c r="AK358" s="36">
        <v>45444</v>
      </c>
      <c r="AL358" s="36"/>
      <c r="AM358" s="46"/>
      <c r="AN358" s="40" t="s">
        <v>2207</v>
      </c>
      <c r="AO358" s="40" t="s">
        <v>2208</v>
      </c>
      <c r="AP358" s="40" t="s">
        <v>2209</v>
      </c>
      <c r="AQ358" s="40" t="s">
        <v>80</v>
      </c>
      <c r="AR358" s="48">
        <v>100</v>
      </c>
      <c r="AS358" s="37">
        <v>0</v>
      </c>
      <c r="AT358" s="37" t="s">
        <v>386</v>
      </c>
      <c r="AU358" s="47">
        <v>15</v>
      </c>
      <c r="AV358" s="37" t="s">
        <v>219</v>
      </c>
      <c r="AW358" s="37">
        <v>10</v>
      </c>
      <c r="AX358" s="30">
        <f>(J358*10)/100</f>
        <v>380266.09499999997</v>
      </c>
      <c r="AY358" s="40" t="s">
        <v>402</v>
      </c>
    </row>
    <row r="359" spans="1:51" ht="41.25" customHeight="1" x14ac:dyDescent="0.25">
      <c r="A359" s="35" t="s">
        <v>2210</v>
      </c>
      <c r="B359" s="36">
        <v>45337</v>
      </c>
      <c r="C359" s="40" t="s">
        <v>2052</v>
      </c>
      <c r="D359" s="35" t="s">
        <v>431</v>
      </c>
      <c r="E359" s="39" t="s">
        <v>2211</v>
      </c>
      <c r="F359" s="35" t="s">
        <v>431</v>
      </c>
      <c r="G359" s="35" t="s">
        <v>431</v>
      </c>
      <c r="H359" s="35" t="s">
        <v>431</v>
      </c>
      <c r="I359" s="63" t="s">
        <v>1667</v>
      </c>
      <c r="J359" s="41">
        <v>46909.8</v>
      </c>
      <c r="K359" s="41">
        <v>0</v>
      </c>
      <c r="L359" s="54">
        <v>0</v>
      </c>
      <c r="M359" s="54">
        <v>0</v>
      </c>
      <c r="N359" s="42">
        <f t="shared" si="59"/>
        <v>100</v>
      </c>
      <c r="O359" s="43">
        <f t="shared" si="54"/>
        <v>46909.8</v>
      </c>
      <c r="P359" s="41"/>
      <c r="Q359" s="43">
        <f t="shared" si="55"/>
        <v>46909.8</v>
      </c>
      <c r="R359" s="41">
        <v>0</v>
      </c>
      <c r="S359" s="30">
        <f t="shared" si="58"/>
        <v>0</v>
      </c>
      <c r="T359" s="30">
        <f t="shared" si="58"/>
        <v>0</v>
      </c>
      <c r="U359" s="30" t="e">
        <f>T359/X359</f>
        <v>#DIV/0!</v>
      </c>
      <c r="V359" s="41" t="e">
        <f>T359/X359</f>
        <v>#DIV/0!</v>
      </c>
      <c r="W359" s="41" t="e">
        <f>V359*AU359</f>
        <v>#DIV/0!</v>
      </c>
      <c r="X359" s="41">
        <f t="shared" si="56"/>
        <v>0</v>
      </c>
      <c r="Y359" s="41">
        <v>0</v>
      </c>
      <c r="Z359" s="41">
        <v>0</v>
      </c>
      <c r="AA359" s="41">
        <v>0</v>
      </c>
      <c r="AB359" s="41"/>
      <c r="AC359" s="41" t="e">
        <f t="shared" si="52"/>
        <v>#DIV/0!</v>
      </c>
      <c r="AD359" s="41"/>
      <c r="AE359" s="41" t="e">
        <f t="shared" si="53"/>
        <v>#DIV/0!</v>
      </c>
      <c r="AF359" s="41" t="e">
        <f>X359/AU359</f>
        <v>#DIV/0!</v>
      </c>
      <c r="AG359" s="41" t="e">
        <f t="shared" si="57"/>
        <v>#DIV/0!</v>
      </c>
      <c r="AH359" s="36">
        <v>45397</v>
      </c>
      <c r="AI359" s="36"/>
      <c r="AJ359" s="36"/>
      <c r="AK359" s="36"/>
      <c r="AL359" s="36"/>
      <c r="AM359" s="46"/>
      <c r="AN359" s="40"/>
      <c r="AO359" s="40"/>
      <c r="AP359" s="40"/>
      <c r="AQ359" s="40"/>
      <c r="AR359" s="48"/>
      <c r="AS359" s="37"/>
      <c r="AT359" s="37"/>
      <c r="AU359" s="47"/>
      <c r="AV359" s="37"/>
      <c r="AW359" s="37">
        <v>10</v>
      </c>
      <c r="AX359" s="30">
        <f>(J359*10)/100</f>
        <v>4690.9799999999996</v>
      </c>
      <c r="AY359" s="40" t="s">
        <v>431</v>
      </c>
    </row>
    <row r="360" spans="1:51" ht="41.25" customHeight="1" x14ac:dyDescent="0.25">
      <c r="A360" s="35" t="s">
        <v>2212</v>
      </c>
      <c r="B360" s="36">
        <v>45337</v>
      </c>
      <c r="C360" s="40" t="s">
        <v>2052</v>
      </c>
      <c r="D360" s="35" t="s">
        <v>431</v>
      </c>
      <c r="E360" s="39" t="s">
        <v>2213</v>
      </c>
      <c r="F360" s="35" t="s">
        <v>431</v>
      </c>
      <c r="G360" s="35" t="s">
        <v>431</v>
      </c>
      <c r="H360" s="35" t="s">
        <v>431</v>
      </c>
      <c r="I360" s="63" t="s">
        <v>1514</v>
      </c>
      <c r="J360" s="41">
        <v>3838479.3</v>
      </c>
      <c r="K360" s="41">
        <v>0</v>
      </c>
      <c r="L360" s="54">
        <v>0</v>
      </c>
      <c r="M360" s="54">
        <v>0</v>
      </c>
      <c r="N360" s="42">
        <f t="shared" si="59"/>
        <v>100</v>
      </c>
      <c r="O360" s="43">
        <f t="shared" si="54"/>
        <v>3838479.3</v>
      </c>
      <c r="P360" s="41"/>
      <c r="Q360" s="43">
        <f t="shared" si="55"/>
        <v>3838479.3</v>
      </c>
      <c r="R360" s="41">
        <v>0</v>
      </c>
      <c r="S360" s="30">
        <f t="shared" si="58"/>
        <v>0</v>
      </c>
      <c r="T360" s="30">
        <f t="shared" si="58"/>
        <v>0</v>
      </c>
      <c r="U360" s="30" t="e">
        <f>T360/X360</f>
        <v>#DIV/0!</v>
      </c>
      <c r="V360" s="41" t="e">
        <f>T360/X360</f>
        <v>#DIV/0!</v>
      </c>
      <c r="W360" s="41" t="e">
        <f>V360*AU360</f>
        <v>#DIV/0!</v>
      </c>
      <c r="X360" s="41">
        <f t="shared" si="56"/>
        <v>0</v>
      </c>
      <c r="Y360" s="41">
        <v>0</v>
      </c>
      <c r="Z360" s="41">
        <v>0</v>
      </c>
      <c r="AA360" s="41">
        <v>0</v>
      </c>
      <c r="AB360" s="41"/>
      <c r="AC360" s="41" t="e">
        <f t="shared" si="52"/>
        <v>#DIV/0!</v>
      </c>
      <c r="AD360" s="41"/>
      <c r="AE360" s="41" t="e">
        <f t="shared" si="53"/>
        <v>#DIV/0!</v>
      </c>
      <c r="AF360" s="41" t="e">
        <f>X360/AU360</f>
        <v>#DIV/0!</v>
      </c>
      <c r="AG360" s="41" t="e">
        <f t="shared" si="57"/>
        <v>#DIV/0!</v>
      </c>
      <c r="AH360" s="36">
        <v>45397</v>
      </c>
      <c r="AI360" s="36"/>
      <c r="AJ360" s="36"/>
      <c r="AK360" s="36"/>
      <c r="AL360" s="36"/>
      <c r="AM360" s="46"/>
      <c r="AN360" s="40"/>
      <c r="AO360" s="40"/>
      <c r="AP360" s="40"/>
      <c r="AQ360" s="40"/>
      <c r="AR360" s="48"/>
      <c r="AS360" s="37"/>
      <c r="AT360" s="37"/>
      <c r="AU360" s="47"/>
      <c r="AV360" s="37"/>
      <c r="AW360" s="37">
        <v>10</v>
      </c>
      <c r="AX360" s="30">
        <f>(J360*10)/100</f>
        <v>383847.93</v>
      </c>
      <c r="AY360" s="40" t="s">
        <v>431</v>
      </c>
    </row>
    <row r="361" spans="1:51" ht="41.25" customHeight="1" x14ac:dyDescent="0.25">
      <c r="A361" s="59" t="s">
        <v>2214</v>
      </c>
      <c r="B361" s="60">
        <v>45338</v>
      </c>
      <c r="C361" s="37">
        <v>1416</v>
      </c>
      <c r="D361" s="35"/>
      <c r="E361" s="39" t="s">
        <v>2215</v>
      </c>
      <c r="F361" s="36"/>
      <c r="G361" s="37"/>
      <c r="H361" s="40"/>
      <c r="I361" s="62" t="s">
        <v>1027</v>
      </c>
      <c r="J361" s="61">
        <v>2708640</v>
      </c>
      <c r="K361" s="41"/>
      <c r="L361" s="54"/>
      <c r="M361" s="54"/>
      <c r="N361" s="42"/>
      <c r="O361" s="43"/>
      <c r="P361" s="41"/>
      <c r="Q361" s="43"/>
      <c r="R361" s="41"/>
      <c r="S361" s="30"/>
      <c r="T361" s="30"/>
      <c r="U361" s="30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36">
        <v>45474</v>
      </c>
      <c r="AI361" s="36"/>
      <c r="AJ361" s="36"/>
      <c r="AK361" s="36"/>
      <c r="AL361" s="36"/>
      <c r="AM361" s="46"/>
      <c r="AN361" s="40"/>
      <c r="AO361" s="40"/>
      <c r="AP361" s="40"/>
      <c r="AQ361" s="40"/>
      <c r="AR361" s="48"/>
      <c r="AS361" s="37"/>
      <c r="AT361" s="37"/>
      <c r="AU361" s="47"/>
      <c r="AV361" s="37"/>
      <c r="AW361" s="37"/>
      <c r="AX361" s="30"/>
      <c r="AY361" s="40"/>
    </row>
    <row r="362" spans="1:51" ht="48" customHeight="1" x14ac:dyDescent="0.25">
      <c r="A362" s="59" t="s">
        <v>2216</v>
      </c>
      <c r="B362" s="60">
        <v>45338</v>
      </c>
      <c r="C362" s="37" t="s">
        <v>432</v>
      </c>
      <c r="D362" s="35"/>
      <c r="E362" s="39" t="s">
        <v>2217</v>
      </c>
      <c r="F362" s="36"/>
      <c r="G362" s="37"/>
      <c r="H362" s="40"/>
      <c r="I362" s="64" t="s">
        <v>1927</v>
      </c>
      <c r="J362" s="61">
        <v>26264656.800000001</v>
      </c>
      <c r="K362" s="41">
        <v>0</v>
      </c>
      <c r="L362" s="54">
        <v>0</v>
      </c>
      <c r="M362" s="54">
        <v>0</v>
      </c>
      <c r="N362" s="42">
        <f t="shared" si="59"/>
        <v>100</v>
      </c>
      <c r="O362" s="43">
        <f t="shared" si="54"/>
        <v>26264656.800000001</v>
      </c>
      <c r="P362" s="41"/>
      <c r="Q362" s="43">
        <f t="shared" si="55"/>
        <v>26264656.800000001</v>
      </c>
      <c r="R362" s="41">
        <v>0</v>
      </c>
      <c r="S362" s="30">
        <f t="shared" si="58"/>
        <v>0</v>
      </c>
      <c r="T362" s="30">
        <f t="shared" si="58"/>
        <v>0</v>
      </c>
      <c r="U362" s="30" t="e">
        <f>T362/X362</f>
        <v>#DIV/0!</v>
      </c>
      <c r="V362" s="41" t="e">
        <f>T362/X362</f>
        <v>#DIV/0!</v>
      </c>
      <c r="W362" s="41" t="e">
        <f>V362*AU362</f>
        <v>#DIV/0!</v>
      </c>
      <c r="X362" s="41">
        <f t="shared" si="56"/>
        <v>0</v>
      </c>
      <c r="Y362" s="41">
        <v>0</v>
      </c>
      <c r="Z362" s="41">
        <v>0</v>
      </c>
      <c r="AA362" s="41">
        <v>0</v>
      </c>
      <c r="AB362" s="41"/>
      <c r="AC362" s="41" t="e">
        <f t="shared" si="52"/>
        <v>#DIV/0!</v>
      </c>
      <c r="AD362" s="41"/>
      <c r="AE362" s="41" t="e">
        <f t="shared" si="53"/>
        <v>#DIV/0!</v>
      </c>
      <c r="AF362" s="41" t="e">
        <f>X362/AU362</f>
        <v>#DIV/0!</v>
      </c>
      <c r="AG362" s="41" t="e">
        <f t="shared" si="57"/>
        <v>#DIV/0!</v>
      </c>
      <c r="AH362" s="36">
        <v>45397</v>
      </c>
      <c r="AI362" s="36"/>
      <c r="AJ362" s="36"/>
      <c r="AK362" s="36"/>
      <c r="AL362" s="36"/>
      <c r="AM362" s="46"/>
      <c r="AN362" s="40"/>
      <c r="AO362" s="40"/>
      <c r="AP362" s="40"/>
      <c r="AQ362" s="40"/>
      <c r="AR362" s="48"/>
      <c r="AS362" s="37"/>
      <c r="AT362" s="37"/>
      <c r="AU362" s="47"/>
      <c r="AV362" s="37"/>
      <c r="AW362" s="37">
        <v>10</v>
      </c>
      <c r="AX362" s="30">
        <f>(J362*10)/100</f>
        <v>2626465.6800000002</v>
      </c>
      <c r="AY362" s="40"/>
    </row>
    <row r="363" spans="1:51" ht="48" customHeight="1" x14ac:dyDescent="0.25">
      <c r="A363" s="59" t="s">
        <v>2218</v>
      </c>
      <c r="B363" s="60">
        <v>45338</v>
      </c>
      <c r="C363" s="37" t="s">
        <v>432</v>
      </c>
      <c r="D363" s="35"/>
      <c r="E363" s="39" t="s">
        <v>2219</v>
      </c>
      <c r="F363" s="36"/>
      <c r="G363" s="37"/>
      <c r="H363" s="40"/>
      <c r="I363" s="62" t="s">
        <v>1670</v>
      </c>
      <c r="J363" s="61">
        <v>2657054.4</v>
      </c>
      <c r="K363" s="41">
        <v>0</v>
      </c>
      <c r="L363" s="54">
        <v>0</v>
      </c>
      <c r="M363" s="54">
        <v>0</v>
      </c>
      <c r="N363" s="42">
        <f t="shared" si="59"/>
        <v>100</v>
      </c>
      <c r="O363" s="43">
        <f t="shared" si="54"/>
        <v>2657054.4</v>
      </c>
      <c r="P363" s="41"/>
      <c r="Q363" s="43">
        <f t="shared" si="55"/>
        <v>2657054.4</v>
      </c>
      <c r="R363" s="41">
        <v>0</v>
      </c>
      <c r="S363" s="30">
        <f t="shared" si="58"/>
        <v>0</v>
      </c>
      <c r="T363" s="30">
        <f t="shared" si="58"/>
        <v>0</v>
      </c>
      <c r="U363" s="30" t="e">
        <f>T363/X363</f>
        <v>#DIV/0!</v>
      </c>
      <c r="V363" s="41" t="e">
        <f>T363/X363</f>
        <v>#DIV/0!</v>
      </c>
      <c r="W363" s="41" t="e">
        <f>V363*AU363</f>
        <v>#DIV/0!</v>
      </c>
      <c r="X363" s="41">
        <f t="shared" si="56"/>
        <v>0</v>
      </c>
      <c r="Y363" s="41">
        <v>0</v>
      </c>
      <c r="Z363" s="41">
        <v>0</v>
      </c>
      <c r="AA363" s="41">
        <v>0</v>
      </c>
      <c r="AB363" s="41"/>
      <c r="AC363" s="41" t="e">
        <f t="shared" si="52"/>
        <v>#DIV/0!</v>
      </c>
      <c r="AD363" s="41"/>
      <c r="AE363" s="41" t="e">
        <f t="shared" si="53"/>
        <v>#DIV/0!</v>
      </c>
      <c r="AF363" s="41" t="e">
        <f>X363/AU363</f>
        <v>#DIV/0!</v>
      </c>
      <c r="AG363" s="41" t="e">
        <f t="shared" si="57"/>
        <v>#DIV/0!</v>
      </c>
      <c r="AH363" s="36">
        <v>45397</v>
      </c>
      <c r="AI363" s="36"/>
      <c r="AJ363" s="36"/>
      <c r="AK363" s="36"/>
      <c r="AL363" s="36"/>
      <c r="AM363" s="46"/>
      <c r="AN363" s="40"/>
      <c r="AO363" s="40"/>
      <c r="AP363" s="40"/>
      <c r="AQ363" s="40"/>
      <c r="AR363" s="48"/>
      <c r="AS363" s="37"/>
      <c r="AT363" s="37"/>
      <c r="AU363" s="47"/>
      <c r="AV363" s="37"/>
      <c r="AW363" s="37">
        <v>10</v>
      </c>
      <c r="AX363" s="30">
        <f>(J363*10)/100</f>
        <v>265705.44</v>
      </c>
      <c r="AY363" s="40"/>
    </row>
    <row r="364" spans="1:51" ht="48" customHeight="1" x14ac:dyDescent="0.25">
      <c r="A364" s="59" t="s">
        <v>2220</v>
      </c>
      <c r="B364" s="60">
        <v>45338</v>
      </c>
      <c r="C364" s="40" t="s">
        <v>2060</v>
      </c>
      <c r="D364" s="35"/>
      <c r="E364" s="39" t="s">
        <v>2221</v>
      </c>
      <c r="F364" s="36">
        <v>45351</v>
      </c>
      <c r="G364" s="59" t="s">
        <v>2222</v>
      </c>
      <c r="H364" s="40" t="s">
        <v>1115</v>
      </c>
      <c r="I364" s="62" t="s">
        <v>2223</v>
      </c>
      <c r="J364" s="61">
        <v>201371.5</v>
      </c>
      <c r="K364" s="41">
        <v>0</v>
      </c>
      <c r="L364" s="54">
        <v>0</v>
      </c>
      <c r="M364" s="54">
        <v>0</v>
      </c>
      <c r="N364" s="42">
        <f t="shared" si="59"/>
        <v>11.308203991130821</v>
      </c>
      <c r="O364" s="43">
        <f t="shared" si="54"/>
        <v>22771.5</v>
      </c>
      <c r="P364" s="41">
        <v>178600</v>
      </c>
      <c r="Q364" s="43">
        <f t="shared" si="55"/>
        <v>22771.5</v>
      </c>
      <c r="R364" s="41">
        <v>178600</v>
      </c>
      <c r="S364" s="30">
        <f t="shared" si="58"/>
        <v>178600</v>
      </c>
      <c r="T364" s="30">
        <f t="shared" si="58"/>
        <v>178600</v>
      </c>
      <c r="U364" s="30">
        <f>T364/X364</f>
        <v>20</v>
      </c>
      <c r="V364" s="41">
        <f>T364/X364</f>
        <v>20</v>
      </c>
      <c r="W364" s="41">
        <f>V364*AU364</f>
        <v>100</v>
      </c>
      <c r="X364" s="41">
        <f t="shared" si="56"/>
        <v>8930</v>
      </c>
      <c r="Y364" s="41">
        <v>8930</v>
      </c>
      <c r="Z364" s="41">
        <v>0</v>
      </c>
      <c r="AA364" s="41">
        <v>0</v>
      </c>
      <c r="AB364" s="41">
        <v>0</v>
      </c>
      <c r="AC364" s="41">
        <f t="shared" si="52"/>
        <v>0</v>
      </c>
      <c r="AD364" s="41">
        <v>0</v>
      </c>
      <c r="AE364" s="41">
        <f t="shared" si="53"/>
        <v>0</v>
      </c>
      <c r="AF364" s="41">
        <f>X364/AU364</f>
        <v>1786</v>
      </c>
      <c r="AG364" s="41">
        <f t="shared" si="57"/>
        <v>1786</v>
      </c>
      <c r="AH364" s="36">
        <v>45397</v>
      </c>
      <c r="AI364" s="36"/>
      <c r="AJ364" s="36"/>
      <c r="AK364" s="36">
        <v>45427</v>
      </c>
      <c r="AL364" s="36"/>
      <c r="AM364" s="46"/>
      <c r="AN364" s="40" t="s">
        <v>2224</v>
      </c>
      <c r="AO364" s="40" t="s">
        <v>2225</v>
      </c>
      <c r="AP364" s="40" t="s">
        <v>2226</v>
      </c>
      <c r="AQ364" s="40" t="s">
        <v>80</v>
      </c>
      <c r="AR364" s="48">
        <v>100</v>
      </c>
      <c r="AS364" s="37">
        <v>0</v>
      </c>
      <c r="AT364" s="37" t="s">
        <v>386</v>
      </c>
      <c r="AU364" s="47">
        <v>5</v>
      </c>
      <c r="AV364" s="37" t="s">
        <v>219</v>
      </c>
      <c r="AW364" s="37">
        <v>10</v>
      </c>
      <c r="AX364" s="30">
        <f>(J364*10)/100</f>
        <v>20137.150000000001</v>
      </c>
      <c r="AY364" s="40" t="s">
        <v>402</v>
      </c>
    </row>
    <row r="365" spans="1:51" ht="48" customHeight="1" x14ac:dyDescent="0.25">
      <c r="A365" s="59" t="s">
        <v>2227</v>
      </c>
      <c r="B365" s="60">
        <v>45338</v>
      </c>
      <c r="C365" s="40" t="s">
        <v>2060</v>
      </c>
      <c r="D365" s="35"/>
      <c r="E365" s="39" t="s">
        <v>2228</v>
      </c>
      <c r="F365" s="36">
        <v>45351</v>
      </c>
      <c r="G365" s="59" t="s">
        <v>2229</v>
      </c>
      <c r="H365" s="40" t="s">
        <v>224</v>
      </c>
      <c r="I365" s="62" t="s">
        <v>2096</v>
      </c>
      <c r="J365" s="61">
        <v>9343867.1999999993</v>
      </c>
      <c r="K365" s="41">
        <v>0</v>
      </c>
      <c r="L365" s="54">
        <v>0</v>
      </c>
      <c r="M365" s="54">
        <v>0</v>
      </c>
      <c r="N365" s="42">
        <f t="shared" si="59"/>
        <v>0</v>
      </c>
      <c r="O365" s="43">
        <f t="shared" si="54"/>
        <v>0</v>
      </c>
      <c r="P365" s="61">
        <v>9343867.1999999993</v>
      </c>
      <c r="Q365" s="43">
        <f t="shared" si="55"/>
        <v>0</v>
      </c>
      <c r="R365" s="61">
        <v>9343867.1999999993</v>
      </c>
      <c r="S365" s="30">
        <f t="shared" si="58"/>
        <v>9343867.1999999993</v>
      </c>
      <c r="T365" s="30">
        <f t="shared" si="58"/>
        <v>9343867.1999999993</v>
      </c>
      <c r="U365" s="30">
        <f>T365/X365</f>
        <v>32.39</v>
      </c>
      <c r="V365" s="41">
        <f>T365/X365</f>
        <v>32.39</v>
      </c>
      <c r="W365" s="41" t="e">
        <f>V365*AU365</f>
        <v>#VALUE!</v>
      </c>
      <c r="X365" s="41">
        <f t="shared" si="56"/>
        <v>288480</v>
      </c>
      <c r="Y365" s="41">
        <v>288480</v>
      </c>
      <c r="Z365" s="41">
        <v>0</v>
      </c>
      <c r="AA365" s="41">
        <v>0</v>
      </c>
      <c r="AB365" s="41">
        <v>0</v>
      </c>
      <c r="AC365" s="41">
        <f t="shared" si="52"/>
        <v>0</v>
      </c>
      <c r="AD365" s="41">
        <v>0</v>
      </c>
      <c r="AE365" s="41">
        <f t="shared" si="53"/>
        <v>0</v>
      </c>
      <c r="AF365" s="41" t="e">
        <f>X365/AU365</f>
        <v>#VALUE!</v>
      </c>
      <c r="AG365" s="41" t="e">
        <f t="shared" si="57"/>
        <v>#VALUE!</v>
      </c>
      <c r="AH365" s="36">
        <v>45397</v>
      </c>
      <c r="AI365" s="36"/>
      <c r="AJ365" s="36"/>
      <c r="AK365" s="36">
        <v>45427</v>
      </c>
      <c r="AL365" s="36"/>
      <c r="AM365" s="46"/>
      <c r="AN365" s="40" t="s">
        <v>2230</v>
      </c>
      <c r="AO365" s="40" t="s">
        <v>2231</v>
      </c>
      <c r="AP365" s="40" t="s">
        <v>2232</v>
      </c>
      <c r="AQ365" s="40" t="s">
        <v>80</v>
      </c>
      <c r="AR365" s="48">
        <v>100</v>
      </c>
      <c r="AS365" s="37">
        <v>0</v>
      </c>
      <c r="AT365" s="37" t="s">
        <v>386</v>
      </c>
      <c r="AU365" s="51" t="s">
        <v>2233</v>
      </c>
      <c r="AV365" s="37" t="s">
        <v>219</v>
      </c>
      <c r="AW365" s="37">
        <v>10</v>
      </c>
      <c r="AX365" s="30">
        <f>(J365*10)/100</f>
        <v>934386.72</v>
      </c>
      <c r="AY365" s="40" t="s">
        <v>402</v>
      </c>
    </row>
    <row r="366" spans="1:51" ht="48" customHeight="1" x14ac:dyDescent="0.25">
      <c r="A366" s="59" t="s">
        <v>2234</v>
      </c>
      <c r="B366" s="60">
        <v>45338</v>
      </c>
      <c r="C366" s="37" t="s">
        <v>432</v>
      </c>
      <c r="D366" s="35"/>
      <c r="E366" s="39" t="s">
        <v>2235</v>
      </c>
      <c r="F366" s="36"/>
      <c r="G366" s="37"/>
      <c r="H366" s="40"/>
      <c r="I366" s="62" t="s">
        <v>1514</v>
      </c>
      <c r="J366" s="61">
        <v>317722048.5</v>
      </c>
      <c r="K366" s="41">
        <v>0</v>
      </c>
      <c r="L366" s="54">
        <v>0</v>
      </c>
      <c r="M366" s="54">
        <v>0</v>
      </c>
      <c r="N366" s="42">
        <f t="shared" si="59"/>
        <v>100</v>
      </c>
      <c r="O366" s="43">
        <f t="shared" si="54"/>
        <v>317722048.5</v>
      </c>
      <c r="P366" s="41"/>
      <c r="Q366" s="43">
        <f t="shared" si="55"/>
        <v>317722048.5</v>
      </c>
      <c r="R366" s="41">
        <v>0</v>
      </c>
      <c r="S366" s="30">
        <f t="shared" si="58"/>
        <v>0</v>
      </c>
      <c r="T366" s="30">
        <f t="shared" si="58"/>
        <v>0</v>
      </c>
      <c r="U366" s="30" t="e">
        <f>T366/X366</f>
        <v>#DIV/0!</v>
      </c>
      <c r="V366" s="41" t="e">
        <f>T366/X366</f>
        <v>#DIV/0!</v>
      </c>
      <c r="W366" s="41" t="e">
        <f>V366*AU366</f>
        <v>#DIV/0!</v>
      </c>
      <c r="X366" s="41">
        <f t="shared" si="56"/>
        <v>0</v>
      </c>
      <c r="Y366" s="41">
        <v>0</v>
      </c>
      <c r="Z366" s="41">
        <v>0</v>
      </c>
      <c r="AA366" s="41">
        <v>0</v>
      </c>
      <c r="AB366" s="41"/>
      <c r="AC366" s="41" t="e">
        <f t="shared" si="52"/>
        <v>#DIV/0!</v>
      </c>
      <c r="AD366" s="41"/>
      <c r="AE366" s="41" t="e">
        <f t="shared" si="53"/>
        <v>#DIV/0!</v>
      </c>
      <c r="AF366" s="41" t="e">
        <f>X366/AU366</f>
        <v>#DIV/0!</v>
      </c>
      <c r="AG366" s="41" t="e">
        <f t="shared" si="57"/>
        <v>#DIV/0!</v>
      </c>
      <c r="AH366" s="36">
        <v>45397</v>
      </c>
      <c r="AI366" s="36"/>
      <c r="AJ366" s="36"/>
      <c r="AK366" s="36"/>
      <c r="AL366" s="36"/>
      <c r="AM366" s="46"/>
      <c r="AN366" s="40"/>
      <c r="AO366" s="40"/>
      <c r="AP366" s="40"/>
      <c r="AQ366" s="40"/>
      <c r="AR366" s="48"/>
      <c r="AS366" s="37"/>
      <c r="AT366" s="37"/>
      <c r="AU366" s="47"/>
      <c r="AV366" s="37"/>
      <c r="AW366" s="37">
        <v>10</v>
      </c>
      <c r="AX366" s="30">
        <f>(J366*10)/100</f>
        <v>31772204.850000001</v>
      </c>
      <c r="AY366" s="40"/>
    </row>
    <row r="367" spans="1:51" ht="48" customHeight="1" x14ac:dyDescent="0.25">
      <c r="A367" s="59" t="s">
        <v>2236</v>
      </c>
      <c r="B367" s="60">
        <v>45338</v>
      </c>
      <c r="C367" s="37">
        <v>545</v>
      </c>
      <c r="D367" s="35"/>
      <c r="E367" s="39" t="s">
        <v>2237</v>
      </c>
      <c r="F367" s="36"/>
      <c r="G367" s="37"/>
      <c r="H367" s="40"/>
      <c r="I367" s="64" t="s">
        <v>407</v>
      </c>
      <c r="J367" s="61">
        <v>19348243.199999999</v>
      </c>
      <c r="K367" s="41">
        <v>0</v>
      </c>
      <c r="L367" s="54">
        <v>0</v>
      </c>
      <c r="M367" s="54">
        <v>0</v>
      </c>
      <c r="N367" s="42">
        <f t="shared" si="59"/>
        <v>100</v>
      </c>
      <c r="O367" s="43">
        <f t="shared" si="54"/>
        <v>19348243.199999999</v>
      </c>
      <c r="P367" s="41"/>
      <c r="Q367" s="43">
        <f t="shared" si="55"/>
        <v>19348243.199999999</v>
      </c>
      <c r="R367" s="41">
        <v>0</v>
      </c>
      <c r="S367" s="30">
        <f t="shared" si="58"/>
        <v>0</v>
      </c>
      <c r="T367" s="30">
        <f t="shared" si="58"/>
        <v>0</v>
      </c>
      <c r="U367" s="30" t="e">
        <f>T367/X367</f>
        <v>#DIV/0!</v>
      </c>
      <c r="V367" s="41" t="e">
        <f>T367/X367</f>
        <v>#DIV/0!</v>
      </c>
      <c r="W367" s="41" t="e">
        <f>V367*AU367</f>
        <v>#DIV/0!</v>
      </c>
      <c r="X367" s="41">
        <f t="shared" si="56"/>
        <v>0</v>
      </c>
      <c r="Y367" s="41">
        <v>0</v>
      </c>
      <c r="Z367" s="41">
        <v>0</v>
      </c>
      <c r="AA367" s="41">
        <v>0</v>
      </c>
      <c r="AB367" s="41"/>
      <c r="AC367" s="41" t="e">
        <f t="shared" si="52"/>
        <v>#DIV/0!</v>
      </c>
      <c r="AD367" s="41"/>
      <c r="AE367" s="41" t="e">
        <f t="shared" si="53"/>
        <v>#DIV/0!</v>
      </c>
      <c r="AF367" s="41" t="e">
        <f>X367/AU367</f>
        <v>#DIV/0!</v>
      </c>
      <c r="AG367" s="41" t="e">
        <f t="shared" si="57"/>
        <v>#DIV/0!</v>
      </c>
      <c r="AH367" s="36">
        <v>45376</v>
      </c>
      <c r="AI367" s="36"/>
      <c r="AJ367" s="36"/>
      <c r="AK367" s="36"/>
      <c r="AL367" s="36"/>
      <c r="AM367" s="46"/>
      <c r="AN367" s="40"/>
      <c r="AO367" s="40"/>
      <c r="AP367" s="40"/>
      <c r="AQ367" s="40"/>
      <c r="AR367" s="48"/>
      <c r="AS367" s="37"/>
      <c r="AT367" s="37"/>
      <c r="AU367" s="47"/>
      <c r="AV367" s="37"/>
      <c r="AW367" s="37">
        <v>10</v>
      </c>
      <c r="AX367" s="30">
        <f>(J367*10)/100</f>
        <v>1934824.32</v>
      </c>
      <c r="AY367" s="40"/>
    </row>
    <row r="368" spans="1:51" ht="48" customHeight="1" x14ac:dyDescent="0.25">
      <c r="A368" s="59" t="s">
        <v>2238</v>
      </c>
      <c r="B368" s="60">
        <v>45338</v>
      </c>
      <c r="C368" s="37">
        <v>545</v>
      </c>
      <c r="D368" s="35"/>
      <c r="E368" s="39" t="s">
        <v>2239</v>
      </c>
      <c r="F368" s="36"/>
      <c r="G368" s="37"/>
      <c r="H368" s="40"/>
      <c r="I368" s="64" t="s">
        <v>407</v>
      </c>
      <c r="J368" s="61">
        <v>18231998.399999999</v>
      </c>
      <c r="K368" s="41">
        <v>0</v>
      </c>
      <c r="L368" s="54">
        <v>0</v>
      </c>
      <c r="M368" s="54">
        <v>0</v>
      </c>
      <c r="N368" s="42">
        <f t="shared" si="59"/>
        <v>100</v>
      </c>
      <c r="O368" s="43">
        <f t="shared" si="54"/>
        <v>18231998.399999999</v>
      </c>
      <c r="P368" s="41"/>
      <c r="Q368" s="43">
        <f t="shared" si="55"/>
        <v>18231998.399999999</v>
      </c>
      <c r="R368" s="41">
        <v>0</v>
      </c>
      <c r="S368" s="30">
        <f t="shared" si="58"/>
        <v>0</v>
      </c>
      <c r="T368" s="30">
        <f t="shared" si="58"/>
        <v>0</v>
      </c>
      <c r="U368" s="30" t="e">
        <f>T368/X368</f>
        <v>#DIV/0!</v>
      </c>
      <c r="V368" s="41" t="e">
        <f>T368/X368</f>
        <v>#DIV/0!</v>
      </c>
      <c r="W368" s="41" t="e">
        <f>V368*AU368</f>
        <v>#DIV/0!</v>
      </c>
      <c r="X368" s="41">
        <f t="shared" si="56"/>
        <v>0</v>
      </c>
      <c r="Y368" s="41">
        <v>0</v>
      </c>
      <c r="Z368" s="41">
        <v>0</v>
      </c>
      <c r="AA368" s="41">
        <v>0</v>
      </c>
      <c r="AB368" s="41"/>
      <c r="AC368" s="41" t="e">
        <f t="shared" si="52"/>
        <v>#DIV/0!</v>
      </c>
      <c r="AD368" s="41"/>
      <c r="AE368" s="41" t="e">
        <f t="shared" si="53"/>
        <v>#DIV/0!</v>
      </c>
      <c r="AF368" s="41" t="e">
        <f>X368/AU368</f>
        <v>#DIV/0!</v>
      </c>
      <c r="AG368" s="41" t="e">
        <f t="shared" si="57"/>
        <v>#DIV/0!</v>
      </c>
      <c r="AH368" s="36">
        <v>45376</v>
      </c>
      <c r="AI368" s="36"/>
      <c r="AJ368" s="36"/>
      <c r="AK368" s="36"/>
      <c r="AL368" s="36"/>
      <c r="AM368" s="46"/>
      <c r="AN368" s="40"/>
      <c r="AO368" s="40"/>
      <c r="AP368" s="40"/>
      <c r="AQ368" s="40"/>
      <c r="AR368" s="48"/>
      <c r="AS368" s="37"/>
      <c r="AT368" s="37"/>
      <c r="AU368" s="47"/>
      <c r="AV368" s="37"/>
      <c r="AW368" s="37">
        <v>10</v>
      </c>
      <c r="AX368" s="30">
        <f>(J368*10)/100</f>
        <v>1823199.84</v>
      </c>
      <c r="AY368" s="40"/>
    </row>
    <row r="369" spans="1:51" ht="48" customHeight="1" x14ac:dyDescent="0.25">
      <c r="A369" s="59" t="s">
        <v>2240</v>
      </c>
      <c r="B369" s="60">
        <v>45338</v>
      </c>
      <c r="C369" s="37">
        <v>545</v>
      </c>
      <c r="D369" s="35"/>
      <c r="E369" s="39" t="s">
        <v>2241</v>
      </c>
      <c r="F369" s="36"/>
      <c r="G369" s="37"/>
      <c r="H369" s="40"/>
      <c r="I369" s="64" t="s">
        <v>407</v>
      </c>
      <c r="J369" s="61">
        <v>18604080</v>
      </c>
      <c r="K369" s="41">
        <v>0</v>
      </c>
      <c r="L369" s="54">
        <v>0</v>
      </c>
      <c r="M369" s="54">
        <v>0</v>
      </c>
      <c r="N369" s="42">
        <f t="shared" si="59"/>
        <v>100</v>
      </c>
      <c r="O369" s="43">
        <f t="shared" si="54"/>
        <v>18604080</v>
      </c>
      <c r="P369" s="41"/>
      <c r="Q369" s="43">
        <f t="shared" si="55"/>
        <v>18604080</v>
      </c>
      <c r="R369" s="41">
        <v>0</v>
      </c>
      <c r="S369" s="30">
        <f t="shared" si="58"/>
        <v>0</v>
      </c>
      <c r="T369" s="30">
        <f t="shared" si="58"/>
        <v>0</v>
      </c>
      <c r="U369" s="30" t="e">
        <f>T369/X369</f>
        <v>#DIV/0!</v>
      </c>
      <c r="V369" s="41" t="e">
        <f>T369/X369</f>
        <v>#DIV/0!</v>
      </c>
      <c r="W369" s="41" t="e">
        <f>V369*AU369</f>
        <v>#DIV/0!</v>
      </c>
      <c r="X369" s="41">
        <f t="shared" si="56"/>
        <v>0</v>
      </c>
      <c r="Y369" s="41">
        <v>0</v>
      </c>
      <c r="Z369" s="41">
        <v>0</v>
      </c>
      <c r="AA369" s="41">
        <v>0</v>
      </c>
      <c r="AB369" s="41"/>
      <c r="AC369" s="41" t="e">
        <f t="shared" si="52"/>
        <v>#DIV/0!</v>
      </c>
      <c r="AD369" s="41"/>
      <c r="AE369" s="41" t="e">
        <f t="shared" si="53"/>
        <v>#DIV/0!</v>
      </c>
      <c r="AF369" s="41" t="e">
        <f>X369/AU369</f>
        <v>#DIV/0!</v>
      </c>
      <c r="AG369" s="41" t="e">
        <f t="shared" si="57"/>
        <v>#DIV/0!</v>
      </c>
      <c r="AH369" s="36">
        <v>45376</v>
      </c>
      <c r="AI369" s="36"/>
      <c r="AJ369" s="36"/>
      <c r="AK369" s="36"/>
      <c r="AL369" s="36"/>
      <c r="AM369" s="46"/>
      <c r="AN369" s="40"/>
      <c r="AO369" s="40"/>
      <c r="AP369" s="40"/>
      <c r="AQ369" s="40"/>
      <c r="AR369" s="48"/>
      <c r="AS369" s="37"/>
      <c r="AT369" s="37"/>
      <c r="AU369" s="47"/>
      <c r="AV369" s="37"/>
      <c r="AW369" s="37">
        <v>10</v>
      </c>
      <c r="AX369" s="30">
        <f>(J369*10)/100</f>
        <v>1860408</v>
      </c>
      <c r="AY369" s="40"/>
    </row>
    <row r="370" spans="1:51" ht="48" customHeight="1" x14ac:dyDescent="0.25">
      <c r="A370" s="59" t="s">
        <v>2242</v>
      </c>
      <c r="B370" s="60">
        <v>45338</v>
      </c>
      <c r="C370" s="37">
        <v>545</v>
      </c>
      <c r="D370" s="35"/>
      <c r="E370" s="39" t="s">
        <v>2243</v>
      </c>
      <c r="F370" s="36"/>
      <c r="G370" s="37"/>
      <c r="H370" s="40"/>
      <c r="I370" s="64" t="s">
        <v>407</v>
      </c>
      <c r="J370" s="61">
        <v>19720324.800000001</v>
      </c>
      <c r="K370" s="41">
        <v>0</v>
      </c>
      <c r="L370" s="54">
        <v>0</v>
      </c>
      <c r="M370" s="54">
        <v>0</v>
      </c>
      <c r="N370" s="42">
        <f t="shared" si="59"/>
        <v>100</v>
      </c>
      <c r="O370" s="43">
        <f t="shared" si="54"/>
        <v>19720324.800000001</v>
      </c>
      <c r="P370" s="41"/>
      <c r="Q370" s="43">
        <f t="shared" si="55"/>
        <v>19720324.800000001</v>
      </c>
      <c r="R370" s="41">
        <v>0</v>
      </c>
      <c r="S370" s="30">
        <f t="shared" si="58"/>
        <v>0</v>
      </c>
      <c r="T370" s="30">
        <f t="shared" si="58"/>
        <v>0</v>
      </c>
      <c r="U370" s="30" t="e">
        <f>T370/X370</f>
        <v>#DIV/0!</v>
      </c>
      <c r="V370" s="41" t="e">
        <f>T370/X370</f>
        <v>#DIV/0!</v>
      </c>
      <c r="W370" s="41" t="e">
        <f>V370*AU370</f>
        <v>#DIV/0!</v>
      </c>
      <c r="X370" s="41">
        <f t="shared" si="56"/>
        <v>0</v>
      </c>
      <c r="Y370" s="41">
        <v>0</v>
      </c>
      <c r="Z370" s="41">
        <v>0</v>
      </c>
      <c r="AA370" s="41">
        <v>0</v>
      </c>
      <c r="AB370" s="41"/>
      <c r="AC370" s="41" t="e">
        <f t="shared" si="52"/>
        <v>#DIV/0!</v>
      </c>
      <c r="AD370" s="41"/>
      <c r="AE370" s="41" t="e">
        <f t="shared" si="53"/>
        <v>#DIV/0!</v>
      </c>
      <c r="AF370" s="41" t="e">
        <f>X370/AU370</f>
        <v>#DIV/0!</v>
      </c>
      <c r="AG370" s="41" t="e">
        <f t="shared" si="57"/>
        <v>#DIV/0!</v>
      </c>
      <c r="AH370" s="36">
        <v>45376</v>
      </c>
      <c r="AI370" s="36"/>
      <c r="AJ370" s="36"/>
      <c r="AK370" s="36"/>
      <c r="AL370" s="36"/>
      <c r="AM370" s="46"/>
      <c r="AN370" s="40"/>
      <c r="AO370" s="40"/>
      <c r="AP370" s="40"/>
      <c r="AQ370" s="40"/>
      <c r="AR370" s="48"/>
      <c r="AS370" s="37"/>
      <c r="AT370" s="37"/>
      <c r="AU370" s="47"/>
      <c r="AV370" s="37"/>
      <c r="AW370" s="37">
        <v>10</v>
      </c>
      <c r="AX370" s="30">
        <f>(J370*10)/100</f>
        <v>1972032.48</v>
      </c>
      <c r="AY370" s="40"/>
    </row>
    <row r="371" spans="1:51" ht="48" customHeight="1" x14ac:dyDescent="0.25">
      <c r="A371" s="59" t="s">
        <v>2244</v>
      </c>
      <c r="B371" s="60">
        <v>45338</v>
      </c>
      <c r="C371" s="37">
        <v>545</v>
      </c>
      <c r="D371" s="35"/>
      <c r="E371" s="39" t="s">
        <v>2245</v>
      </c>
      <c r="F371" s="36"/>
      <c r="G371" s="37"/>
      <c r="H371" s="40"/>
      <c r="I371" s="64" t="s">
        <v>407</v>
      </c>
      <c r="J371" s="61">
        <v>18976161.600000001</v>
      </c>
      <c r="K371" s="41">
        <v>0</v>
      </c>
      <c r="L371" s="54">
        <v>0</v>
      </c>
      <c r="M371" s="54">
        <v>0</v>
      </c>
      <c r="N371" s="42">
        <f t="shared" si="59"/>
        <v>100</v>
      </c>
      <c r="O371" s="43">
        <f t="shared" si="54"/>
        <v>18976161.600000001</v>
      </c>
      <c r="P371" s="41"/>
      <c r="Q371" s="43">
        <f t="shared" si="55"/>
        <v>18976161.600000001</v>
      </c>
      <c r="R371" s="41">
        <v>0</v>
      </c>
      <c r="S371" s="30">
        <f t="shared" si="58"/>
        <v>0</v>
      </c>
      <c r="T371" s="30">
        <f t="shared" si="58"/>
        <v>0</v>
      </c>
      <c r="U371" s="30" t="e">
        <f>T371/X371</f>
        <v>#DIV/0!</v>
      </c>
      <c r="V371" s="41" t="e">
        <f>T371/X371</f>
        <v>#DIV/0!</v>
      </c>
      <c r="W371" s="41" t="e">
        <f>V371*AU371</f>
        <v>#DIV/0!</v>
      </c>
      <c r="X371" s="41">
        <f t="shared" si="56"/>
        <v>0</v>
      </c>
      <c r="Y371" s="41">
        <v>0</v>
      </c>
      <c r="Z371" s="41">
        <v>0</v>
      </c>
      <c r="AA371" s="41">
        <v>0</v>
      </c>
      <c r="AB371" s="41"/>
      <c r="AC371" s="41" t="e">
        <f t="shared" si="52"/>
        <v>#DIV/0!</v>
      </c>
      <c r="AD371" s="41"/>
      <c r="AE371" s="41" t="e">
        <f t="shared" si="53"/>
        <v>#DIV/0!</v>
      </c>
      <c r="AF371" s="41" t="e">
        <f>X371/AU371</f>
        <v>#DIV/0!</v>
      </c>
      <c r="AG371" s="41" t="e">
        <f t="shared" si="57"/>
        <v>#DIV/0!</v>
      </c>
      <c r="AH371" s="36">
        <v>45376</v>
      </c>
      <c r="AI371" s="36"/>
      <c r="AJ371" s="36"/>
      <c r="AK371" s="36"/>
      <c r="AL371" s="36"/>
      <c r="AM371" s="46"/>
      <c r="AN371" s="40"/>
      <c r="AO371" s="40"/>
      <c r="AP371" s="40"/>
      <c r="AQ371" s="40"/>
      <c r="AR371" s="48"/>
      <c r="AS371" s="37"/>
      <c r="AT371" s="37"/>
      <c r="AU371" s="47"/>
      <c r="AV371" s="37"/>
      <c r="AW371" s="37">
        <v>10</v>
      </c>
      <c r="AX371" s="30">
        <f>(J371*10)/100</f>
        <v>1897616.16</v>
      </c>
      <c r="AY371" s="40"/>
    </row>
    <row r="372" spans="1:51" ht="48" customHeight="1" x14ac:dyDescent="0.25">
      <c r="A372" s="59" t="s">
        <v>2246</v>
      </c>
      <c r="B372" s="60">
        <v>45341</v>
      </c>
      <c r="C372" s="40" t="s">
        <v>2060</v>
      </c>
      <c r="D372" s="35"/>
      <c r="E372" s="39" t="s">
        <v>2247</v>
      </c>
      <c r="F372" s="36">
        <v>45352</v>
      </c>
      <c r="G372" s="37" t="s">
        <v>2248</v>
      </c>
      <c r="H372" s="40" t="s">
        <v>2047</v>
      </c>
      <c r="I372" s="64" t="s">
        <v>2249</v>
      </c>
      <c r="J372" s="61">
        <v>3580357.4</v>
      </c>
      <c r="K372" s="41">
        <v>0</v>
      </c>
      <c r="L372" s="54">
        <v>0</v>
      </c>
      <c r="M372" s="54">
        <v>0</v>
      </c>
      <c r="N372" s="42">
        <f t="shared" si="59"/>
        <v>24.916573971078975</v>
      </c>
      <c r="O372" s="43">
        <f t="shared" si="54"/>
        <v>892102.39999999991</v>
      </c>
      <c r="P372" s="41">
        <v>2688255</v>
      </c>
      <c r="Q372" s="43">
        <f t="shared" si="55"/>
        <v>892102.39999999991</v>
      </c>
      <c r="R372" s="41">
        <v>2688255</v>
      </c>
      <c r="S372" s="30">
        <f t="shared" si="58"/>
        <v>2688255</v>
      </c>
      <c r="T372" s="30">
        <f t="shared" si="58"/>
        <v>2688255</v>
      </c>
      <c r="U372" s="30">
        <f>T372/X372</f>
        <v>13.5</v>
      </c>
      <c r="V372" s="41">
        <f>T372/X372</f>
        <v>13.5</v>
      </c>
      <c r="W372" s="41">
        <f>V372*AU372</f>
        <v>1350</v>
      </c>
      <c r="X372" s="41">
        <f t="shared" si="56"/>
        <v>199130</v>
      </c>
      <c r="Y372" s="41">
        <v>199130</v>
      </c>
      <c r="Z372" s="41">
        <v>0</v>
      </c>
      <c r="AA372" s="41">
        <v>0</v>
      </c>
      <c r="AB372" s="41">
        <v>0</v>
      </c>
      <c r="AC372" s="41">
        <f t="shared" si="52"/>
        <v>0</v>
      </c>
      <c r="AD372" s="41">
        <v>0</v>
      </c>
      <c r="AE372" s="41">
        <f t="shared" si="53"/>
        <v>0</v>
      </c>
      <c r="AF372" s="41">
        <f>X372/AU372</f>
        <v>1991.3</v>
      </c>
      <c r="AG372" s="41">
        <f t="shared" si="57"/>
        <v>1992</v>
      </c>
      <c r="AH372" s="36">
        <v>45397</v>
      </c>
      <c r="AI372" s="36"/>
      <c r="AJ372" s="36"/>
      <c r="AK372" s="36">
        <v>45427</v>
      </c>
      <c r="AL372" s="36"/>
      <c r="AM372" s="46"/>
      <c r="AN372" s="40" t="s">
        <v>2250</v>
      </c>
      <c r="AO372" s="40" t="s">
        <v>2251</v>
      </c>
      <c r="AP372" s="40" t="s">
        <v>2252</v>
      </c>
      <c r="AQ372" s="40" t="s">
        <v>80</v>
      </c>
      <c r="AR372" s="48">
        <v>100</v>
      </c>
      <c r="AS372" s="37">
        <v>0</v>
      </c>
      <c r="AT372" s="37" t="s">
        <v>386</v>
      </c>
      <c r="AU372" s="47">
        <v>100</v>
      </c>
      <c r="AV372" s="37" t="s">
        <v>219</v>
      </c>
      <c r="AW372" s="37">
        <v>10</v>
      </c>
      <c r="AX372" s="30">
        <f>(J372*10)/100</f>
        <v>358035.74</v>
      </c>
      <c r="AY372" s="40" t="s">
        <v>402</v>
      </c>
    </row>
    <row r="373" spans="1:51" ht="48" customHeight="1" x14ac:dyDescent="0.25">
      <c r="A373" s="59" t="s">
        <v>2253</v>
      </c>
      <c r="B373" s="60">
        <v>45341</v>
      </c>
      <c r="C373" s="40" t="s">
        <v>2060</v>
      </c>
      <c r="D373" s="35" t="s">
        <v>431</v>
      </c>
      <c r="E373" s="39" t="s">
        <v>2254</v>
      </c>
      <c r="F373" s="35" t="s">
        <v>431</v>
      </c>
      <c r="G373" s="35" t="s">
        <v>431</v>
      </c>
      <c r="H373" s="35" t="s">
        <v>431</v>
      </c>
      <c r="I373" s="62" t="s">
        <v>2255</v>
      </c>
      <c r="J373" s="61">
        <v>27390</v>
      </c>
      <c r="K373" s="41">
        <v>0</v>
      </c>
      <c r="L373" s="54">
        <v>0</v>
      </c>
      <c r="M373" s="54">
        <v>0</v>
      </c>
      <c r="N373" s="42">
        <f t="shared" si="59"/>
        <v>100</v>
      </c>
      <c r="O373" s="43">
        <f t="shared" si="54"/>
        <v>27390</v>
      </c>
      <c r="P373" s="41"/>
      <c r="Q373" s="43">
        <f t="shared" si="55"/>
        <v>27390</v>
      </c>
      <c r="R373" s="41">
        <v>0</v>
      </c>
      <c r="S373" s="30">
        <f t="shared" si="58"/>
        <v>0</v>
      </c>
      <c r="T373" s="30">
        <f t="shared" si="58"/>
        <v>0</v>
      </c>
      <c r="U373" s="30" t="e">
        <f>T373/X373</f>
        <v>#DIV/0!</v>
      </c>
      <c r="V373" s="41" t="e">
        <f>T373/X373</f>
        <v>#DIV/0!</v>
      </c>
      <c r="W373" s="41" t="e">
        <f>V373*AU373</f>
        <v>#DIV/0!</v>
      </c>
      <c r="X373" s="41">
        <f t="shared" si="56"/>
        <v>0</v>
      </c>
      <c r="Y373" s="41">
        <v>0</v>
      </c>
      <c r="Z373" s="41">
        <v>0</v>
      </c>
      <c r="AA373" s="41">
        <v>0</v>
      </c>
      <c r="AB373" s="41"/>
      <c r="AC373" s="41" t="e">
        <f t="shared" si="52"/>
        <v>#DIV/0!</v>
      </c>
      <c r="AD373" s="41"/>
      <c r="AE373" s="41" t="e">
        <f t="shared" si="53"/>
        <v>#DIV/0!</v>
      </c>
      <c r="AF373" s="41" t="e">
        <f>X373/AU373</f>
        <v>#DIV/0!</v>
      </c>
      <c r="AG373" s="41" t="e">
        <f t="shared" si="57"/>
        <v>#DIV/0!</v>
      </c>
      <c r="AH373" s="36">
        <v>45397</v>
      </c>
      <c r="AI373" s="36"/>
      <c r="AJ373" s="36"/>
      <c r="AK373" s="36"/>
      <c r="AL373" s="36"/>
      <c r="AM373" s="46"/>
      <c r="AN373" s="40"/>
      <c r="AO373" s="40"/>
      <c r="AP373" s="40"/>
      <c r="AQ373" s="40"/>
      <c r="AR373" s="48"/>
      <c r="AS373" s="37"/>
      <c r="AT373" s="37"/>
      <c r="AU373" s="47"/>
      <c r="AV373" s="37"/>
      <c r="AW373" s="37">
        <v>10</v>
      </c>
      <c r="AX373" s="30">
        <f>(J373*10)/100</f>
        <v>2739</v>
      </c>
      <c r="AY373" s="40" t="s">
        <v>431</v>
      </c>
    </row>
    <row r="374" spans="1:51" ht="48" customHeight="1" x14ac:dyDescent="0.25">
      <c r="A374" s="59" t="s">
        <v>2256</v>
      </c>
      <c r="B374" s="60">
        <v>45341</v>
      </c>
      <c r="C374" s="37" t="s">
        <v>432</v>
      </c>
      <c r="D374" s="35"/>
      <c r="E374" s="39" t="s">
        <v>2257</v>
      </c>
      <c r="F374" s="36"/>
      <c r="G374" s="37"/>
      <c r="H374" s="40"/>
      <c r="I374" s="62" t="s">
        <v>1711</v>
      </c>
      <c r="J374" s="61">
        <v>799818030</v>
      </c>
      <c r="K374" s="41">
        <v>0</v>
      </c>
      <c r="L374" s="54">
        <v>0</v>
      </c>
      <c r="M374" s="54">
        <v>0</v>
      </c>
      <c r="N374" s="42">
        <f t="shared" si="59"/>
        <v>100</v>
      </c>
      <c r="O374" s="43">
        <f t="shared" si="54"/>
        <v>799818030</v>
      </c>
      <c r="P374" s="41"/>
      <c r="Q374" s="43">
        <f t="shared" si="55"/>
        <v>799818030</v>
      </c>
      <c r="R374" s="41">
        <v>0</v>
      </c>
      <c r="S374" s="30">
        <f t="shared" si="58"/>
        <v>0</v>
      </c>
      <c r="T374" s="30">
        <f t="shared" si="58"/>
        <v>0</v>
      </c>
      <c r="U374" s="30" t="e">
        <f>T374/X374</f>
        <v>#DIV/0!</v>
      </c>
      <c r="V374" s="41" t="e">
        <f>T374/X374</f>
        <v>#DIV/0!</v>
      </c>
      <c r="W374" s="41" t="e">
        <f>V374*AU374</f>
        <v>#DIV/0!</v>
      </c>
      <c r="X374" s="41">
        <f t="shared" si="56"/>
        <v>0</v>
      </c>
      <c r="Y374" s="41">
        <v>0</v>
      </c>
      <c r="Z374" s="41">
        <v>0</v>
      </c>
      <c r="AA374" s="41">
        <v>0</v>
      </c>
      <c r="AB374" s="41"/>
      <c r="AC374" s="41" t="e">
        <f t="shared" si="52"/>
        <v>#DIV/0!</v>
      </c>
      <c r="AD374" s="41"/>
      <c r="AE374" s="41" t="e">
        <f t="shared" si="53"/>
        <v>#DIV/0!</v>
      </c>
      <c r="AF374" s="41" t="e">
        <f>X374/AU374</f>
        <v>#DIV/0!</v>
      </c>
      <c r="AG374" s="41" t="e">
        <f t="shared" si="57"/>
        <v>#DIV/0!</v>
      </c>
      <c r="AH374" s="36">
        <v>45397</v>
      </c>
      <c r="AI374" s="36"/>
      <c r="AJ374" s="36"/>
      <c r="AK374" s="36"/>
      <c r="AL374" s="36"/>
      <c r="AM374" s="46"/>
      <c r="AN374" s="40"/>
      <c r="AO374" s="40"/>
      <c r="AP374" s="40"/>
      <c r="AQ374" s="40"/>
      <c r="AR374" s="48"/>
      <c r="AS374" s="37"/>
      <c r="AT374" s="37"/>
      <c r="AU374" s="47"/>
      <c r="AV374" s="37"/>
      <c r="AW374" s="37">
        <v>10</v>
      </c>
      <c r="AX374" s="30">
        <f>(J374*10)/100</f>
        <v>79981803</v>
      </c>
      <c r="AY374" s="40"/>
    </row>
    <row r="375" spans="1:51" ht="48" customHeight="1" x14ac:dyDescent="0.25">
      <c r="A375" s="59" t="s">
        <v>2258</v>
      </c>
      <c r="B375" s="60">
        <v>45341</v>
      </c>
      <c r="C375" s="37">
        <v>1416</v>
      </c>
      <c r="D375" s="35"/>
      <c r="E375" s="39" t="s">
        <v>2259</v>
      </c>
      <c r="F375" s="36"/>
      <c r="G375" s="37"/>
      <c r="H375" s="40"/>
      <c r="I375" s="62" t="s">
        <v>2260</v>
      </c>
      <c r="J375" s="61">
        <v>454968600</v>
      </c>
      <c r="K375" s="41">
        <v>0</v>
      </c>
      <c r="L375" s="54">
        <v>0</v>
      </c>
      <c r="M375" s="54">
        <v>0</v>
      </c>
      <c r="N375" s="42">
        <f t="shared" si="59"/>
        <v>100</v>
      </c>
      <c r="O375" s="43">
        <f t="shared" si="54"/>
        <v>454968600</v>
      </c>
      <c r="P375" s="41"/>
      <c r="Q375" s="43">
        <f t="shared" si="55"/>
        <v>454968600</v>
      </c>
      <c r="R375" s="41">
        <v>0</v>
      </c>
      <c r="S375" s="30">
        <f t="shared" si="58"/>
        <v>0</v>
      </c>
      <c r="T375" s="30">
        <f t="shared" si="58"/>
        <v>0</v>
      </c>
      <c r="U375" s="30" t="e">
        <f>T375/X375</f>
        <v>#DIV/0!</v>
      </c>
      <c r="V375" s="41" t="e">
        <f>T375/X375</f>
        <v>#DIV/0!</v>
      </c>
      <c r="W375" s="41" t="e">
        <f>V375*AU375</f>
        <v>#DIV/0!</v>
      </c>
      <c r="X375" s="41">
        <f t="shared" si="56"/>
        <v>0</v>
      </c>
      <c r="Y375" s="41">
        <v>0</v>
      </c>
      <c r="Z375" s="41">
        <v>0</v>
      </c>
      <c r="AA375" s="41">
        <v>0</v>
      </c>
      <c r="AB375" s="41"/>
      <c r="AC375" s="41" t="e">
        <f t="shared" si="52"/>
        <v>#DIV/0!</v>
      </c>
      <c r="AD375" s="41"/>
      <c r="AE375" s="41" t="e">
        <f t="shared" si="53"/>
        <v>#DIV/0!</v>
      </c>
      <c r="AF375" s="41" t="e">
        <f>X375/AU375</f>
        <v>#DIV/0!</v>
      </c>
      <c r="AG375" s="41" t="e">
        <f t="shared" si="57"/>
        <v>#DIV/0!</v>
      </c>
      <c r="AH375" s="36">
        <v>45397</v>
      </c>
      <c r="AI375" s="36">
        <v>45443</v>
      </c>
      <c r="AJ375" s="36"/>
      <c r="AK375" s="36"/>
      <c r="AL375" s="36"/>
      <c r="AM375" s="46"/>
      <c r="AN375" s="40"/>
      <c r="AO375" s="40"/>
      <c r="AP375" s="40"/>
      <c r="AQ375" s="40"/>
      <c r="AR375" s="48"/>
      <c r="AS375" s="37"/>
      <c r="AT375" s="37"/>
      <c r="AU375" s="47"/>
      <c r="AV375" s="37"/>
      <c r="AW375" s="37">
        <v>10</v>
      </c>
      <c r="AX375" s="30">
        <f>(J375*10)/100</f>
        <v>45496860</v>
      </c>
      <c r="AY375" s="40"/>
    </row>
    <row r="376" spans="1:51" ht="48" customHeight="1" x14ac:dyDescent="0.25">
      <c r="A376" s="59" t="s">
        <v>2261</v>
      </c>
      <c r="B376" s="60">
        <v>45341</v>
      </c>
      <c r="C376" s="37">
        <v>1416</v>
      </c>
      <c r="D376" s="35"/>
      <c r="E376" s="39" t="s">
        <v>2262</v>
      </c>
      <c r="F376" s="36"/>
      <c r="G376" s="37"/>
      <c r="H376" s="40"/>
      <c r="I376" s="62" t="s">
        <v>2193</v>
      </c>
      <c r="J376" s="61">
        <v>6465690</v>
      </c>
      <c r="K376" s="41">
        <v>0</v>
      </c>
      <c r="L376" s="54">
        <v>0</v>
      </c>
      <c r="M376" s="54">
        <v>0</v>
      </c>
      <c r="N376" s="42">
        <f t="shared" si="59"/>
        <v>100</v>
      </c>
      <c r="O376" s="43">
        <f t="shared" si="54"/>
        <v>6465690</v>
      </c>
      <c r="P376" s="41"/>
      <c r="Q376" s="43">
        <f t="shared" si="55"/>
        <v>6465690</v>
      </c>
      <c r="R376" s="41">
        <v>0</v>
      </c>
      <c r="S376" s="30">
        <f t="shared" si="58"/>
        <v>0</v>
      </c>
      <c r="T376" s="30">
        <f t="shared" si="58"/>
        <v>0</v>
      </c>
      <c r="U376" s="30" t="e">
        <f>T376/X376</f>
        <v>#DIV/0!</v>
      </c>
      <c r="V376" s="41" t="e">
        <f>T376/X376</f>
        <v>#DIV/0!</v>
      </c>
      <c r="W376" s="41" t="e">
        <f>V376*AU376</f>
        <v>#DIV/0!</v>
      </c>
      <c r="X376" s="41">
        <f t="shared" si="56"/>
        <v>0</v>
      </c>
      <c r="Y376" s="41">
        <v>0</v>
      </c>
      <c r="Z376" s="41">
        <v>0</v>
      </c>
      <c r="AA376" s="41">
        <v>0</v>
      </c>
      <c r="AB376" s="41"/>
      <c r="AC376" s="41" t="e">
        <f t="shared" si="52"/>
        <v>#DIV/0!</v>
      </c>
      <c r="AD376" s="41"/>
      <c r="AE376" s="41" t="e">
        <f t="shared" si="53"/>
        <v>#DIV/0!</v>
      </c>
      <c r="AF376" s="41" t="e">
        <f>X376/AU376</f>
        <v>#DIV/0!</v>
      </c>
      <c r="AG376" s="41" t="e">
        <f t="shared" si="57"/>
        <v>#DIV/0!</v>
      </c>
      <c r="AH376" s="36">
        <v>45397</v>
      </c>
      <c r="AI376" s="36"/>
      <c r="AJ376" s="36"/>
      <c r="AK376" s="36"/>
      <c r="AL376" s="36"/>
      <c r="AM376" s="46"/>
      <c r="AN376" s="40"/>
      <c r="AO376" s="40"/>
      <c r="AP376" s="40"/>
      <c r="AQ376" s="40"/>
      <c r="AR376" s="48"/>
      <c r="AS376" s="37"/>
      <c r="AT376" s="37"/>
      <c r="AU376" s="47"/>
      <c r="AV376" s="37"/>
      <c r="AW376" s="37">
        <v>10</v>
      </c>
      <c r="AX376" s="30">
        <f>(J376*10)/100</f>
        <v>646569</v>
      </c>
      <c r="AY376" s="40"/>
    </row>
    <row r="377" spans="1:51" ht="48" customHeight="1" x14ac:dyDescent="0.25">
      <c r="A377" s="59" t="s">
        <v>2263</v>
      </c>
      <c r="B377" s="60">
        <v>45341</v>
      </c>
      <c r="C377" s="37">
        <v>1416</v>
      </c>
      <c r="D377" s="35"/>
      <c r="E377" s="39" t="s">
        <v>2264</v>
      </c>
      <c r="F377" s="36"/>
      <c r="G377" s="37"/>
      <c r="H377" s="40"/>
      <c r="I377" s="62" t="s">
        <v>2265</v>
      </c>
      <c r="J377" s="61">
        <v>680150160</v>
      </c>
      <c r="K377" s="41">
        <v>0</v>
      </c>
      <c r="L377" s="54">
        <v>0</v>
      </c>
      <c r="M377" s="54">
        <v>0</v>
      </c>
      <c r="N377" s="42">
        <f t="shared" si="59"/>
        <v>100</v>
      </c>
      <c r="O377" s="43">
        <f t="shared" si="54"/>
        <v>680150160</v>
      </c>
      <c r="P377" s="41"/>
      <c r="Q377" s="43">
        <f t="shared" si="55"/>
        <v>680150160</v>
      </c>
      <c r="R377" s="41">
        <v>0</v>
      </c>
      <c r="S377" s="30">
        <f t="shared" si="58"/>
        <v>0</v>
      </c>
      <c r="T377" s="30">
        <f t="shared" si="58"/>
        <v>0</v>
      </c>
      <c r="U377" s="30" t="e">
        <f>T377/X377</f>
        <v>#DIV/0!</v>
      </c>
      <c r="V377" s="41" t="e">
        <f>T377/X377</f>
        <v>#DIV/0!</v>
      </c>
      <c r="W377" s="41" t="e">
        <f>V377*AU377</f>
        <v>#DIV/0!</v>
      </c>
      <c r="X377" s="41">
        <f t="shared" si="56"/>
        <v>0</v>
      </c>
      <c r="Y377" s="41">
        <v>0</v>
      </c>
      <c r="Z377" s="41">
        <v>0</v>
      </c>
      <c r="AA377" s="41">
        <v>0</v>
      </c>
      <c r="AB377" s="41"/>
      <c r="AC377" s="41" t="e">
        <f t="shared" si="52"/>
        <v>#DIV/0!</v>
      </c>
      <c r="AD377" s="41"/>
      <c r="AE377" s="41" t="e">
        <f t="shared" si="53"/>
        <v>#DIV/0!</v>
      </c>
      <c r="AF377" s="41" t="e">
        <f>X377/AU377</f>
        <v>#DIV/0!</v>
      </c>
      <c r="AG377" s="41" t="e">
        <f t="shared" si="57"/>
        <v>#DIV/0!</v>
      </c>
      <c r="AH377" s="36">
        <v>45397</v>
      </c>
      <c r="AI377" s="36"/>
      <c r="AJ377" s="36"/>
      <c r="AK377" s="36"/>
      <c r="AL377" s="36"/>
      <c r="AM377" s="46"/>
      <c r="AN377" s="40"/>
      <c r="AO377" s="40"/>
      <c r="AP377" s="40"/>
      <c r="AQ377" s="40"/>
      <c r="AR377" s="48"/>
      <c r="AS377" s="37"/>
      <c r="AT377" s="37"/>
      <c r="AU377" s="47"/>
      <c r="AV377" s="37"/>
      <c r="AW377" s="37">
        <v>10</v>
      </c>
      <c r="AX377" s="30">
        <f>(J377*10)/100</f>
        <v>68015016</v>
      </c>
      <c r="AY377" s="40"/>
    </row>
    <row r="378" spans="1:51" ht="48" customHeight="1" x14ac:dyDescent="0.25">
      <c r="A378" s="59" t="s">
        <v>2266</v>
      </c>
      <c r="B378" s="60">
        <v>45341</v>
      </c>
      <c r="C378" s="37" t="s">
        <v>432</v>
      </c>
      <c r="D378" s="35"/>
      <c r="E378" s="39" t="s">
        <v>2267</v>
      </c>
      <c r="F378" s="36"/>
      <c r="G378" s="37"/>
      <c r="H378" s="40"/>
      <c r="I378" s="64" t="s">
        <v>2268</v>
      </c>
      <c r="J378" s="61">
        <v>9615367.6500000004</v>
      </c>
      <c r="K378" s="41">
        <v>0</v>
      </c>
      <c r="L378" s="54">
        <v>0</v>
      </c>
      <c r="M378" s="54">
        <v>0</v>
      </c>
      <c r="N378" s="42">
        <f t="shared" si="59"/>
        <v>100</v>
      </c>
      <c r="O378" s="43">
        <f t="shared" si="54"/>
        <v>9615367.6500000004</v>
      </c>
      <c r="P378" s="41"/>
      <c r="Q378" s="43">
        <f t="shared" si="55"/>
        <v>9615367.6500000004</v>
      </c>
      <c r="R378" s="41">
        <v>0</v>
      </c>
      <c r="S378" s="30">
        <f t="shared" si="58"/>
        <v>0</v>
      </c>
      <c r="T378" s="30">
        <f t="shared" si="58"/>
        <v>0</v>
      </c>
      <c r="U378" s="30" t="e">
        <f>T378/X378</f>
        <v>#DIV/0!</v>
      </c>
      <c r="V378" s="41" t="e">
        <f>T378/X378</f>
        <v>#DIV/0!</v>
      </c>
      <c r="W378" s="41" t="e">
        <f>V378*AU378</f>
        <v>#DIV/0!</v>
      </c>
      <c r="X378" s="41">
        <f t="shared" si="56"/>
        <v>0</v>
      </c>
      <c r="Y378" s="41">
        <v>0</v>
      </c>
      <c r="Z378" s="41">
        <v>0</v>
      </c>
      <c r="AA378" s="41">
        <v>0</v>
      </c>
      <c r="AB378" s="41"/>
      <c r="AC378" s="41" t="e">
        <f t="shared" si="52"/>
        <v>#DIV/0!</v>
      </c>
      <c r="AD378" s="41"/>
      <c r="AE378" s="41" t="e">
        <f t="shared" si="53"/>
        <v>#DIV/0!</v>
      </c>
      <c r="AF378" s="41" t="e">
        <f>X378/AU378</f>
        <v>#DIV/0!</v>
      </c>
      <c r="AG378" s="41" t="e">
        <f t="shared" si="57"/>
        <v>#DIV/0!</v>
      </c>
      <c r="AH378" s="36">
        <v>45397</v>
      </c>
      <c r="AI378" s="36"/>
      <c r="AJ378" s="36"/>
      <c r="AK378" s="36"/>
      <c r="AL378" s="36"/>
      <c r="AM378" s="46"/>
      <c r="AN378" s="40"/>
      <c r="AO378" s="40"/>
      <c r="AP378" s="40"/>
      <c r="AQ378" s="40"/>
      <c r="AR378" s="48"/>
      <c r="AS378" s="37"/>
      <c r="AT378" s="37"/>
      <c r="AU378" s="47"/>
      <c r="AV378" s="37"/>
      <c r="AW378" s="37">
        <v>10</v>
      </c>
      <c r="AX378" s="30">
        <f>(J378*10)/100</f>
        <v>961536.76500000001</v>
      </c>
      <c r="AY378" s="40"/>
    </row>
    <row r="379" spans="1:51" ht="48" customHeight="1" x14ac:dyDescent="0.25">
      <c r="A379" s="59" t="s">
        <v>2269</v>
      </c>
      <c r="B379" s="60">
        <v>45338</v>
      </c>
      <c r="C379" s="37">
        <v>545</v>
      </c>
      <c r="D379" s="35"/>
      <c r="E379" s="39" t="s">
        <v>2270</v>
      </c>
      <c r="F379" s="36"/>
      <c r="G379" s="37"/>
      <c r="H379" s="40"/>
      <c r="I379" s="64" t="s">
        <v>407</v>
      </c>
      <c r="J379" s="61">
        <v>19348243.199999999</v>
      </c>
      <c r="K379" s="41">
        <v>0</v>
      </c>
      <c r="L379" s="54">
        <v>0</v>
      </c>
      <c r="M379" s="54">
        <v>0</v>
      </c>
      <c r="N379" s="42">
        <f t="shared" si="59"/>
        <v>100</v>
      </c>
      <c r="O379" s="43">
        <f t="shared" si="54"/>
        <v>19348243.199999999</v>
      </c>
      <c r="P379" s="41"/>
      <c r="Q379" s="43">
        <f t="shared" si="55"/>
        <v>19348243.199999999</v>
      </c>
      <c r="R379" s="41">
        <v>0</v>
      </c>
      <c r="S379" s="30">
        <f t="shared" si="58"/>
        <v>0</v>
      </c>
      <c r="T379" s="30">
        <f t="shared" si="58"/>
        <v>0</v>
      </c>
      <c r="U379" s="30" t="e">
        <f>T379/X379</f>
        <v>#DIV/0!</v>
      </c>
      <c r="V379" s="41" t="e">
        <f>T379/X379</f>
        <v>#DIV/0!</v>
      </c>
      <c r="W379" s="41" t="e">
        <f>V379*AU379</f>
        <v>#DIV/0!</v>
      </c>
      <c r="X379" s="41">
        <f t="shared" si="56"/>
        <v>0</v>
      </c>
      <c r="Y379" s="41">
        <v>0</v>
      </c>
      <c r="Z379" s="41">
        <v>0</v>
      </c>
      <c r="AA379" s="41">
        <v>0</v>
      </c>
      <c r="AB379" s="41"/>
      <c r="AC379" s="41" t="e">
        <f t="shared" si="52"/>
        <v>#DIV/0!</v>
      </c>
      <c r="AD379" s="41"/>
      <c r="AE379" s="41" t="e">
        <f t="shared" si="53"/>
        <v>#DIV/0!</v>
      </c>
      <c r="AF379" s="41" t="e">
        <f>X379/AU379</f>
        <v>#DIV/0!</v>
      </c>
      <c r="AG379" s="41" t="e">
        <f t="shared" si="57"/>
        <v>#DIV/0!</v>
      </c>
      <c r="AH379" s="36">
        <v>45376</v>
      </c>
      <c r="AI379" s="36"/>
      <c r="AJ379" s="36"/>
      <c r="AK379" s="36"/>
      <c r="AL379" s="36"/>
      <c r="AM379" s="46"/>
      <c r="AN379" s="40"/>
      <c r="AO379" s="40"/>
      <c r="AP379" s="40"/>
      <c r="AQ379" s="40"/>
      <c r="AR379" s="48"/>
      <c r="AS379" s="37"/>
      <c r="AT379" s="37"/>
      <c r="AU379" s="47"/>
      <c r="AV379" s="37"/>
      <c r="AW379" s="37">
        <v>10</v>
      </c>
      <c r="AX379" s="30">
        <f>(J379*10)/100</f>
        <v>1934824.32</v>
      </c>
      <c r="AY379" s="40"/>
    </row>
    <row r="380" spans="1:51" ht="48" customHeight="1" x14ac:dyDescent="0.25">
      <c r="A380" s="59" t="s">
        <v>2271</v>
      </c>
      <c r="B380" s="60">
        <v>45338</v>
      </c>
      <c r="C380" s="37">
        <v>545</v>
      </c>
      <c r="D380" s="35"/>
      <c r="E380" s="39" t="s">
        <v>2272</v>
      </c>
      <c r="F380" s="36"/>
      <c r="G380" s="37"/>
      <c r="H380" s="40"/>
      <c r="I380" s="64" t="s">
        <v>407</v>
      </c>
      <c r="J380" s="61">
        <v>19720324.800000001</v>
      </c>
      <c r="K380" s="41">
        <v>0</v>
      </c>
      <c r="L380" s="54">
        <v>0</v>
      </c>
      <c r="M380" s="54">
        <v>0</v>
      </c>
      <c r="N380" s="42">
        <f t="shared" si="59"/>
        <v>100</v>
      </c>
      <c r="O380" s="43">
        <f t="shared" si="54"/>
        <v>19720324.800000001</v>
      </c>
      <c r="P380" s="41"/>
      <c r="Q380" s="43">
        <f t="shared" si="55"/>
        <v>19720324.800000001</v>
      </c>
      <c r="R380" s="41">
        <v>0</v>
      </c>
      <c r="S380" s="30">
        <f t="shared" si="58"/>
        <v>0</v>
      </c>
      <c r="T380" s="30">
        <f t="shared" si="58"/>
        <v>0</v>
      </c>
      <c r="U380" s="30" t="e">
        <f>T380/X380</f>
        <v>#DIV/0!</v>
      </c>
      <c r="V380" s="41" t="e">
        <f>T380/X380</f>
        <v>#DIV/0!</v>
      </c>
      <c r="W380" s="41" t="e">
        <f>V380*AU380</f>
        <v>#DIV/0!</v>
      </c>
      <c r="X380" s="41">
        <f t="shared" si="56"/>
        <v>0</v>
      </c>
      <c r="Y380" s="41">
        <v>0</v>
      </c>
      <c r="Z380" s="41">
        <v>0</v>
      </c>
      <c r="AA380" s="41">
        <v>0</v>
      </c>
      <c r="AB380" s="41"/>
      <c r="AC380" s="41" t="e">
        <f t="shared" si="52"/>
        <v>#DIV/0!</v>
      </c>
      <c r="AD380" s="41"/>
      <c r="AE380" s="41" t="e">
        <f t="shared" si="53"/>
        <v>#DIV/0!</v>
      </c>
      <c r="AF380" s="41" t="e">
        <f>X380/AU380</f>
        <v>#DIV/0!</v>
      </c>
      <c r="AG380" s="41" t="e">
        <f t="shared" si="57"/>
        <v>#DIV/0!</v>
      </c>
      <c r="AH380" s="36">
        <v>45376</v>
      </c>
      <c r="AI380" s="36"/>
      <c r="AJ380" s="36"/>
      <c r="AK380" s="36"/>
      <c r="AL380" s="36"/>
      <c r="AM380" s="46"/>
      <c r="AN380" s="40"/>
      <c r="AO380" s="40"/>
      <c r="AP380" s="40"/>
      <c r="AQ380" s="40"/>
      <c r="AR380" s="48"/>
      <c r="AS380" s="37"/>
      <c r="AT380" s="37"/>
      <c r="AU380" s="47"/>
      <c r="AV380" s="37"/>
      <c r="AW380" s="37">
        <v>10</v>
      </c>
      <c r="AX380" s="30">
        <f>(J380*10)/100</f>
        <v>1972032.48</v>
      </c>
      <c r="AY380" s="40"/>
    </row>
    <row r="381" spans="1:51" ht="48" customHeight="1" x14ac:dyDescent="0.25">
      <c r="A381" s="59" t="s">
        <v>2273</v>
      </c>
      <c r="B381" s="60">
        <v>45338</v>
      </c>
      <c r="C381" s="37">
        <v>545</v>
      </c>
      <c r="D381" s="35"/>
      <c r="E381" s="39" t="s">
        <v>2274</v>
      </c>
      <c r="F381" s="36"/>
      <c r="G381" s="37"/>
      <c r="H381" s="40"/>
      <c r="I381" s="64" t="s">
        <v>407</v>
      </c>
      <c r="J381" s="61">
        <v>18231998.399999999</v>
      </c>
      <c r="K381" s="41">
        <v>0</v>
      </c>
      <c r="L381" s="54">
        <v>0</v>
      </c>
      <c r="M381" s="54">
        <v>0</v>
      </c>
      <c r="N381" s="42">
        <f t="shared" si="59"/>
        <v>100</v>
      </c>
      <c r="O381" s="43">
        <f t="shared" si="54"/>
        <v>18231998.399999999</v>
      </c>
      <c r="P381" s="41"/>
      <c r="Q381" s="43">
        <f t="shared" si="55"/>
        <v>18231998.399999999</v>
      </c>
      <c r="R381" s="41">
        <v>0</v>
      </c>
      <c r="S381" s="30">
        <f t="shared" si="58"/>
        <v>0</v>
      </c>
      <c r="T381" s="30">
        <f t="shared" si="58"/>
        <v>0</v>
      </c>
      <c r="U381" s="30" t="e">
        <f>T381/X381</f>
        <v>#DIV/0!</v>
      </c>
      <c r="V381" s="41" t="e">
        <f>T381/X381</f>
        <v>#DIV/0!</v>
      </c>
      <c r="W381" s="41" t="e">
        <f>V381*AU381</f>
        <v>#DIV/0!</v>
      </c>
      <c r="X381" s="41">
        <f t="shared" si="56"/>
        <v>0</v>
      </c>
      <c r="Y381" s="41">
        <v>0</v>
      </c>
      <c r="Z381" s="41">
        <v>0</v>
      </c>
      <c r="AA381" s="41">
        <v>0</v>
      </c>
      <c r="AB381" s="41"/>
      <c r="AC381" s="41" t="e">
        <f t="shared" si="52"/>
        <v>#DIV/0!</v>
      </c>
      <c r="AD381" s="41"/>
      <c r="AE381" s="41" t="e">
        <f t="shared" si="53"/>
        <v>#DIV/0!</v>
      </c>
      <c r="AF381" s="41" t="e">
        <f>X381/AU381</f>
        <v>#DIV/0!</v>
      </c>
      <c r="AG381" s="41" t="e">
        <f t="shared" si="57"/>
        <v>#DIV/0!</v>
      </c>
      <c r="AH381" s="36">
        <v>45376</v>
      </c>
      <c r="AI381" s="36"/>
      <c r="AJ381" s="36"/>
      <c r="AK381" s="36"/>
      <c r="AL381" s="36"/>
      <c r="AM381" s="46"/>
      <c r="AN381" s="40"/>
      <c r="AO381" s="40"/>
      <c r="AP381" s="40"/>
      <c r="AQ381" s="40"/>
      <c r="AR381" s="48"/>
      <c r="AS381" s="37"/>
      <c r="AT381" s="37"/>
      <c r="AU381" s="47"/>
      <c r="AV381" s="37"/>
      <c r="AW381" s="37">
        <v>10</v>
      </c>
      <c r="AX381" s="30">
        <f>(J381*10)/100</f>
        <v>1823199.84</v>
      </c>
      <c r="AY381" s="40"/>
    </row>
    <row r="382" spans="1:51" ht="48" customHeight="1" x14ac:dyDescent="0.25">
      <c r="A382" s="59" t="s">
        <v>2275</v>
      </c>
      <c r="B382" s="60">
        <v>45338</v>
      </c>
      <c r="C382" s="40" t="s">
        <v>1847</v>
      </c>
      <c r="D382" s="35"/>
      <c r="E382" s="39" t="s">
        <v>2276</v>
      </c>
      <c r="F382" s="36">
        <v>45351</v>
      </c>
      <c r="G382" s="37" t="s">
        <v>2277</v>
      </c>
      <c r="H382" s="40" t="s">
        <v>502</v>
      </c>
      <c r="I382" s="62" t="s">
        <v>2278</v>
      </c>
      <c r="J382" s="61">
        <v>9774108.9600000009</v>
      </c>
      <c r="K382" s="41">
        <v>0</v>
      </c>
      <c r="L382" s="54">
        <v>0</v>
      </c>
      <c r="M382" s="54">
        <v>0</v>
      </c>
      <c r="N382" s="42">
        <f t="shared" si="59"/>
        <v>0</v>
      </c>
      <c r="O382" s="43">
        <f t="shared" si="54"/>
        <v>0</v>
      </c>
      <c r="P382" s="41">
        <v>9774108.9600000009</v>
      </c>
      <c r="Q382" s="43">
        <f t="shared" si="55"/>
        <v>0</v>
      </c>
      <c r="R382" s="61">
        <v>9774108.9600000009</v>
      </c>
      <c r="S382" s="30">
        <f t="shared" si="58"/>
        <v>9774108.9600000009</v>
      </c>
      <c r="T382" s="30">
        <f t="shared" si="58"/>
        <v>9774108.9600000009</v>
      </c>
      <c r="U382" s="30">
        <f>T382/X382</f>
        <v>31.900000000000002</v>
      </c>
      <c r="V382" s="41">
        <f>T382/X382</f>
        <v>31.900000000000002</v>
      </c>
      <c r="W382" s="41">
        <f>V382*AU382</f>
        <v>888555.3600000001</v>
      </c>
      <c r="X382" s="41">
        <f t="shared" si="56"/>
        <v>306398.40000000002</v>
      </c>
      <c r="Y382" s="41">
        <v>306398.40000000002</v>
      </c>
      <c r="Z382" s="41">
        <v>0</v>
      </c>
      <c r="AA382" s="41">
        <v>0</v>
      </c>
      <c r="AB382" s="41">
        <v>0</v>
      </c>
      <c r="AC382" s="41">
        <f t="shared" si="52"/>
        <v>0</v>
      </c>
      <c r="AD382" s="41">
        <v>0</v>
      </c>
      <c r="AE382" s="41">
        <f t="shared" si="53"/>
        <v>0</v>
      </c>
      <c r="AF382" s="41">
        <f>X382/AU382</f>
        <v>11</v>
      </c>
      <c r="AG382" s="41">
        <f t="shared" si="57"/>
        <v>11</v>
      </c>
      <c r="AH382" s="36">
        <v>45371</v>
      </c>
      <c r="AI382" s="36"/>
      <c r="AJ382" s="36"/>
      <c r="AK382" s="36">
        <v>45402</v>
      </c>
      <c r="AL382" s="36"/>
      <c r="AM382" s="46"/>
      <c r="AN382" s="40" t="s">
        <v>2279</v>
      </c>
      <c r="AO382" s="40" t="s">
        <v>2280</v>
      </c>
      <c r="AP382" s="40" t="s">
        <v>2281</v>
      </c>
      <c r="AQ382" s="40" t="s">
        <v>2282</v>
      </c>
      <c r="AR382" s="48">
        <v>0</v>
      </c>
      <c r="AS382" s="37">
        <v>100</v>
      </c>
      <c r="AT382" s="37" t="s">
        <v>324</v>
      </c>
      <c r="AU382" s="52">
        <v>27854.400000000001</v>
      </c>
      <c r="AV382" s="37"/>
      <c r="AW382" s="37">
        <v>10</v>
      </c>
      <c r="AX382" s="30">
        <f>(J382*10)/100</f>
        <v>977410.89600000007</v>
      </c>
      <c r="AY382" s="40" t="s">
        <v>402</v>
      </c>
    </row>
    <row r="383" spans="1:51" ht="48" customHeight="1" x14ac:dyDescent="0.25">
      <c r="A383" s="59" t="s">
        <v>2283</v>
      </c>
      <c r="B383" s="60">
        <v>45342</v>
      </c>
      <c r="C383" s="40" t="s">
        <v>1847</v>
      </c>
      <c r="D383" s="35"/>
      <c r="E383" s="39" t="s">
        <v>2284</v>
      </c>
      <c r="F383" s="36"/>
      <c r="G383" s="37"/>
      <c r="H383" s="40"/>
      <c r="I383" s="62" t="s">
        <v>426</v>
      </c>
      <c r="J383" s="61">
        <v>9098575.1999999993</v>
      </c>
      <c r="K383" s="41">
        <v>0</v>
      </c>
      <c r="L383" s="54">
        <v>0</v>
      </c>
      <c r="M383" s="54">
        <v>0</v>
      </c>
      <c r="N383" s="42">
        <f t="shared" si="59"/>
        <v>100</v>
      </c>
      <c r="O383" s="43">
        <f t="shared" si="54"/>
        <v>9098575.1999999993</v>
      </c>
      <c r="P383" s="41"/>
      <c r="Q383" s="43">
        <f t="shared" si="55"/>
        <v>9098575.1999999993</v>
      </c>
      <c r="R383" s="41">
        <v>0</v>
      </c>
      <c r="S383" s="30">
        <f t="shared" si="58"/>
        <v>0</v>
      </c>
      <c r="T383" s="30">
        <f t="shared" si="58"/>
        <v>0</v>
      </c>
      <c r="U383" s="30" t="e">
        <f>T383/X383</f>
        <v>#DIV/0!</v>
      </c>
      <c r="V383" s="41" t="e">
        <f>T383/X383</f>
        <v>#DIV/0!</v>
      </c>
      <c r="W383" s="41" t="e">
        <f>V383*AU383</f>
        <v>#DIV/0!</v>
      </c>
      <c r="X383" s="41">
        <f t="shared" si="56"/>
        <v>0</v>
      </c>
      <c r="Y383" s="41">
        <v>0</v>
      </c>
      <c r="Z383" s="41">
        <v>0</v>
      </c>
      <c r="AA383" s="41">
        <v>0</v>
      </c>
      <c r="AB383" s="41"/>
      <c r="AC383" s="41" t="e">
        <f t="shared" si="52"/>
        <v>#DIV/0!</v>
      </c>
      <c r="AD383" s="41"/>
      <c r="AE383" s="41" t="e">
        <f t="shared" si="53"/>
        <v>#DIV/0!</v>
      </c>
      <c r="AF383" s="41" t="e">
        <f>X383/AU383</f>
        <v>#DIV/0!</v>
      </c>
      <c r="AG383" s="41" t="e">
        <f t="shared" si="57"/>
        <v>#DIV/0!</v>
      </c>
      <c r="AH383" s="36">
        <v>45371</v>
      </c>
      <c r="AI383" s="36"/>
      <c r="AJ383" s="36"/>
      <c r="AK383" s="36"/>
      <c r="AL383" s="36"/>
      <c r="AM383" s="46"/>
      <c r="AN383" s="40"/>
      <c r="AO383" s="40"/>
      <c r="AP383" s="40"/>
      <c r="AQ383" s="40"/>
      <c r="AR383" s="48"/>
      <c r="AS383" s="37"/>
      <c r="AT383" s="37"/>
      <c r="AU383" s="47"/>
      <c r="AV383" s="37"/>
      <c r="AW383" s="37">
        <v>10</v>
      </c>
      <c r="AX383" s="30">
        <f>(J383*10)/100</f>
        <v>909857.52</v>
      </c>
      <c r="AY383" s="40"/>
    </row>
    <row r="384" spans="1:51" ht="48" customHeight="1" x14ac:dyDescent="0.25">
      <c r="A384" s="59" t="s">
        <v>2285</v>
      </c>
      <c r="B384" s="60">
        <v>45342</v>
      </c>
      <c r="C384" s="40" t="s">
        <v>1847</v>
      </c>
      <c r="D384" s="35"/>
      <c r="E384" s="39" t="s">
        <v>2286</v>
      </c>
      <c r="F384" s="36"/>
      <c r="G384" s="37"/>
      <c r="H384" s="40"/>
      <c r="I384" s="64" t="s">
        <v>2287</v>
      </c>
      <c r="J384" s="61">
        <v>1454472</v>
      </c>
      <c r="K384" s="41">
        <v>0</v>
      </c>
      <c r="L384" s="54">
        <v>0</v>
      </c>
      <c r="M384" s="54">
        <v>0</v>
      </c>
      <c r="N384" s="42">
        <f t="shared" si="59"/>
        <v>100</v>
      </c>
      <c r="O384" s="43">
        <f t="shared" si="54"/>
        <v>1454472</v>
      </c>
      <c r="P384" s="41"/>
      <c r="Q384" s="43">
        <f t="shared" si="55"/>
        <v>1454472</v>
      </c>
      <c r="R384" s="41">
        <v>0</v>
      </c>
      <c r="S384" s="30">
        <f t="shared" si="58"/>
        <v>0</v>
      </c>
      <c r="T384" s="30">
        <f t="shared" si="58"/>
        <v>0</v>
      </c>
      <c r="U384" s="30" t="e">
        <f>T384/X384</f>
        <v>#DIV/0!</v>
      </c>
      <c r="V384" s="41" t="e">
        <f>T384/X384</f>
        <v>#DIV/0!</v>
      </c>
      <c r="W384" s="41" t="e">
        <f>V384*AU384</f>
        <v>#DIV/0!</v>
      </c>
      <c r="X384" s="41">
        <f t="shared" si="56"/>
        <v>0</v>
      </c>
      <c r="Y384" s="41">
        <v>0</v>
      </c>
      <c r="Z384" s="41">
        <v>0</v>
      </c>
      <c r="AA384" s="41">
        <v>0</v>
      </c>
      <c r="AB384" s="41"/>
      <c r="AC384" s="41" t="e">
        <f t="shared" si="52"/>
        <v>#DIV/0!</v>
      </c>
      <c r="AD384" s="41"/>
      <c r="AE384" s="41" t="e">
        <f t="shared" si="53"/>
        <v>#DIV/0!</v>
      </c>
      <c r="AF384" s="41" t="e">
        <f>X384/AU384</f>
        <v>#DIV/0!</v>
      </c>
      <c r="AG384" s="41" t="e">
        <f t="shared" si="57"/>
        <v>#DIV/0!</v>
      </c>
      <c r="AH384" s="36">
        <v>45366</v>
      </c>
      <c r="AI384" s="36"/>
      <c r="AJ384" s="36"/>
      <c r="AK384" s="36"/>
      <c r="AL384" s="36"/>
      <c r="AM384" s="46"/>
      <c r="AN384" s="40"/>
      <c r="AO384" s="40"/>
      <c r="AP384" s="40"/>
      <c r="AQ384" s="40"/>
      <c r="AR384" s="48"/>
      <c r="AS384" s="37"/>
      <c r="AT384" s="37"/>
      <c r="AU384" s="47"/>
      <c r="AV384" s="37"/>
      <c r="AW384" s="37">
        <v>10</v>
      </c>
      <c r="AX384" s="30">
        <f>(J384*10)/100</f>
        <v>145447.20000000001</v>
      </c>
      <c r="AY384" s="40"/>
    </row>
    <row r="385" spans="1:51" ht="48" customHeight="1" x14ac:dyDescent="0.25">
      <c r="A385" s="59" t="s">
        <v>2288</v>
      </c>
      <c r="B385" s="60">
        <v>45342</v>
      </c>
      <c r="C385" s="40" t="s">
        <v>1847</v>
      </c>
      <c r="D385" s="35"/>
      <c r="E385" s="39" t="s">
        <v>2289</v>
      </c>
      <c r="F385" s="36"/>
      <c r="G385" s="37"/>
      <c r="H385" s="40"/>
      <c r="I385" s="62" t="s">
        <v>447</v>
      </c>
      <c r="J385" s="61">
        <v>3615117</v>
      </c>
      <c r="K385" s="41">
        <v>0</v>
      </c>
      <c r="L385" s="54">
        <v>0</v>
      </c>
      <c r="M385" s="54">
        <v>0</v>
      </c>
      <c r="N385" s="42">
        <f t="shared" si="59"/>
        <v>100</v>
      </c>
      <c r="O385" s="43">
        <f t="shared" si="54"/>
        <v>3615117</v>
      </c>
      <c r="P385" s="41"/>
      <c r="Q385" s="43">
        <f t="shared" si="55"/>
        <v>3615117</v>
      </c>
      <c r="R385" s="41">
        <v>0</v>
      </c>
      <c r="S385" s="30">
        <f t="shared" si="58"/>
        <v>0</v>
      </c>
      <c r="T385" s="30">
        <f t="shared" si="58"/>
        <v>0</v>
      </c>
      <c r="U385" s="30" t="e">
        <f>T385/X385</f>
        <v>#DIV/0!</v>
      </c>
      <c r="V385" s="41" t="e">
        <f>T385/X385</f>
        <v>#DIV/0!</v>
      </c>
      <c r="W385" s="41" t="e">
        <f>V385*AU385</f>
        <v>#DIV/0!</v>
      </c>
      <c r="X385" s="41">
        <f t="shared" si="56"/>
        <v>0</v>
      </c>
      <c r="Y385" s="41">
        <v>0</v>
      </c>
      <c r="Z385" s="41">
        <v>0</v>
      </c>
      <c r="AA385" s="41">
        <v>0</v>
      </c>
      <c r="AB385" s="41"/>
      <c r="AC385" s="41" t="e">
        <f t="shared" si="52"/>
        <v>#DIV/0!</v>
      </c>
      <c r="AD385" s="41"/>
      <c r="AE385" s="41" t="e">
        <f t="shared" si="53"/>
        <v>#DIV/0!</v>
      </c>
      <c r="AF385" s="41" t="e">
        <f>X385/AU385</f>
        <v>#DIV/0!</v>
      </c>
      <c r="AG385" s="41" t="e">
        <f t="shared" si="57"/>
        <v>#DIV/0!</v>
      </c>
      <c r="AH385" s="36">
        <v>45371</v>
      </c>
      <c r="AI385" s="36"/>
      <c r="AJ385" s="36"/>
      <c r="AK385" s="36"/>
      <c r="AL385" s="36"/>
      <c r="AM385" s="46"/>
      <c r="AN385" s="40"/>
      <c r="AO385" s="40"/>
      <c r="AP385" s="40"/>
      <c r="AQ385" s="40"/>
      <c r="AR385" s="48"/>
      <c r="AS385" s="37"/>
      <c r="AT385" s="37"/>
      <c r="AU385" s="47"/>
      <c r="AV385" s="37"/>
      <c r="AW385" s="37">
        <v>10</v>
      </c>
      <c r="AX385" s="30">
        <f>(J385*10)/100</f>
        <v>361511.7</v>
      </c>
      <c r="AY385" s="40"/>
    </row>
    <row r="386" spans="1:51" ht="48" customHeight="1" x14ac:dyDescent="0.25">
      <c r="A386" s="59" t="s">
        <v>2290</v>
      </c>
      <c r="B386" s="60">
        <v>45342</v>
      </c>
      <c r="C386" s="37" t="s">
        <v>494</v>
      </c>
      <c r="D386" s="35"/>
      <c r="E386" s="39" t="s">
        <v>2291</v>
      </c>
      <c r="F386" s="36"/>
      <c r="G386" s="37"/>
      <c r="H386" s="40"/>
      <c r="I386" s="64" t="s">
        <v>2292</v>
      </c>
      <c r="J386" s="61">
        <v>8316339</v>
      </c>
      <c r="K386" s="41">
        <v>0</v>
      </c>
      <c r="L386" s="54">
        <v>0</v>
      </c>
      <c r="M386" s="54">
        <v>0</v>
      </c>
      <c r="N386" s="42">
        <f t="shared" si="59"/>
        <v>100</v>
      </c>
      <c r="O386" s="43">
        <f t="shared" si="54"/>
        <v>8316339</v>
      </c>
      <c r="P386" s="41"/>
      <c r="Q386" s="43">
        <f t="shared" si="55"/>
        <v>8316339</v>
      </c>
      <c r="R386" s="41">
        <v>0</v>
      </c>
      <c r="S386" s="30">
        <f t="shared" si="58"/>
        <v>0</v>
      </c>
      <c r="T386" s="30">
        <f t="shared" si="58"/>
        <v>0</v>
      </c>
      <c r="U386" s="30" t="e">
        <f>T386/X386</f>
        <v>#DIV/0!</v>
      </c>
      <c r="V386" s="41" t="e">
        <f>T386/X386</f>
        <v>#DIV/0!</v>
      </c>
      <c r="W386" s="41" t="e">
        <f>V386*AU386</f>
        <v>#DIV/0!</v>
      </c>
      <c r="X386" s="41">
        <f t="shared" si="56"/>
        <v>0</v>
      </c>
      <c r="Y386" s="41">
        <v>0</v>
      </c>
      <c r="Z386" s="41">
        <v>0</v>
      </c>
      <c r="AA386" s="41">
        <v>0</v>
      </c>
      <c r="AB386" s="41"/>
      <c r="AC386" s="41" t="e">
        <f t="shared" si="52"/>
        <v>#DIV/0!</v>
      </c>
      <c r="AD386" s="41"/>
      <c r="AE386" s="41" t="e">
        <f t="shared" si="53"/>
        <v>#DIV/0!</v>
      </c>
      <c r="AF386" s="41" t="e">
        <f>X386/AU386</f>
        <v>#DIV/0!</v>
      </c>
      <c r="AG386" s="41" t="e">
        <f t="shared" si="57"/>
        <v>#DIV/0!</v>
      </c>
      <c r="AH386" s="36">
        <v>45397</v>
      </c>
      <c r="AI386" s="36"/>
      <c r="AJ386" s="36"/>
      <c r="AK386" s="36"/>
      <c r="AL386" s="36"/>
      <c r="AM386" s="46"/>
      <c r="AN386" s="40"/>
      <c r="AO386" s="40"/>
      <c r="AP386" s="40"/>
      <c r="AQ386" s="40"/>
      <c r="AR386" s="48"/>
      <c r="AS386" s="37"/>
      <c r="AT386" s="37"/>
      <c r="AU386" s="47"/>
      <c r="AV386" s="37"/>
      <c r="AW386" s="37">
        <v>10</v>
      </c>
      <c r="AX386" s="30">
        <f>(J386*10)/100</f>
        <v>831633.9</v>
      </c>
      <c r="AY386" s="40"/>
    </row>
    <row r="387" spans="1:51" ht="48" customHeight="1" x14ac:dyDescent="0.25">
      <c r="A387" s="59" t="s">
        <v>2293</v>
      </c>
      <c r="B387" s="60">
        <v>45342</v>
      </c>
      <c r="C387" s="37" t="s">
        <v>494</v>
      </c>
      <c r="D387" s="37" t="s">
        <v>431</v>
      </c>
      <c r="E387" s="39" t="s">
        <v>2294</v>
      </c>
      <c r="F387" s="37" t="s">
        <v>431</v>
      </c>
      <c r="G387" s="37" t="s">
        <v>431</v>
      </c>
      <c r="H387" s="37" t="s">
        <v>431</v>
      </c>
      <c r="I387" s="62" t="s">
        <v>2295</v>
      </c>
      <c r="J387" s="61">
        <v>17131455</v>
      </c>
      <c r="K387" s="41">
        <v>0</v>
      </c>
      <c r="L387" s="54">
        <v>0</v>
      </c>
      <c r="M387" s="54">
        <v>0</v>
      </c>
      <c r="N387" s="42">
        <f t="shared" si="59"/>
        <v>100</v>
      </c>
      <c r="O387" s="43">
        <f t="shared" si="54"/>
        <v>17131455</v>
      </c>
      <c r="P387" s="41"/>
      <c r="Q387" s="43">
        <f t="shared" si="55"/>
        <v>17131455</v>
      </c>
      <c r="R387" s="41">
        <v>0</v>
      </c>
      <c r="S387" s="30">
        <f t="shared" si="58"/>
        <v>0</v>
      </c>
      <c r="T387" s="30">
        <f t="shared" si="58"/>
        <v>0</v>
      </c>
      <c r="U387" s="30" t="e">
        <f>T387/X387</f>
        <v>#DIV/0!</v>
      </c>
      <c r="V387" s="41" t="e">
        <f>T387/X387</f>
        <v>#DIV/0!</v>
      </c>
      <c r="W387" s="41" t="e">
        <f>V387*AU387</f>
        <v>#DIV/0!</v>
      </c>
      <c r="X387" s="41">
        <f t="shared" si="56"/>
        <v>0</v>
      </c>
      <c r="Y387" s="41">
        <v>0</v>
      </c>
      <c r="Z387" s="41">
        <v>0</v>
      </c>
      <c r="AA387" s="41">
        <v>0</v>
      </c>
      <c r="AB387" s="41"/>
      <c r="AC387" s="41" t="e">
        <f t="shared" si="52"/>
        <v>#DIV/0!</v>
      </c>
      <c r="AD387" s="41"/>
      <c r="AE387" s="41" t="e">
        <f t="shared" si="53"/>
        <v>#DIV/0!</v>
      </c>
      <c r="AF387" s="41" t="e">
        <f>X387/AU387</f>
        <v>#DIV/0!</v>
      </c>
      <c r="AG387" s="41" t="e">
        <f t="shared" si="57"/>
        <v>#DIV/0!</v>
      </c>
      <c r="AH387" s="36">
        <v>45397</v>
      </c>
      <c r="AI387" s="36"/>
      <c r="AJ387" s="36"/>
      <c r="AK387" s="36"/>
      <c r="AL387" s="36"/>
      <c r="AM387" s="46"/>
      <c r="AN387" s="40"/>
      <c r="AO387" s="40"/>
      <c r="AP387" s="40"/>
      <c r="AQ387" s="40"/>
      <c r="AR387" s="48"/>
      <c r="AS387" s="37"/>
      <c r="AT387" s="37"/>
      <c r="AU387" s="47"/>
      <c r="AV387" s="37"/>
      <c r="AW387" s="37">
        <v>10</v>
      </c>
      <c r="AX387" s="30">
        <f>(J387*10)/100</f>
        <v>1713145.5</v>
      </c>
      <c r="AY387" s="40" t="s">
        <v>431</v>
      </c>
    </row>
    <row r="388" spans="1:51" ht="48" customHeight="1" x14ac:dyDescent="0.25">
      <c r="A388" s="59" t="s">
        <v>2296</v>
      </c>
      <c r="B388" s="60">
        <v>45342</v>
      </c>
      <c r="C388" s="37" t="s">
        <v>432</v>
      </c>
      <c r="D388" s="35"/>
      <c r="E388" s="39" t="s">
        <v>2297</v>
      </c>
      <c r="F388" s="36"/>
      <c r="G388" s="37"/>
      <c r="H388" s="40"/>
      <c r="I388" s="62" t="s">
        <v>2298</v>
      </c>
      <c r="J388" s="61">
        <v>1462531.2</v>
      </c>
      <c r="K388" s="41">
        <v>0</v>
      </c>
      <c r="L388" s="54">
        <v>0</v>
      </c>
      <c r="M388" s="54">
        <v>0</v>
      </c>
      <c r="N388" s="42">
        <f t="shared" si="59"/>
        <v>100</v>
      </c>
      <c r="O388" s="43">
        <f t="shared" si="54"/>
        <v>1462531.2</v>
      </c>
      <c r="P388" s="41"/>
      <c r="Q388" s="43">
        <f t="shared" si="55"/>
        <v>1462531.2</v>
      </c>
      <c r="R388" s="41">
        <v>0</v>
      </c>
      <c r="S388" s="30">
        <f t="shared" si="58"/>
        <v>0</v>
      </c>
      <c r="T388" s="30">
        <f t="shared" si="58"/>
        <v>0</v>
      </c>
      <c r="U388" s="30" t="e">
        <f>T388/X388</f>
        <v>#DIV/0!</v>
      </c>
      <c r="V388" s="41" t="e">
        <f>T388/X388</f>
        <v>#DIV/0!</v>
      </c>
      <c r="W388" s="41" t="e">
        <f>V388*AU388</f>
        <v>#DIV/0!</v>
      </c>
      <c r="X388" s="41">
        <f t="shared" si="56"/>
        <v>0</v>
      </c>
      <c r="Y388" s="41">
        <v>0</v>
      </c>
      <c r="Z388" s="41">
        <v>0</v>
      </c>
      <c r="AA388" s="41">
        <v>0</v>
      </c>
      <c r="AB388" s="41"/>
      <c r="AC388" s="41" t="e">
        <f t="shared" ref="AC388:AC451" si="60">AB388*V388</f>
        <v>#DIV/0!</v>
      </c>
      <c r="AD388" s="41"/>
      <c r="AE388" s="41" t="e">
        <f t="shared" ref="AE388:AE451" si="61">AD388*V388</f>
        <v>#DIV/0!</v>
      </c>
      <c r="AF388" s="41" t="e">
        <f>X388/AU388</f>
        <v>#DIV/0!</v>
      </c>
      <c r="AG388" s="41" t="e">
        <f t="shared" si="57"/>
        <v>#DIV/0!</v>
      </c>
      <c r="AH388" s="36">
        <v>45413</v>
      </c>
      <c r="AI388" s="36"/>
      <c r="AJ388" s="36"/>
      <c r="AK388" s="36"/>
      <c r="AL388" s="36"/>
      <c r="AM388" s="46"/>
      <c r="AN388" s="40"/>
      <c r="AO388" s="40"/>
      <c r="AP388" s="40"/>
      <c r="AQ388" s="40"/>
      <c r="AR388" s="48"/>
      <c r="AS388" s="37"/>
      <c r="AT388" s="37"/>
      <c r="AU388" s="47"/>
      <c r="AV388" s="37"/>
      <c r="AW388" s="37">
        <v>10</v>
      </c>
      <c r="AX388" s="30">
        <f>(J388*10)/100</f>
        <v>146253.12</v>
      </c>
      <c r="AY388" s="40"/>
    </row>
    <row r="389" spans="1:51" ht="48" customHeight="1" x14ac:dyDescent="0.25">
      <c r="A389" s="59" t="s">
        <v>2299</v>
      </c>
      <c r="B389" s="60">
        <v>45342</v>
      </c>
      <c r="C389" s="37" t="s">
        <v>494</v>
      </c>
      <c r="D389" s="35"/>
      <c r="E389" s="39" t="s">
        <v>2300</v>
      </c>
      <c r="F389" s="36"/>
      <c r="G389" s="37"/>
      <c r="H389" s="40"/>
      <c r="I389" s="64" t="s">
        <v>2301</v>
      </c>
      <c r="J389" s="61">
        <v>2756167</v>
      </c>
      <c r="K389" s="41">
        <v>0</v>
      </c>
      <c r="L389" s="54">
        <v>0</v>
      </c>
      <c r="M389" s="54">
        <v>0</v>
      </c>
      <c r="N389" s="42">
        <f t="shared" si="59"/>
        <v>100</v>
      </c>
      <c r="O389" s="43">
        <f t="shared" si="54"/>
        <v>2756167</v>
      </c>
      <c r="P389" s="41"/>
      <c r="Q389" s="43">
        <f t="shared" si="55"/>
        <v>2756167</v>
      </c>
      <c r="R389" s="41">
        <v>0</v>
      </c>
      <c r="S389" s="30">
        <f t="shared" si="58"/>
        <v>0</v>
      </c>
      <c r="T389" s="30">
        <f t="shared" si="58"/>
        <v>0</v>
      </c>
      <c r="U389" s="30" t="e">
        <f>T389/X389</f>
        <v>#DIV/0!</v>
      </c>
      <c r="V389" s="41" t="e">
        <f>T389/X389</f>
        <v>#DIV/0!</v>
      </c>
      <c r="W389" s="41" t="e">
        <f>V389*AU389</f>
        <v>#DIV/0!</v>
      </c>
      <c r="X389" s="41">
        <f t="shared" si="56"/>
        <v>0</v>
      </c>
      <c r="Y389" s="41">
        <v>0</v>
      </c>
      <c r="Z389" s="41">
        <v>0</v>
      </c>
      <c r="AA389" s="41">
        <v>0</v>
      </c>
      <c r="AB389" s="41"/>
      <c r="AC389" s="41" t="e">
        <f t="shared" si="60"/>
        <v>#DIV/0!</v>
      </c>
      <c r="AD389" s="41"/>
      <c r="AE389" s="41" t="e">
        <f t="shared" si="61"/>
        <v>#DIV/0!</v>
      </c>
      <c r="AF389" s="41" t="e">
        <f>X389/AU389</f>
        <v>#DIV/0!</v>
      </c>
      <c r="AG389" s="41" t="e">
        <f t="shared" si="57"/>
        <v>#DIV/0!</v>
      </c>
      <c r="AH389" s="36">
        <v>45397</v>
      </c>
      <c r="AI389" s="36"/>
      <c r="AJ389" s="36"/>
      <c r="AK389" s="36"/>
      <c r="AL389" s="36"/>
      <c r="AM389" s="46"/>
      <c r="AN389" s="40"/>
      <c r="AO389" s="40"/>
      <c r="AP389" s="40"/>
      <c r="AQ389" s="40"/>
      <c r="AR389" s="48"/>
      <c r="AS389" s="37"/>
      <c r="AT389" s="37"/>
      <c r="AU389" s="47"/>
      <c r="AV389" s="37"/>
      <c r="AW389" s="37">
        <v>10</v>
      </c>
      <c r="AX389" s="30">
        <f>(J389*10)/100</f>
        <v>275616.7</v>
      </c>
      <c r="AY389" s="40"/>
    </row>
    <row r="390" spans="1:51" ht="48" customHeight="1" x14ac:dyDescent="0.25">
      <c r="A390" s="59" t="s">
        <v>2302</v>
      </c>
      <c r="B390" s="60">
        <v>45342</v>
      </c>
      <c r="C390" s="40" t="s">
        <v>2060</v>
      </c>
      <c r="D390" s="35"/>
      <c r="E390" s="39" t="s">
        <v>2303</v>
      </c>
      <c r="F390" s="36">
        <v>45355</v>
      </c>
      <c r="G390" s="37" t="s">
        <v>2304</v>
      </c>
      <c r="H390" s="40" t="s">
        <v>2047</v>
      </c>
      <c r="I390" s="64" t="s">
        <v>2301</v>
      </c>
      <c r="J390" s="61">
        <v>55909</v>
      </c>
      <c r="K390" s="41">
        <v>0</v>
      </c>
      <c r="L390" s="54">
        <v>0</v>
      </c>
      <c r="M390" s="54">
        <v>0</v>
      </c>
      <c r="N390" s="42">
        <f t="shared" si="59"/>
        <v>0</v>
      </c>
      <c r="O390" s="43">
        <f t="shared" si="54"/>
        <v>0</v>
      </c>
      <c r="P390" s="61">
        <v>55909</v>
      </c>
      <c r="Q390" s="43">
        <f t="shared" si="55"/>
        <v>0</v>
      </c>
      <c r="R390" s="61">
        <v>55909</v>
      </c>
      <c r="S390" s="30">
        <f t="shared" si="58"/>
        <v>55909</v>
      </c>
      <c r="T390" s="30">
        <f t="shared" si="58"/>
        <v>55909</v>
      </c>
      <c r="U390" s="30">
        <f>T390/X390</f>
        <v>16.3</v>
      </c>
      <c r="V390" s="41">
        <f>T390/X390</f>
        <v>16.3</v>
      </c>
      <c r="W390" s="41">
        <f>V390*AU390</f>
        <v>1630</v>
      </c>
      <c r="X390" s="41">
        <f t="shared" si="56"/>
        <v>3430</v>
      </c>
      <c r="Y390" s="41">
        <v>3430</v>
      </c>
      <c r="Z390" s="41">
        <v>0</v>
      </c>
      <c r="AA390" s="41">
        <v>0</v>
      </c>
      <c r="AB390" s="41">
        <v>0</v>
      </c>
      <c r="AC390" s="41">
        <f t="shared" si="60"/>
        <v>0</v>
      </c>
      <c r="AD390" s="41">
        <v>0</v>
      </c>
      <c r="AE390" s="41">
        <f t="shared" si="61"/>
        <v>0</v>
      </c>
      <c r="AF390" s="41">
        <f>X390/AU390</f>
        <v>34.299999999999997</v>
      </c>
      <c r="AG390" s="41">
        <f t="shared" si="57"/>
        <v>35</v>
      </c>
      <c r="AH390" s="36">
        <v>45397</v>
      </c>
      <c r="AI390" s="36"/>
      <c r="AJ390" s="36"/>
      <c r="AK390" s="36">
        <v>45427</v>
      </c>
      <c r="AL390" s="36"/>
      <c r="AM390" s="46"/>
      <c r="AN390" s="40" t="s">
        <v>2250</v>
      </c>
      <c r="AO390" s="40" t="s">
        <v>2305</v>
      </c>
      <c r="AP390" s="40" t="s">
        <v>2252</v>
      </c>
      <c r="AQ390" s="40" t="s">
        <v>80</v>
      </c>
      <c r="AR390" s="48">
        <v>100</v>
      </c>
      <c r="AS390" s="37">
        <v>0</v>
      </c>
      <c r="AT390" s="37" t="s">
        <v>386</v>
      </c>
      <c r="AU390" s="47">
        <v>100</v>
      </c>
      <c r="AV390" s="37" t="s">
        <v>219</v>
      </c>
      <c r="AW390" s="37">
        <v>10</v>
      </c>
      <c r="AX390" s="30">
        <f>(J390*10)/100</f>
        <v>5590.9</v>
      </c>
      <c r="AY390" s="40" t="s">
        <v>402</v>
      </c>
    </row>
    <row r="391" spans="1:51" ht="48" customHeight="1" x14ac:dyDescent="0.25">
      <c r="A391" s="59" t="s">
        <v>2306</v>
      </c>
      <c r="B391" s="60">
        <v>45343</v>
      </c>
      <c r="C391" s="37">
        <v>1416</v>
      </c>
      <c r="D391" s="37" t="s">
        <v>431</v>
      </c>
      <c r="E391" s="39" t="s">
        <v>2307</v>
      </c>
      <c r="F391" s="37" t="s">
        <v>431</v>
      </c>
      <c r="G391" s="37" t="s">
        <v>431</v>
      </c>
      <c r="H391" s="37" t="s">
        <v>431</v>
      </c>
      <c r="I391" s="62" t="s">
        <v>2308</v>
      </c>
      <c r="J391" s="61">
        <v>2041600</v>
      </c>
      <c r="K391" s="41">
        <v>0</v>
      </c>
      <c r="L391" s="54">
        <v>0</v>
      </c>
      <c r="M391" s="54">
        <v>0</v>
      </c>
      <c r="N391" s="42">
        <f t="shared" si="59"/>
        <v>100</v>
      </c>
      <c r="O391" s="43">
        <f t="shared" si="54"/>
        <v>2041600</v>
      </c>
      <c r="P391" s="41"/>
      <c r="Q391" s="43">
        <f t="shared" si="55"/>
        <v>2041600</v>
      </c>
      <c r="R391" s="41">
        <v>0</v>
      </c>
      <c r="S391" s="30">
        <f t="shared" si="58"/>
        <v>0</v>
      </c>
      <c r="T391" s="30">
        <f t="shared" si="58"/>
        <v>0</v>
      </c>
      <c r="U391" s="30" t="e">
        <f>T391/X391</f>
        <v>#DIV/0!</v>
      </c>
      <c r="V391" s="41" t="e">
        <f>T391/X391</f>
        <v>#DIV/0!</v>
      </c>
      <c r="W391" s="41" t="e">
        <f>V391*AU391</f>
        <v>#DIV/0!</v>
      </c>
      <c r="X391" s="41">
        <f t="shared" si="56"/>
        <v>0</v>
      </c>
      <c r="Y391" s="41">
        <v>0</v>
      </c>
      <c r="Z391" s="41">
        <v>0</v>
      </c>
      <c r="AA391" s="41">
        <v>0</v>
      </c>
      <c r="AB391" s="41"/>
      <c r="AC391" s="41" t="e">
        <f t="shared" si="60"/>
        <v>#DIV/0!</v>
      </c>
      <c r="AD391" s="41"/>
      <c r="AE391" s="41" t="e">
        <f t="shared" si="61"/>
        <v>#DIV/0!</v>
      </c>
      <c r="AF391" s="41" t="e">
        <f>X391/AU391</f>
        <v>#DIV/0!</v>
      </c>
      <c r="AG391" s="41" t="e">
        <f t="shared" si="57"/>
        <v>#DIV/0!</v>
      </c>
      <c r="AH391" s="36">
        <v>45397</v>
      </c>
      <c r="AI391" s="36"/>
      <c r="AJ391" s="36"/>
      <c r="AK391" s="36"/>
      <c r="AL391" s="36"/>
      <c r="AM391" s="46"/>
      <c r="AN391" s="40"/>
      <c r="AO391" s="40"/>
      <c r="AP391" s="40"/>
      <c r="AQ391" s="40"/>
      <c r="AR391" s="48"/>
      <c r="AS391" s="37"/>
      <c r="AT391" s="37"/>
      <c r="AU391" s="47"/>
      <c r="AV391" s="37"/>
      <c r="AW391" s="37">
        <v>10</v>
      </c>
      <c r="AX391" s="30">
        <f>(J391*10)/100</f>
        <v>204160</v>
      </c>
      <c r="AY391" s="40" t="s">
        <v>431</v>
      </c>
    </row>
    <row r="392" spans="1:51" ht="48" customHeight="1" x14ac:dyDescent="0.25">
      <c r="A392" s="59" t="s">
        <v>2309</v>
      </c>
      <c r="B392" s="60">
        <v>45342</v>
      </c>
      <c r="C392" s="40" t="s">
        <v>2060</v>
      </c>
      <c r="D392" s="35"/>
      <c r="E392" s="39" t="s">
        <v>2310</v>
      </c>
      <c r="F392" s="36"/>
      <c r="G392" s="37"/>
      <c r="H392" s="40"/>
      <c r="I392" s="62" t="s">
        <v>2311</v>
      </c>
      <c r="J392" s="61">
        <v>399637</v>
      </c>
      <c r="K392" s="41">
        <v>0</v>
      </c>
      <c r="L392" s="54">
        <v>0</v>
      </c>
      <c r="M392" s="54">
        <v>0</v>
      </c>
      <c r="N392" s="42">
        <f t="shared" si="59"/>
        <v>100</v>
      </c>
      <c r="O392" s="43">
        <f t="shared" ref="O392:O455" si="62">J392-P392</f>
        <v>399637</v>
      </c>
      <c r="P392" s="41"/>
      <c r="Q392" s="43">
        <f t="shared" ref="Q392:Q455" si="63">J392-R392</f>
        <v>399637</v>
      </c>
      <c r="R392" s="41">
        <v>0</v>
      </c>
      <c r="S392" s="30">
        <f t="shared" si="58"/>
        <v>0</v>
      </c>
      <c r="T392" s="30">
        <f t="shared" si="58"/>
        <v>0</v>
      </c>
      <c r="U392" s="30" t="e">
        <f>T392/X392</f>
        <v>#DIV/0!</v>
      </c>
      <c r="V392" s="41" t="e">
        <f>T392/X392</f>
        <v>#DIV/0!</v>
      </c>
      <c r="W392" s="41" t="e">
        <f>V392*AU392</f>
        <v>#DIV/0!</v>
      </c>
      <c r="X392" s="41">
        <f t="shared" ref="X392:X455" si="64">Y392+Z392+AA392</f>
        <v>0</v>
      </c>
      <c r="Y392" s="41">
        <v>0</v>
      </c>
      <c r="Z392" s="41">
        <v>0</v>
      </c>
      <c r="AA392" s="41">
        <v>0</v>
      </c>
      <c r="AB392" s="41"/>
      <c r="AC392" s="41" t="e">
        <f t="shared" si="60"/>
        <v>#DIV/0!</v>
      </c>
      <c r="AD392" s="41"/>
      <c r="AE392" s="41" t="e">
        <f t="shared" si="61"/>
        <v>#DIV/0!</v>
      </c>
      <c r="AF392" s="41" t="e">
        <f>X392/AU392</f>
        <v>#DIV/0!</v>
      </c>
      <c r="AG392" s="41" t="e">
        <f t="shared" si="57"/>
        <v>#DIV/0!</v>
      </c>
      <c r="AH392" s="36">
        <v>45397</v>
      </c>
      <c r="AI392" s="36"/>
      <c r="AJ392" s="36"/>
      <c r="AK392" s="36"/>
      <c r="AL392" s="36"/>
      <c r="AM392" s="46"/>
      <c r="AN392" s="40"/>
      <c r="AO392" s="40"/>
      <c r="AP392" s="40"/>
      <c r="AQ392" s="40"/>
      <c r="AR392" s="48"/>
      <c r="AS392" s="37"/>
      <c r="AT392" s="37"/>
      <c r="AU392" s="47"/>
      <c r="AV392" s="37"/>
      <c r="AW392" s="37">
        <v>10</v>
      </c>
      <c r="AX392" s="30">
        <f>(J392*10)/100</f>
        <v>39963.699999999997</v>
      </c>
      <c r="AY392" s="40"/>
    </row>
    <row r="393" spans="1:51" ht="48" customHeight="1" x14ac:dyDescent="0.25">
      <c r="A393" s="59" t="s">
        <v>2312</v>
      </c>
      <c r="B393" s="60">
        <v>45342</v>
      </c>
      <c r="C393" s="40" t="s">
        <v>2060</v>
      </c>
      <c r="D393" s="35"/>
      <c r="E393" s="39" t="s">
        <v>2313</v>
      </c>
      <c r="F393" s="36">
        <v>45355</v>
      </c>
      <c r="G393" s="37" t="s">
        <v>2314</v>
      </c>
      <c r="H393" s="40" t="s">
        <v>2315</v>
      </c>
      <c r="I393" s="62" t="s">
        <v>2316</v>
      </c>
      <c r="J393" s="67">
        <v>146655.6</v>
      </c>
      <c r="K393" s="41">
        <v>0</v>
      </c>
      <c r="L393" s="54">
        <v>0</v>
      </c>
      <c r="M393" s="54">
        <v>0</v>
      </c>
      <c r="N393" s="42">
        <f t="shared" si="59"/>
        <v>0</v>
      </c>
      <c r="O393" s="43">
        <f t="shared" si="62"/>
        <v>0</v>
      </c>
      <c r="P393" s="68">
        <v>146655.6</v>
      </c>
      <c r="Q393" s="43">
        <f t="shared" si="63"/>
        <v>0</v>
      </c>
      <c r="R393" s="67">
        <v>146655.6</v>
      </c>
      <c r="S393" s="30">
        <f t="shared" si="58"/>
        <v>146655.6</v>
      </c>
      <c r="T393" s="30">
        <f t="shared" si="58"/>
        <v>146655.6</v>
      </c>
      <c r="U393" s="30">
        <f>T393/X393</f>
        <v>3.5700000000000003</v>
      </c>
      <c r="V393" s="41">
        <f>T393/X393</f>
        <v>3.5700000000000003</v>
      </c>
      <c r="W393" s="41">
        <f>V393*AU393</f>
        <v>35.700000000000003</v>
      </c>
      <c r="X393" s="41">
        <f t="shared" si="64"/>
        <v>41080</v>
      </c>
      <c r="Y393" s="41">
        <v>41080</v>
      </c>
      <c r="Z393" s="41">
        <v>0</v>
      </c>
      <c r="AA393" s="41">
        <v>0</v>
      </c>
      <c r="AB393" s="41">
        <v>0</v>
      </c>
      <c r="AC393" s="41">
        <f t="shared" si="60"/>
        <v>0</v>
      </c>
      <c r="AD393" s="41">
        <v>0</v>
      </c>
      <c r="AE393" s="41">
        <f t="shared" si="61"/>
        <v>0</v>
      </c>
      <c r="AF393" s="41">
        <f>X393/AU393</f>
        <v>4108</v>
      </c>
      <c r="AG393" s="41">
        <f t="shared" si="57"/>
        <v>4108</v>
      </c>
      <c r="AH393" s="36">
        <v>45397</v>
      </c>
      <c r="AI393" s="36"/>
      <c r="AJ393" s="36"/>
      <c r="AK393" s="36">
        <v>45427</v>
      </c>
      <c r="AL393" s="36"/>
      <c r="AM393" s="46"/>
      <c r="AN393" s="40" t="s">
        <v>2317</v>
      </c>
      <c r="AO393" s="40" t="s">
        <v>2318</v>
      </c>
      <c r="AP393" s="40" t="s">
        <v>2319</v>
      </c>
      <c r="AQ393" s="40" t="s">
        <v>80</v>
      </c>
      <c r="AR393" s="48">
        <v>100</v>
      </c>
      <c r="AS393" s="37">
        <v>0</v>
      </c>
      <c r="AT393" s="37" t="s">
        <v>386</v>
      </c>
      <c r="AU393" s="47">
        <v>10</v>
      </c>
      <c r="AV393" s="37" t="s">
        <v>219</v>
      </c>
      <c r="AW393" s="37">
        <v>10</v>
      </c>
      <c r="AX393" s="30">
        <f>(J393*10)/100</f>
        <v>14665.56</v>
      </c>
      <c r="AY393" s="40" t="s">
        <v>402</v>
      </c>
    </row>
    <row r="394" spans="1:51" ht="39" customHeight="1" x14ac:dyDescent="0.25">
      <c r="A394" s="59" t="s">
        <v>2320</v>
      </c>
      <c r="B394" s="60">
        <v>45343</v>
      </c>
      <c r="C394" s="37">
        <v>1416</v>
      </c>
      <c r="D394" s="35"/>
      <c r="E394" s="39" t="s">
        <v>2321</v>
      </c>
      <c r="F394" s="36"/>
      <c r="G394" s="37"/>
      <c r="H394" s="40"/>
      <c r="I394" s="62" t="s">
        <v>2322</v>
      </c>
      <c r="J394" s="61">
        <v>45157260</v>
      </c>
      <c r="K394" s="41">
        <v>0</v>
      </c>
      <c r="L394" s="54">
        <v>0</v>
      </c>
      <c r="M394" s="54">
        <v>0</v>
      </c>
      <c r="N394" s="42">
        <f t="shared" si="59"/>
        <v>100</v>
      </c>
      <c r="O394" s="43">
        <f t="shared" si="62"/>
        <v>45157260</v>
      </c>
      <c r="P394" s="41"/>
      <c r="Q394" s="43">
        <f t="shared" si="63"/>
        <v>45157260</v>
      </c>
      <c r="R394" s="41">
        <v>0</v>
      </c>
      <c r="S394" s="30">
        <f t="shared" si="58"/>
        <v>0</v>
      </c>
      <c r="T394" s="30">
        <f t="shared" si="58"/>
        <v>0</v>
      </c>
      <c r="U394" s="30" t="e">
        <f>T394/X394</f>
        <v>#DIV/0!</v>
      </c>
      <c r="V394" s="41" t="e">
        <f>T394/X394</f>
        <v>#DIV/0!</v>
      </c>
      <c r="W394" s="41" t="e">
        <f>V394*AU394</f>
        <v>#DIV/0!</v>
      </c>
      <c r="X394" s="41">
        <f t="shared" si="64"/>
        <v>0</v>
      </c>
      <c r="Y394" s="41">
        <v>0</v>
      </c>
      <c r="Z394" s="41">
        <v>0</v>
      </c>
      <c r="AA394" s="41">
        <v>0</v>
      </c>
      <c r="AB394" s="41"/>
      <c r="AC394" s="41" t="e">
        <f t="shared" si="60"/>
        <v>#DIV/0!</v>
      </c>
      <c r="AD394" s="41"/>
      <c r="AE394" s="41" t="e">
        <f t="shared" si="61"/>
        <v>#DIV/0!</v>
      </c>
      <c r="AF394" s="41" t="e">
        <f>X394/AU394</f>
        <v>#DIV/0!</v>
      </c>
      <c r="AG394" s="41" t="e">
        <f t="shared" si="57"/>
        <v>#DIV/0!</v>
      </c>
      <c r="AH394" s="36">
        <v>45397</v>
      </c>
      <c r="AI394" s="36">
        <v>45443</v>
      </c>
      <c r="AJ394" s="36"/>
      <c r="AK394" s="36"/>
      <c r="AL394" s="36"/>
      <c r="AM394" s="46"/>
      <c r="AN394" s="40"/>
      <c r="AO394" s="40"/>
      <c r="AP394" s="40"/>
      <c r="AQ394" s="40"/>
      <c r="AR394" s="48"/>
      <c r="AS394" s="37"/>
      <c r="AT394" s="37"/>
      <c r="AU394" s="47"/>
      <c r="AV394" s="37"/>
      <c r="AW394" s="37">
        <v>10</v>
      </c>
      <c r="AX394" s="30">
        <f>(J394*10)/100</f>
        <v>4515726</v>
      </c>
      <c r="AY394" s="40"/>
    </row>
    <row r="395" spans="1:51" ht="39" customHeight="1" x14ac:dyDescent="0.25">
      <c r="A395" s="59" t="s">
        <v>2323</v>
      </c>
      <c r="B395" s="60">
        <v>45343</v>
      </c>
      <c r="C395" s="37" t="s">
        <v>494</v>
      </c>
      <c r="D395" s="35"/>
      <c r="E395" s="39" t="s">
        <v>2324</v>
      </c>
      <c r="F395" s="36"/>
      <c r="G395" s="37"/>
      <c r="H395" s="40"/>
      <c r="I395" s="64" t="s">
        <v>2249</v>
      </c>
      <c r="J395" s="61">
        <v>61618718.600000001</v>
      </c>
      <c r="K395" s="41">
        <v>0</v>
      </c>
      <c r="L395" s="54">
        <v>0</v>
      </c>
      <c r="M395" s="54">
        <v>0</v>
      </c>
      <c r="N395" s="42">
        <f t="shared" si="59"/>
        <v>100</v>
      </c>
      <c r="O395" s="43">
        <f t="shared" si="62"/>
        <v>61618718.600000001</v>
      </c>
      <c r="P395" s="41"/>
      <c r="Q395" s="43">
        <f t="shared" si="63"/>
        <v>61618718.600000001</v>
      </c>
      <c r="R395" s="41">
        <v>0</v>
      </c>
      <c r="S395" s="30">
        <f t="shared" si="58"/>
        <v>0</v>
      </c>
      <c r="T395" s="30">
        <f t="shared" si="58"/>
        <v>0</v>
      </c>
      <c r="U395" s="30" t="e">
        <f>T395/X395</f>
        <v>#DIV/0!</v>
      </c>
      <c r="V395" s="41" t="e">
        <f>T395/X395</f>
        <v>#DIV/0!</v>
      </c>
      <c r="W395" s="41" t="e">
        <f>V395*AU395</f>
        <v>#DIV/0!</v>
      </c>
      <c r="X395" s="41">
        <f t="shared" si="64"/>
        <v>0</v>
      </c>
      <c r="Y395" s="41">
        <v>0</v>
      </c>
      <c r="Z395" s="41">
        <v>0</v>
      </c>
      <c r="AA395" s="41">
        <v>0</v>
      </c>
      <c r="AB395" s="41"/>
      <c r="AC395" s="41" t="e">
        <f t="shared" si="60"/>
        <v>#DIV/0!</v>
      </c>
      <c r="AD395" s="41"/>
      <c r="AE395" s="41" t="e">
        <f t="shared" si="61"/>
        <v>#DIV/0!</v>
      </c>
      <c r="AF395" s="41" t="e">
        <f>X395/AU395</f>
        <v>#DIV/0!</v>
      </c>
      <c r="AG395" s="41" t="e">
        <f t="shared" si="57"/>
        <v>#DIV/0!</v>
      </c>
      <c r="AH395" s="36">
        <v>45397</v>
      </c>
      <c r="AI395" s="36"/>
      <c r="AJ395" s="36"/>
      <c r="AK395" s="36"/>
      <c r="AL395" s="36"/>
      <c r="AM395" s="46"/>
      <c r="AN395" s="40"/>
      <c r="AO395" s="40"/>
      <c r="AP395" s="40"/>
      <c r="AQ395" s="40"/>
      <c r="AR395" s="48"/>
      <c r="AS395" s="37"/>
      <c r="AT395" s="37"/>
      <c r="AU395" s="47"/>
      <c r="AV395" s="37"/>
      <c r="AW395" s="37">
        <v>10</v>
      </c>
      <c r="AX395" s="30">
        <f>(J395*10)/100</f>
        <v>6161871.8600000003</v>
      </c>
      <c r="AY395" s="40"/>
    </row>
    <row r="396" spans="1:51" ht="39" customHeight="1" x14ac:dyDescent="0.25">
      <c r="A396" s="59" t="s">
        <v>2325</v>
      </c>
      <c r="B396" s="60">
        <v>45343</v>
      </c>
      <c r="C396" s="37">
        <v>1416</v>
      </c>
      <c r="D396" s="35"/>
      <c r="E396" s="39" t="s">
        <v>2326</v>
      </c>
      <c r="F396" s="36"/>
      <c r="G396" s="37"/>
      <c r="H396" s="40"/>
      <c r="I396" s="62" t="s">
        <v>2327</v>
      </c>
      <c r="J396" s="61">
        <v>217068760</v>
      </c>
      <c r="K396" s="41">
        <v>0</v>
      </c>
      <c r="L396" s="54">
        <v>0</v>
      </c>
      <c r="M396" s="54">
        <v>0</v>
      </c>
      <c r="N396" s="42">
        <f t="shared" si="59"/>
        <v>100</v>
      </c>
      <c r="O396" s="43">
        <f t="shared" si="62"/>
        <v>217068760</v>
      </c>
      <c r="P396" s="41"/>
      <c r="Q396" s="43">
        <f t="shared" si="63"/>
        <v>217068760</v>
      </c>
      <c r="R396" s="41">
        <v>0</v>
      </c>
      <c r="S396" s="30">
        <f t="shared" si="58"/>
        <v>0</v>
      </c>
      <c r="T396" s="30">
        <f t="shared" si="58"/>
        <v>0</v>
      </c>
      <c r="U396" s="30" t="e">
        <f>T396/X396</f>
        <v>#DIV/0!</v>
      </c>
      <c r="V396" s="41" t="e">
        <f>T396/X396</f>
        <v>#DIV/0!</v>
      </c>
      <c r="W396" s="41" t="e">
        <f>V396*AU396</f>
        <v>#DIV/0!</v>
      </c>
      <c r="X396" s="41">
        <f t="shared" si="64"/>
        <v>0</v>
      </c>
      <c r="Y396" s="41">
        <v>0</v>
      </c>
      <c r="Z396" s="41">
        <v>0</v>
      </c>
      <c r="AA396" s="41">
        <v>0</v>
      </c>
      <c r="AB396" s="41"/>
      <c r="AC396" s="41" t="e">
        <f t="shared" si="60"/>
        <v>#DIV/0!</v>
      </c>
      <c r="AD396" s="41"/>
      <c r="AE396" s="41" t="e">
        <f t="shared" si="61"/>
        <v>#DIV/0!</v>
      </c>
      <c r="AF396" s="41" t="e">
        <f>X396/AU396</f>
        <v>#DIV/0!</v>
      </c>
      <c r="AG396" s="41" t="e">
        <f t="shared" si="57"/>
        <v>#DIV/0!</v>
      </c>
      <c r="AH396" s="36">
        <v>45397</v>
      </c>
      <c r="AI396" s="36"/>
      <c r="AJ396" s="36"/>
      <c r="AK396" s="36"/>
      <c r="AL396" s="36"/>
      <c r="AM396" s="46"/>
      <c r="AN396" s="40"/>
      <c r="AO396" s="40"/>
      <c r="AP396" s="40"/>
      <c r="AQ396" s="40"/>
      <c r="AR396" s="48"/>
      <c r="AS396" s="37"/>
      <c r="AT396" s="37"/>
      <c r="AU396" s="47"/>
      <c r="AV396" s="37"/>
      <c r="AW396" s="37">
        <v>10</v>
      </c>
      <c r="AX396" s="30">
        <f>(J396*10)/100</f>
        <v>21706876</v>
      </c>
      <c r="AY396" s="40"/>
    </row>
    <row r="397" spans="1:51" ht="39" customHeight="1" x14ac:dyDescent="0.25">
      <c r="A397" s="59" t="s">
        <v>2328</v>
      </c>
      <c r="B397" s="60">
        <v>45343</v>
      </c>
      <c r="C397" s="37">
        <v>1416</v>
      </c>
      <c r="D397" s="35"/>
      <c r="E397" s="39" t="s">
        <v>2329</v>
      </c>
      <c r="F397" s="36"/>
      <c r="G397" s="37"/>
      <c r="H397" s="40"/>
      <c r="I397" s="62" t="s">
        <v>2330</v>
      </c>
      <c r="J397" s="61">
        <v>351221410</v>
      </c>
      <c r="K397" s="41">
        <v>0</v>
      </c>
      <c r="L397" s="54">
        <v>0</v>
      </c>
      <c r="M397" s="54">
        <v>0</v>
      </c>
      <c r="N397" s="42">
        <f t="shared" si="59"/>
        <v>100</v>
      </c>
      <c r="O397" s="43">
        <f t="shared" si="62"/>
        <v>351221410</v>
      </c>
      <c r="P397" s="41"/>
      <c r="Q397" s="43">
        <f t="shared" si="63"/>
        <v>351221410</v>
      </c>
      <c r="R397" s="41">
        <v>0</v>
      </c>
      <c r="S397" s="30">
        <f t="shared" si="58"/>
        <v>0</v>
      </c>
      <c r="T397" s="30">
        <f t="shared" si="58"/>
        <v>0</v>
      </c>
      <c r="U397" s="30" t="e">
        <f>T397/X397</f>
        <v>#DIV/0!</v>
      </c>
      <c r="V397" s="41" t="e">
        <f>T397/X397</f>
        <v>#DIV/0!</v>
      </c>
      <c r="W397" s="41" t="e">
        <f>V397*AU397</f>
        <v>#DIV/0!</v>
      </c>
      <c r="X397" s="41">
        <f t="shared" si="64"/>
        <v>0</v>
      </c>
      <c r="Y397" s="41">
        <v>0</v>
      </c>
      <c r="Z397" s="41">
        <v>0</v>
      </c>
      <c r="AA397" s="41">
        <v>0</v>
      </c>
      <c r="AB397" s="41"/>
      <c r="AC397" s="41" t="e">
        <f t="shared" si="60"/>
        <v>#DIV/0!</v>
      </c>
      <c r="AD397" s="41"/>
      <c r="AE397" s="41" t="e">
        <f t="shared" si="61"/>
        <v>#DIV/0!</v>
      </c>
      <c r="AF397" s="41" t="e">
        <f>X397/AU397</f>
        <v>#DIV/0!</v>
      </c>
      <c r="AG397" s="41" t="e">
        <f t="shared" si="57"/>
        <v>#DIV/0!</v>
      </c>
      <c r="AH397" s="36">
        <v>45397</v>
      </c>
      <c r="AI397" s="36"/>
      <c r="AJ397" s="36"/>
      <c r="AK397" s="36"/>
      <c r="AL397" s="36"/>
      <c r="AM397" s="46"/>
      <c r="AN397" s="40"/>
      <c r="AO397" s="40"/>
      <c r="AP397" s="40"/>
      <c r="AQ397" s="40"/>
      <c r="AR397" s="48"/>
      <c r="AS397" s="37"/>
      <c r="AT397" s="37"/>
      <c r="AU397" s="47"/>
      <c r="AV397" s="37"/>
      <c r="AW397" s="37">
        <v>10</v>
      </c>
      <c r="AX397" s="30">
        <f>(J397*10)/100</f>
        <v>35122141</v>
      </c>
      <c r="AY397" s="40"/>
    </row>
    <row r="398" spans="1:51" ht="39" customHeight="1" x14ac:dyDescent="0.25">
      <c r="A398" s="59" t="s">
        <v>2331</v>
      </c>
      <c r="B398" s="60">
        <v>45343</v>
      </c>
      <c r="C398" s="37">
        <v>545</v>
      </c>
      <c r="D398" s="37" t="s">
        <v>431</v>
      </c>
      <c r="E398" s="39" t="s">
        <v>2332</v>
      </c>
      <c r="F398" s="37" t="s">
        <v>431</v>
      </c>
      <c r="G398" s="37" t="s">
        <v>431</v>
      </c>
      <c r="H398" s="37" t="s">
        <v>431</v>
      </c>
      <c r="I398" s="62" t="s">
        <v>564</v>
      </c>
      <c r="J398" s="61">
        <v>40387347</v>
      </c>
      <c r="K398" s="41">
        <v>0</v>
      </c>
      <c r="L398" s="54">
        <v>0</v>
      </c>
      <c r="M398" s="54">
        <v>0</v>
      </c>
      <c r="N398" s="42">
        <f t="shared" si="59"/>
        <v>100</v>
      </c>
      <c r="O398" s="43">
        <f t="shared" si="62"/>
        <v>40387347</v>
      </c>
      <c r="P398" s="41"/>
      <c r="Q398" s="43">
        <f t="shared" si="63"/>
        <v>40387347</v>
      </c>
      <c r="R398" s="41">
        <v>0</v>
      </c>
      <c r="S398" s="30">
        <f t="shared" si="58"/>
        <v>0</v>
      </c>
      <c r="T398" s="30">
        <f t="shared" si="58"/>
        <v>0</v>
      </c>
      <c r="U398" s="30" t="e">
        <f>T398/X398</f>
        <v>#DIV/0!</v>
      </c>
      <c r="V398" s="41" t="e">
        <f>T398/X398</f>
        <v>#DIV/0!</v>
      </c>
      <c r="W398" s="41" t="e">
        <f>V398*AU398</f>
        <v>#DIV/0!</v>
      </c>
      <c r="X398" s="41">
        <f t="shared" si="64"/>
        <v>0</v>
      </c>
      <c r="Y398" s="41">
        <v>0</v>
      </c>
      <c r="Z398" s="41">
        <v>0</v>
      </c>
      <c r="AA398" s="41">
        <v>0</v>
      </c>
      <c r="AB398" s="41"/>
      <c r="AC398" s="41" t="e">
        <f t="shared" si="60"/>
        <v>#DIV/0!</v>
      </c>
      <c r="AD398" s="41"/>
      <c r="AE398" s="41" t="e">
        <f t="shared" si="61"/>
        <v>#DIV/0!</v>
      </c>
      <c r="AF398" s="41" t="e">
        <f>X398/AU398</f>
        <v>#DIV/0!</v>
      </c>
      <c r="AG398" s="41" t="e">
        <f t="shared" si="57"/>
        <v>#DIV/0!</v>
      </c>
      <c r="AH398" s="36">
        <v>45382</v>
      </c>
      <c r="AI398" s="36"/>
      <c r="AJ398" s="36"/>
      <c r="AK398" s="36"/>
      <c r="AL398" s="36"/>
      <c r="AM398" s="46"/>
      <c r="AN398" s="40"/>
      <c r="AO398" s="40"/>
      <c r="AP398" s="40"/>
      <c r="AQ398" s="40"/>
      <c r="AR398" s="48"/>
      <c r="AS398" s="37"/>
      <c r="AT398" s="37"/>
      <c r="AU398" s="47"/>
      <c r="AV398" s="37"/>
      <c r="AW398" s="37">
        <v>10</v>
      </c>
      <c r="AX398" s="30">
        <f>(J398*10)/100</f>
        <v>4038734.7</v>
      </c>
      <c r="AY398" s="40" t="s">
        <v>431</v>
      </c>
    </row>
    <row r="399" spans="1:51" ht="39" customHeight="1" x14ac:dyDescent="0.25">
      <c r="A399" s="59" t="s">
        <v>2333</v>
      </c>
      <c r="B399" s="60">
        <v>45343</v>
      </c>
      <c r="C399" s="37" t="s">
        <v>494</v>
      </c>
      <c r="D399" s="35"/>
      <c r="E399" s="39" t="s">
        <v>2334</v>
      </c>
      <c r="F399" s="36"/>
      <c r="G399" s="37"/>
      <c r="H399" s="40"/>
      <c r="I399" s="62" t="s">
        <v>2335</v>
      </c>
      <c r="J399" s="61">
        <v>6719892.2999999998</v>
      </c>
      <c r="K399" s="41">
        <v>0</v>
      </c>
      <c r="L399" s="54">
        <v>0</v>
      </c>
      <c r="M399" s="54">
        <v>0</v>
      </c>
      <c r="N399" s="42">
        <f t="shared" si="59"/>
        <v>100</v>
      </c>
      <c r="O399" s="43">
        <f t="shared" si="62"/>
        <v>6719892.2999999998</v>
      </c>
      <c r="P399" s="41"/>
      <c r="Q399" s="43">
        <f t="shared" si="63"/>
        <v>6719892.2999999998</v>
      </c>
      <c r="R399" s="41">
        <v>0</v>
      </c>
      <c r="S399" s="30">
        <f t="shared" si="58"/>
        <v>0</v>
      </c>
      <c r="T399" s="30">
        <f t="shared" si="58"/>
        <v>0</v>
      </c>
      <c r="U399" s="30" t="e">
        <f>T399/X399</f>
        <v>#DIV/0!</v>
      </c>
      <c r="V399" s="41" t="e">
        <f>T399/X399</f>
        <v>#DIV/0!</v>
      </c>
      <c r="W399" s="41" t="e">
        <f>V399*AU399</f>
        <v>#DIV/0!</v>
      </c>
      <c r="X399" s="41">
        <f t="shared" si="64"/>
        <v>0</v>
      </c>
      <c r="Y399" s="41">
        <v>0</v>
      </c>
      <c r="Z399" s="41">
        <v>0</v>
      </c>
      <c r="AA399" s="41">
        <v>0</v>
      </c>
      <c r="AB399" s="41"/>
      <c r="AC399" s="41" t="e">
        <f t="shared" si="60"/>
        <v>#DIV/0!</v>
      </c>
      <c r="AD399" s="41"/>
      <c r="AE399" s="41" t="e">
        <f t="shared" si="61"/>
        <v>#DIV/0!</v>
      </c>
      <c r="AF399" s="41" t="e">
        <f>X399/AU399</f>
        <v>#DIV/0!</v>
      </c>
      <c r="AG399" s="41" t="e">
        <f t="shared" ref="AG399:AG462" si="65">_xlfn.CEILING.MATH(AF399)</f>
        <v>#DIV/0!</v>
      </c>
      <c r="AH399" s="36">
        <v>45397</v>
      </c>
      <c r="AI399" s="36"/>
      <c r="AJ399" s="36"/>
      <c r="AK399" s="36"/>
      <c r="AL399" s="36"/>
      <c r="AM399" s="46"/>
      <c r="AN399" s="40"/>
      <c r="AO399" s="40"/>
      <c r="AP399" s="40"/>
      <c r="AQ399" s="40"/>
      <c r="AR399" s="48"/>
      <c r="AS399" s="37"/>
      <c r="AT399" s="37"/>
      <c r="AU399" s="47"/>
      <c r="AV399" s="37"/>
      <c r="AW399" s="37">
        <v>10</v>
      </c>
      <c r="AX399" s="30">
        <f>(J399*10)/100</f>
        <v>671989.23</v>
      </c>
      <c r="AY399" s="40"/>
    </row>
    <row r="400" spans="1:51" ht="39" customHeight="1" x14ac:dyDescent="0.25">
      <c r="A400" s="59" t="s">
        <v>2336</v>
      </c>
      <c r="B400" s="60">
        <v>45343</v>
      </c>
      <c r="C400" s="40" t="s">
        <v>2189</v>
      </c>
      <c r="D400" s="35"/>
      <c r="E400" s="39" t="s">
        <v>2337</v>
      </c>
      <c r="F400" s="36">
        <v>45356</v>
      </c>
      <c r="G400" s="37" t="s">
        <v>2338</v>
      </c>
      <c r="H400" s="40" t="s">
        <v>1830</v>
      </c>
      <c r="I400" s="62" t="s">
        <v>1435</v>
      </c>
      <c r="J400" s="61">
        <v>435864</v>
      </c>
      <c r="K400" s="41">
        <v>0</v>
      </c>
      <c r="L400" s="54">
        <v>0</v>
      </c>
      <c r="M400" s="54">
        <v>0</v>
      </c>
      <c r="N400" s="42">
        <f t="shared" si="59"/>
        <v>2.3860653781913623E-2</v>
      </c>
      <c r="O400" s="43">
        <f t="shared" si="62"/>
        <v>104</v>
      </c>
      <c r="P400" s="41">
        <v>435760</v>
      </c>
      <c r="Q400" s="43">
        <f t="shared" si="63"/>
        <v>104</v>
      </c>
      <c r="R400" s="41">
        <v>435760</v>
      </c>
      <c r="S400" s="30">
        <f t="shared" si="58"/>
        <v>435760</v>
      </c>
      <c r="T400" s="30">
        <f t="shared" si="58"/>
        <v>435760</v>
      </c>
      <c r="U400" s="30">
        <f>T400/X400</f>
        <v>41.9</v>
      </c>
      <c r="V400" s="41">
        <f>T400/X400</f>
        <v>41.9</v>
      </c>
      <c r="W400" s="41">
        <f>V400*AU400</f>
        <v>2095</v>
      </c>
      <c r="X400" s="41">
        <f t="shared" si="64"/>
        <v>10400</v>
      </c>
      <c r="Y400" s="41">
        <f>1800+8600</f>
        <v>10400</v>
      </c>
      <c r="Z400" s="41">
        <v>0</v>
      </c>
      <c r="AA400" s="41">
        <v>0</v>
      </c>
      <c r="AB400" s="41">
        <v>1800</v>
      </c>
      <c r="AC400" s="41">
        <f t="shared" si="60"/>
        <v>75420</v>
      </c>
      <c r="AD400" s="41">
        <v>8600</v>
      </c>
      <c r="AE400" s="41">
        <f t="shared" si="61"/>
        <v>360340</v>
      </c>
      <c r="AF400" s="41">
        <f>X400/AU400</f>
        <v>208</v>
      </c>
      <c r="AG400" s="41">
        <f t="shared" si="65"/>
        <v>208</v>
      </c>
      <c r="AH400" s="36">
        <v>45397</v>
      </c>
      <c r="AI400" s="36"/>
      <c r="AJ400" s="36"/>
      <c r="AK400" s="36">
        <v>45427</v>
      </c>
      <c r="AL400" s="36"/>
      <c r="AM400" s="46"/>
      <c r="AN400" s="40" t="s">
        <v>865</v>
      </c>
      <c r="AO400" s="40" t="s">
        <v>1463</v>
      </c>
      <c r="AP400" s="40" t="s">
        <v>867</v>
      </c>
      <c r="AQ400" s="40" t="s">
        <v>80</v>
      </c>
      <c r="AR400" s="48">
        <v>100</v>
      </c>
      <c r="AS400" s="37">
        <v>0</v>
      </c>
      <c r="AT400" s="37" t="s">
        <v>386</v>
      </c>
      <c r="AU400" s="47">
        <v>50</v>
      </c>
      <c r="AV400" s="37" t="s">
        <v>2339</v>
      </c>
      <c r="AW400" s="37">
        <v>10</v>
      </c>
      <c r="AX400" s="30">
        <f>(J400*10)/100</f>
        <v>43586.400000000001</v>
      </c>
      <c r="AY400" s="40" t="s">
        <v>402</v>
      </c>
    </row>
    <row r="401" spans="1:51" ht="39" customHeight="1" x14ac:dyDescent="0.25">
      <c r="A401" s="59" t="s">
        <v>2340</v>
      </c>
      <c r="B401" s="60">
        <v>45343</v>
      </c>
      <c r="C401" s="37">
        <v>1416</v>
      </c>
      <c r="D401" s="35"/>
      <c r="E401" s="39" t="s">
        <v>2341</v>
      </c>
      <c r="F401" s="36"/>
      <c r="G401" s="37"/>
      <c r="H401" s="40"/>
      <c r="I401" s="62" t="s">
        <v>2342</v>
      </c>
      <c r="J401" s="61">
        <v>205846080</v>
      </c>
      <c r="K401" s="41">
        <v>0</v>
      </c>
      <c r="L401" s="54">
        <v>0</v>
      </c>
      <c r="M401" s="54">
        <v>0</v>
      </c>
      <c r="N401" s="42">
        <f t="shared" si="59"/>
        <v>100</v>
      </c>
      <c r="O401" s="43">
        <f t="shared" si="62"/>
        <v>205846080</v>
      </c>
      <c r="P401" s="41"/>
      <c r="Q401" s="43">
        <f t="shared" si="63"/>
        <v>205846080</v>
      </c>
      <c r="R401" s="41">
        <v>0</v>
      </c>
      <c r="S401" s="30">
        <f t="shared" si="58"/>
        <v>0</v>
      </c>
      <c r="T401" s="30">
        <f t="shared" si="58"/>
        <v>0</v>
      </c>
      <c r="U401" s="30" t="e">
        <f>T401/X401</f>
        <v>#DIV/0!</v>
      </c>
      <c r="V401" s="41" t="e">
        <f>T401/X401</f>
        <v>#DIV/0!</v>
      </c>
      <c r="W401" s="41" t="e">
        <f>V401*AU401</f>
        <v>#DIV/0!</v>
      </c>
      <c r="X401" s="41">
        <f t="shared" si="64"/>
        <v>0</v>
      </c>
      <c r="Y401" s="41">
        <v>0</v>
      </c>
      <c r="Z401" s="41">
        <v>0</v>
      </c>
      <c r="AA401" s="41">
        <v>0</v>
      </c>
      <c r="AB401" s="41"/>
      <c r="AC401" s="41" t="e">
        <f t="shared" si="60"/>
        <v>#DIV/0!</v>
      </c>
      <c r="AD401" s="41"/>
      <c r="AE401" s="41" t="e">
        <f t="shared" si="61"/>
        <v>#DIV/0!</v>
      </c>
      <c r="AF401" s="41" t="e">
        <f>X401/AU401</f>
        <v>#DIV/0!</v>
      </c>
      <c r="AG401" s="41" t="e">
        <f t="shared" si="65"/>
        <v>#DIV/0!</v>
      </c>
      <c r="AH401" s="36">
        <v>45397</v>
      </c>
      <c r="AI401" s="36"/>
      <c r="AJ401" s="36"/>
      <c r="AK401" s="36"/>
      <c r="AL401" s="36"/>
      <c r="AM401" s="46"/>
      <c r="AN401" s="40"/>
      <c r="AO401" s="40"/>
      <c r="AP401" s="40"/>
      <c r="AQ401" s="40"/>
      <c r="AR401" s="48"/>
      <c r="AS401" s="37"/>
      <c r="AT401" s="37"/>
      <c r="AU401" s="47"/>
      <c r="AV401" s="37"/>
      <c r="AW401" s="37">
        <v>10</v>
      </c>
      <c r="AX401" s="30">
        <f>(J401*10)/100</f>
        <v>20584608</v>
      </c>
      <c r="AY401" s="40"/>
    </row>
    <row r="402" spans="1:51" ht="39" customHeight="1" x14ac:dyDescent="0.25">
      <c r="A402" s="59" t="s">
        <v>2343</v>
      </c>
      <c r="B402" s="60">
        <v>45343</v>
      </c>
      <c r="C402" s="37" t="s">
        <v>494</v>
      </c>
      <c r="D402" s="35"/>
      <c r="E402" s="39" t="s">
        <v>2344</v>
      </c>
      <c r="F402" s="36"/>
      <c r="G402" s="37"/>
      <c r="H402" s="40"/>
      <c r="I402" s="62" t="s">
        <v>2345</v>
      </c>
      <c r="J402" s="61">
        <v>6320413</v>
      </c>
      <c r="K402" s="41">
        <v>0</v>
      </c>
      <c r="L402" s="54">
        <v>0</v>
      </c>
      <c r="M402" s="54">
        <v>0</v>
      </c>
      <c r="N402" s="42">
        <f t="shared" si="59"/>
        <v>100</v>
      </c>
      <c r="O402" s="43">
        <f t="shared" si="62"/>
        <v>6320413</v>
      </c>
      <c r="P402" s="41"/>
      <c r="Q402" s="43">
        <f t="shared" si="63"/>
        <v>6320413</v>
      </c>
      <c r="R402" s="41">
        <v>0</v>
      </c>
      <c r="S402" s="30">
        <f t="shared" si="58"/>
        <v>0</v>
      </c>
      <c r="T402" s="30">
        <f t="shared" si="58"/>
        <v>0</v>
      </c>
      <c r="U402" s="30" t="e">
        <f>T402/X402</f>
        <v>#DIV/0!</v>
      </c>
      <c r="V402" s="41" t="e">
        <f>T402/X402</f>
        <v>#DIV/0!</v>
      </c>
      <c r="W402" s="41" t="e">
        <f>V402*AU402</f>
        <v>#DIV/0!</v>
      </c>
      <c r="X402" s="41">
        <f t="shared" si="64"/>
        <v>0</v>
      </c>
      <c r="Y402" s="41">
        <v>0</v>
      </c>
      <c r="Z402" s="41">
        <v>0</v>
      </c>
      <c r="AA402" s="41">
        <v>0</v>
      </c>
      <c r="AB402" s="41"/>
      <c r="AC402" s="41" t="e">
        <f t="shared" si="60"/>
        <v>#DIV/0!</v>
      </c>
      <c r="AD402" s="41"/>
      <c r="AE402" s="41" t="e">
        <f t="shared" si="61"/>
        <v>#DIV/0!</v>
      </c>
      <c r="AF402" s="41" t="e">
        <f>X402/AU402</f>
        <v>#DIV/0!</v>
      </c>
      <c r="AG402" s="41" t="e">
        <f t="shared" si="65"/>
        <v>#DIV/0!</v>
      </c>
      <c r="AH402" s="36">
        <v>45397</v>
      </c>
      <c r="AI402" s="36"/>
      <c r="AJ402" s="36"/>
      <c r="AK402" s="36"/>
      <c r="AL402" s="36"/>
      <c r="AM402" s="46"/>
      <c r="AN402" s="40"/>
      <c r="AO402" s="40"/>
      <c r="AP402" s="40"/>
      <c r="AQ402" s="40"/>
      <c r="AR402" s="48"/>
      <c r="AS402" s="37"/>
      <c r="AT402" s="37"/>
      <c r="AU402" s="47"/>
      <c r="AV402" s="37"/>
      <c r="AW402" s="37">
        <v>10</v>
      </c>
      <c r="AX402" s="30">
        <f>(J402*10)/100</f>
        <v>632041.30000000005</v>
      </c>
      <c r="AY402" s="40"/>
    </row>
    <row r="403" spans="1:51" ht="39" customHeight="1" x14ac:dyDescent="0.25">
      <c r="A403" s="59" t="s">
        <v>2346</v>
      </c>
      <c r="B403" s="60">
        <v>45343</v>
      </c>
      <c r="C403" s="37" t="s">
        <v>494</v>
      </c>
      <c r="D403" s="37" t="s">
        <v>431</v>
      </c>
      <c r="E403" s="39" t="s">
        <v>2347</v>
      </c>
      <c r="F403" s="37" t="s">
        <v>431</v>
      </c>
      <c r="G403" s="37" t="s">
        <v>431</v>
      </c>
      <c r="H403" s="37" t="s">
        <v>431</v>
      </c>
      <c r="I403" s="62" t="s">
        <v>2348</v>
      </c>
      <c r="J403" s="61">
        <v>3552037</v>
      </c>
      <c r="K403" s="41">
        <v>0</v>
      </c>
      <c r="L403" s="54">
        <v>0</v>
      </c>
      <c r="M403" s="54">
        <v>0</v>
      </c>
      <c r="N403" s="42">
        <f t="shared" si="59"/>
        <v>100</v>
      </c>
      <c r="O403" s="43">
        <f t="shared" si="62"/>
        <v>3552037</v>
      </c>
      <c r="P403" s="41"/>
      <c r="Q403" s="43">
        <f t="shared" si="63"/>
        <v>3552037</v>
      </c>
      <c r="R403" s="41">
        <v>0</v>
      </c>
      <c r="S403" s="30">
        <f t="shared" si="58"/>
        <v>0</v>
      </c>
      <c r="T403" s="30">
        <f t="shared" si="58"/>
        <v>0</v>
      </c>
      <c r="U403" s="30" t="e">
        <f>T403/X403</f>
        <v>#DIV/0!</v>
      </c>
      <c r="V403" s="41" t="e">
        <f>T403/X403</f>
        <v>#DIV/0!</v>
      </c>
      <c r="W403" s="41" t="e">
        <f>V403*AU403</f>
        <v>#DIV/0!</v>
      </c>
      <c r="X403" s="41">
        <f t="shared" si="64"/>
        <v>0</v>
      </c>
      <c r="Y403" s="41">
        <v>0</v>
      </c>
      <c r="Z403" s="41">
        <v>0</v>
      </c>
      <c r="AA403" s="41">
        <v>0</v>
      </c>
      <c r="AB403" s="41"/>
      <c r="AC403" s="41" t="e">
        <f t="shared" si="60"/>
        <v>#DIV/0!</v>
      </c>
      <c r="AD403" s="41"/>
      <c r="AE403" s="41" t="e">
        <f t="shared" si="61"/>
        <v>#DIV/0!</v>
      </c>
      <c r="AF403" s="41" t="e">
        <f>X403/AU403</f>
        <v>#DIV/0!</v>
      </c>
      <c r="AG403" s="41" t="e">
        <f t="shared" si="65"/>
        <v>#DIV/0!</v>
      </c>
      <c r="AH403" s="36">
        <v>45397</v>
      </c>
      <c r="AI403" s="36"/>
      <c r="AJ403" s="36"/>
      <c r="AK403" s="36"/>
      <c r="AL403" s="36"/>
      <c r="AM403" s="46"/>
      <c r="AN403" s="40"/>
      <c r="AO403" s="40"/>
      <c r="AP403" s="40"/>
      <c r="AQ403" s="40"/>
      <c r="AR403" s="48"/>
      <c r="AS403" s="37"/>
      <c r="AT403" s="37"/>
      <c r="AU403" s="47"/>
      <c r="AV403" s="37"/>
      <c r="AW403" s="37">
        <v>10</v>
      </c>
      <c r="AX403" s="30">
        <f>(J403*10)/100</f>
        <v>355203.7</v>
      </c>
      <c r="AY403" s="40" t="s">
        <v>431</v>
      </c>
    </row>
    <row r="404" spans="1:51" ht="39" customHeight="1" x14ac:dyDescent="0.25">
      <c r="A404" s="59" t="s">
        <v>2349</v>
      </c>
      <c r="B404" s="60">
        <v>45343</v>
      </c>
      <c r="C404" s="37" t="s">
        <v>494</v>
      </c>
      <c r="D404" s="35"/>
      <c r="E404" s="39" t="s">
        <v>2350</v>
      </c>
      <c r="F404" s="36"/>
      <c r="G404" s="37"/>
      <c r="H404" s="40"/>
      <c r="I404" s="62" t="s">
        <v>2351</v>
      </c>
      <c r="J404" s="61">
        <v>2941323</v>
      </c>
      <c r="K404" s="41">
        <v>0</v>
      </c>
      <c r="L404" s="54">
        <v>0</v>
      </c>
      <c r="M404" s="54">
        <v>0</v>
      </c>
      <c r="N404" s="42">
        <f t="shared" si="59"/>
        <v>100</v>
      </c>
      <c r="O404" s="43">
        <f t="shared" si="62"/>
        <v>2941323</v>
      </c>
      <c r="P404" s="41"/>
      <c r="Q404" s="43">
        <f t="shared" si="63"/>
        <v>2941323</v>
      </c>
      <c r="R404" s="41">
        <v>0</v>
      </c>
      <c r="S404" s="30">
        <f t="shared" si="58"/>
        <v>0</v>
      </c>
      <c r="T404" s="30">
        <f t="shared" si="58"/>
        <v>0</v>
      </c>
      <c r="U404" s="30" t="e">
        <f>T404/X404</f>
        <v>#DIV/0!</v>
      </c>
      <c r="V404" s="41" t="e">
        <f>T404/X404</f>
        <v>#DIV/0!</v>
      </c>
      <c r="W404" s="41" t="e">
        <f>V404*AU404</f>
        <v>#DIV/0!</v>
      </c>
      <c r="X404" s="41">
        <f t="shared" si="64"/>
        <v>0</v>
      </c>
      <c r="Y404" s="41">
        <v>0</v>
      </c>
      <c r="Z404" s="41">
        <v>0</v>
      </c>
      <c r="AA404" s="41">
        <v>0</v>
      </c>
      <c r="AB404" s="41"/>
      <c r="AC404" s="41" t="e">
        <f t="shared" si="60"/>
        <v>#DIV/0!</v>
      </c>
      <c r="AD404" s="41"/>
      <c r="AE404" s="41" t="e">
        <f t="shared" si="61"/>
        <v>#DIV/0!</v>
      </c>
      <c r="AF404" s="41" t="e">
        <f>X404/AU404</f>
        <v>#DIV/0!</v>
      </c>
      <c r="AG404" s="41" t="e">
        <f t="shared" si="65"/>
        <v>#DIV/0!</v>
      </c>
      <c r="AH404" s="36">
        <v>45397</v>
      </c>
      <c r="AI404" s="36"/>
      <c r="AJ404" s="36"/>
      <c r="AK404" s="36"/>
      <c r="AL404" s="36"/>
      <c r="AM404" s="46"/>
      <c r="AN404" s="40"/>
      <c r="AO404" s="40"/>
      <c r="AP404" s="40"/>
      <c r="AQ404" s="40"/>
      <c r="AR404" s="48"/>
      <c r="AS404" s="37"/>
      <c r="AT404" s="37"/>
      <c r="AU404" s="47"/>
      <c r="AV404" s="37"/>
      <c r="AW404" s="37">
        <v>10</v>
      </c>
      <c r="AX404" s="30">
        <f>(J404*10)/100</f>
        <v>294132.3</v>
      </c>
      <c r="AY404" s="40"/>
    </row>
    <row r="405" spans="1:51" ht="39" customHeight="1" x14ac:dyDescent="0.25">
      <c r="A405" s="59" t="s">
        <v>2352</v>
      </c>
      <c r="B405" s="60">
        <v>45343</v>
      </c>
      <c r="C405" s="37" t="s">
        <v>494</v>
      </c>
      <c r="D405" s="37" t="s">
        <v>431</v>
      </c>
      <c r="E405" s="39" t="s">
        <v>2353</v>
      </c>
      <c r="F405" s="37" t="s">
        <v>431</v>
      </c>
      <c r="G405" s="37" t="s">
        <v>431</v>
      </c>
      <c r="H405" s="37" t="s">
        <v>431</v>
      </c>
      <c r="I405" s="62" t="s">
        <v>2354</v>
      </c>
      <c r="J405" s="61">
        <v>376852.5</v>
      </c>
      <c r="K405" s="41">
        <v>0</v>
      </c>
      <c r="L405" s="54">
        <v>0</v>
      </c>
      <c r="M405" s="54">
        <v>0</v>
      </c>
      <c r="N405" s="42">
        <f t="shared" si="59"/>
        <v>100</v>
      </c>
      <c r="O405" s="43">
        <f t="shared" si="62"/>
        <v>376852.5</v>
      </c>
      <c r="P405" s="41"/>
      <c r="Q405" s="43">
        <f t="shared" si="63"/>
        <v>376852.5</v>
      </c>
      <c r="R405" s="41">
        <v>0</v>
      </c>
      <c r="S405" s="30">
        <f t="shared" si="58"/>
        <v>0</v>
      </c>
      <c r="T405" s="30">
        <f t="shared" si="58"/>
        <v>0</v>
      </c>
      <c r="U405" s="30" t="e">
        <f>T405/X405</f>
        <v>#DIV/0!</v>
      </c>
      <c r="V405" s="41" t="e">
        <f>T405/X405</f>
        <v>#DIV/0!</v>
      </c>
      <c r="W405" s="41" t="e">
        <f>V405*AU405</f>
        <v>#DIV/0!</v>
      </c>
      <c r="X405" s="41">
        <f t="shared" si="64"/>
        <v>0</v>
      </c>
      <c r="Y405" s="41">
        <v>0</v>
      </c>
      <c r="Z405" s="41">
        <v>0</v>
      </c>
      <c r="AA405" s="41">
        <v>0</v>
      </c>
      <c r="AB405" s="41"/>
      <c r="AC405" s="41" t="e">
        <f t="shared" si="60"/>
        <v>#DIV/0!</v>
      </c>
      <c r="AD405" s="41"/>
      <c r="AE405" s="41" t="e">
        <f t="shared" si="61"/>
        <v>#DIV/0!</v>
      </c>
      <c r="AF405" s="41" t="e">
        <f>X405/AU405</f>
        <v>#DIV/0!</v>
      </c>
      <c r="AG405" s="41" t="e">
        <f t="shared" si="65"/>
        <v>#DIV/0!</v>
      </c>
      <c r="AH405" s="36">
        <v>45397</v>
      </c>
      <c r="AI405" s="36"/>
      <c r="AJ405" s="36"/>
      <c r="AK405" s="36"/>
      <c r="AL405" s="36"/>
      <c r="AM405" s="46"/>
      <c r="AN405" s="40"/>
      <c r="AO405" s="40"/>
      <c r="AP405" s="40"/>
      <c r="AQ405" s="40"/>
      <c r="AR405" s="48"/>
      <c r="AS405" s="37"/>
      <c r="AT405" s="37"/>
      <c r="AU405" s="47"/>
      <c r="AV405" s="37"/>
      <c r="AW405" s="37">
        <v>10</v>
      </c>
      <c r="AX405" s="30">
        <f>(J405*10)/100</f>
        <v>37685.25</v>
      </c>
      <c r="AY405" s="40" t="s">
        <v>431</v>
      </c>
    </row>
    <row r="406" spans="1:51" ht="39" customHeight="1" x14ac:dyDescent="0.25">
      <c r="A406" s="59" t="s">
        <v>2355</v>
      </c>
      <c r="B406" s="60">
        <v>45343</v>
      </c>
      <c r="C406" s="37" t="s">
        <v>494</v>
      </c>
      <c r="D406" s="35"/>
      <c r="E406" s="39" t="s">
        <v>2356</v>
      </c>
      <c r="F406" s="36"/>
      <c r="G406" s="37"/>
      <c r="H406" s="40"/>
      <c r="I406" s="62" t="s">
        <v>2223</v>
      </c>
      <c r="J406" s="61">
        <v>2216439.5</v>
      </c>
      <c r="K406" s="41">
        <v>0</v>
      </c>
      <c r="L406" s="54">
        <v>0</v>
      </c>
      <c r="M406" s="54">
        <v>0</v>
      </c>
      <c r="N406" s="42">
        <f t="shared" si="59"/>
        <v>100</v>
      </c>
      <c r="O406" s="43">
        <f t="shared" si="62"/>
        <v>2216439.5</v>
      </c>
      <c r="P406" s="41"/>
      <c r="Q406" s="43">
        <f t="shared" si="63"/>
        <v>2216439.5</v>
      </c>
      <c r="R406" s="41">
        <v>0</v>
      </c>
      <c r="S406" s="30">
        <f t="shared" si="58"/>
        <v>0</v>
      </c>
      <c r="T406" s="30">
        <f t="shared" si="58"/>
        <v>0</v>
      </c>
      <c r="U406" s="30" t="e">
        <f>T406/X406</f>
        <v>#DIV/0!</v>
      </c>
      <c r="V406" s="41" t="e">
        <f>T406/X406</f>
        <v>#DIV/0!</v>
      </c>
      <c r="W406" s="41" t="e">
        <f>V406*AU406</f>
        <v>#DIV/0!</v>
      </c>
      <c r="X406" s="41">
        <f t="shared" si="64"/>
        <v>0</v>
      </c>
      <c r="Y406" s="41">
        <v>0</v>
      </c>
      <c r="Z406" s="41">
        <v>0</v>
      </c>
      <c r="AA406" s="41">
        <v>0</v>
      </c>
      <c r="AB406" s="41"/>
      <c r="AC406" s="41" t="e">
        <f t="shared" si="60"/>
        <v>#DIV/0!</v>
      </c>
      <c r="AD406" s="41"/>
      <c r="AE406" s="41" t="e">
        <f t="shared" si="61"/>
        <v>#DIV/0!</v>
      </c>
      <c r="AF406" s="41" t="e">
        <f>X406/AU406</f>
        <v>#DIV/0!</v>
      </c>
      <c r="AG406" s="41" t="e">
        <f t="shared" si="65"/>
        <v>#DIV/0!</v>
      </c>
      <c r="AH406" s="36">
        <v>45397</v>
      </c>
      <c r="AI406" s="36"/>
      <c r="AJ406" s="36"/>
      <c r="AK406" s="36"/>
      <c r="AL406" s="36"/>
      <c r="AM406" s="46"/>
      <c r="AN406" s="40"/>
      <c r="AO406" s="40"/>
      <c r="AP406" s="40"/>
      <c r="AQ406" s="40"/>
      <c r="AR406" s="48"/>
      <c r="AS406" s="37"/>
      <c r="AT406" s="37"/>
      <c r="AU406" s="47"/>
      <c r="AV406" s="37"/>
      <c r="AW406" s="37">
        <v>10</v>
      </c>
      <c r="AX406" s="30">
        <f>(J406*10)/100</f>
        <v>221643.95</v>
      </c>
      <c r="AY406" s="40"/>
    </row>
    <row r="407" spans="1:51" ht="39" customHeight="1" x14ac:dyDescent="0.25">
      <c r="A407" s="59" t="s">
        <v>2357</v>
      </c>
      <c r="B407" s="60">
        <v>45343</v>
      </c>
      <c r="C407" s="37">
        <v>1416</v>
      </c>
      <c r="D407" s="35"/>
      <c r="E407" s="39" t="s">
        <v>2358</v>
      </c>
      <c r="F407" s="36"/>
      <c r="G407" s="37"/>
      <c r="H407" s="40"/>
      <c r="I407" s="62" t="s">
        <v>2359</v>
      </c>
      <c r="J407" s="61">
        <v>194060560</v>
      </c>
      <c r="K407" s="41">
        <v>0</v>
      </c>
      <c r="L407" s="54">
        <v>0</v>
      </c>
      <c r="M407" s="54">
        <v>0</v>
      </c>
      <c r="N407" s="42">
        <f t="shared" si="59"/>
        <v>100</v>
      </c>
      <c r="O407" s="43">
        <f t="shared" si="62"/>
        <v>194060560</v>
      </c>
      <c r="P407" s="41"/>
      <c r="Q407" s="43">
        <f t="shared" si="63"/>
        <v>194060560</v>
      </c>
      <c r="R407" s="41">
        <v>0</v>
      </c>
      <c r="S407" s="30">
        <f t="shared" ref="S407:T465" si="66">R407</f>
        <v>0</v>
      </c>
      <c r="T407" s="30">
        <f t="shared" si="66"/>
        <v>0</v>
      </c>
      <c r="U407" s="30" t="e">
        <f>T407/X407</f>
        <v>#DIV/0!</v>
      </c>
      <c r="V407" s="41" t="e">
        <f>T407/X407</f>
        <v>#DIV/0!</v>
      </c>
      <c r="W407" s="41" t="e">
        <f>V407*AU407</f>
        <v>#DIV/0!</v>
      </c>
      <c r="X407" s="41">
        <f t="shared" si="64"/>
        <v>0</v>
      </c>
      <c r="Y407" s="41">
        <v>0</v>
      </c>
      <c r="Z407" s="41">
        <v>0</v>
      </c>
      <c r="AA407" s="41">
        <v>0</v>
      </c>
      <c r="AB407" s="41"/>
      <c r="AC407" s="41" t="e">
        <f t="shared" si="60"/>
        <v>#DIV/0!</v>
      </c>
      <c r="AD407" s="41"/>
      <c r="AE407" s="41" t="e">
        <f t="shared" si="61"/>
        <v>#DIV/0!</v>
      </c>
      <c r="AF407" s="41" t="e">
        <f>X407/AU407</f>
        <v>#DIV/0!</v>
      </c>
      <c r="AG407" s="41" t="e">
        <f t="shared" si="65"/>
        <v>#DIV/0!</v>
      </c>
      <c r="AH407" s="36">
        <v>45397</v>
      </c>
      <c r="AI407" s="36"/>
      <c r="AJ407" s="36"/>
      <c r="AK407" s="36"/>
      <c r="AL407" s="36"/>
      <c r="AM407" s="46"/>
      <c r="AN407" s="40"/>
      <c r="AO407" s="40"/>
      <c r="AP407" s="40"/>
      <c r="AQ407" s="40"/>
      <c r="AR407" s="48"/>
      <c r="AS407" s="37"/>
      <c r="AT407" s="37"/>
      <c r="AU407" s="47"/>
      <c r="AV407" s="37"/>
      <c r="AW407" s="37">
        <v>10</v>
      </c>
      <c r="AX407" s="30">
        <f>(J407*10)/100</f>
        <v>19406056</v>
      </c>
      <c r="AY407" s="40"/>
    </row>
    <row r="408" spans="1:51" ht="42" customHeight="1" x14ac:dyDescent="0.25">
      <c r="A408" s="59" t="s">
        <v>2360</v>
      </c>
      <c r="B408" s="60">
        <v>45343</v>
      </c>
      <c r="C408" s="37">
        <v>1416</v>
      </c>
      <c r="D408" s="35"/>
      <c r="E408" s="39" t="s">
        <v>2361</v>
      </c>
      <c r="F408" s="36"/>
      <c r="G408" s="37"/>
      <c r="H408" s="40"/>
      <c r="I408" s="62" t="s">
        <v>2362</v>
      </c>
      <c r="J408" s="61">
        <v>57676320</v>
      </c>
      <c r="K408" s="41">
        <v>0</v>
      </c>
      <c r="L408" s="54">
        <v>0</v>
      </c>
      <c r="M408" s="54">
        <v>0</v>
      </c>
      <c r="N408" s="42">
        <f t="shared" si="59"/>
        <v>100</v>
      </c>
      <c r="O408" s="43">
        <f t="shared" si="62"/>
        <v>57676320</v>
      </c>
      <c r="P408" s="41"/>
      <c r="Q408" s="43">
        <f t="shared" si="63"/>
        <v>57676320</v>
      </c>
      <c r="R408" s="41">
        <v>0</v>
      </c>
      <c r="S408" s="30">
        <f t="shared" si="66"/>
        <v>0</v>
      </c>
      <c r="T408" s="30">
        <f t="shared" si="66"/>
        <v>0</v>
      </c>
      <c r="U408" s="30" t="e">
        <f>T408/X408</f>
        <v>#DIV/0!</v>
      </c>
      <c r="V408" s="41" t="e">
        <f>T408/X408</f>
        <v>#DIV/0!</v>
      </c>
      <c r="W408" s="41" t="e">
        <f>V408*AU408</f>
        <v>#DIV/0!</v>
      </c>
      <c r="X408" s="41">
        <f t="shared" si="64"/>
        <v>0</v>
      </c>
      <c r="Y408" s="41">
        <v>0</v>
      </c>
      <c r="Z408" s="41">
        <v>0</v>
      </c>
      <c r="AA408" s="41">
        <v>0</v>
      </c>
      <c r="AB408" s="41"/>
      <c r="AC408" s="41" t="e">
        <f t="shared" si="60"/>
        <v>#DIV/0!</v>
      </c>
      <c r="AD408" s="41"/>
      <c r="AE408" s="41" t="e">
        <f t="shared" si="61"/>
        <v>#DIV/0!</v>
      </c>
      <c r="AF408" s="41" t="e">
        <f>X408/AU408</f>
        <v>#DIV/0!</v>
      </c>
      <c r="AG408" s="41" t="e">
        <f t="shared" si="65"/>
        <v>#DIV/0!</v>
      </c>
      <c r="AH408" s="36">
        <v>45397</v>
      </c>
      <c r="AI408" s="36"/>
      <c r="AJ408" s="36"/>
      <c r="AK408" s="36"/>
      <c r="AL408" s="36"/>
      <c r="AM408" s="46"/>
      <c r="AN408" s="40"/>
      <c r="AO408" s="40"/>
      <c r="AP408" s="40"/>
      <c r="AQ408" s="40"/>
      <c r="AR408" s="48"/>
      <c r="AS408" s="37"/>
      <c r="AT408" s="37"/>
      <c r="AU408" s="47"/>
      <c r="AV408" s="37"/>
      <c r="AW408" s="37">
        <v>10</v>
      </c>
      <c r="AX408" s="30">
        <f>(J408*10)/100</f>
        <v>5767632</v>
      </c>
      <c r="AY408" s="40"/>
    </row>
    <row r="409" spans="1:51" ht="42" customHeight="1" x14ac:dyDescent="0.25">
      <c r="A409" s="59" t="s">
        <v>2363</v>
      </c>
      <c r="B409" s="60">
        <v>45344</v>
      </c>
      <c r="C409" s="37">
        <v>545</v>
      </c>
      <c r="D409" s="35"/>
      <c r="E409" s="39" t="s">
        <v>2364</v>
      </c>
      <c r="F409" s="36"/>
      <c r="G409" s="37"/>
      <c r="H409" s="40"/>
      <c r="I409" s="62" t="s">
        <v>2365</v>
      </c>
      <c r="J409" s="61">
        <v>610782757.20000005</v>
      </c>
      <c r="K409" s="41">
        <v>0</v>
      </c>
      <c r="L409" s="54">
        <v>0</v>
      </c>
      <c r="M409" s="54">
        <v>0</v>
      </c>
      <c r="N409" s="42">
        <f t="shared" si="59"/>
        <v>100</v>
      </c>
      <c r="O409" s="43">
        <f t="shared" si="62"/>
        <v>610782757.20000005</v>
      </c>
      <c r="P409" s="41"/>
      <c r="Q409" s="43">
        <f t="shared" si="63"/>
        <v>610782757.20000005</v>
      </c>
      <c r="R409" s="41">
        <v>0</v>
      </c>
      <c r="S409" s="30">
        <f t="shared" si="66"/>
        <v>0</v>
      </c>
      <c r="T409" s="30">
        <f t="shared" si="66"/>
        <v>0</v>
      </c>
      <c r="U409" s="30" t="e">
        <f>T409/X409</f>
        <v>#DIV/0!</v>
      </c>
      <c r="V409" s="41" t="e">
        <f>T409/X409</f>
        <v>#DIV/0!</v>
      </c>
      <c r="W409" s="41" t="e">
        <f>V409*AU409</f>
        <v>#DIV/0!</v>
      </c>
      <c r="X409" s="41">
        <f t="shared" si="64"/>
        <v>0</v>
      </c>
      <c r="Y409" s="41">
        <v>0</v>
      </c>
      <c r="Z409" s="41">
        <v>0</v>
      </c>
      <c r="AA409" s="41">
        <v>0</v>
      </c>
      <c r="AB409" s="41"/>
      <c r="AC409" s="41" t="e">
        <f t="shared" si="60"/>
        <v>#DIV/0!</v>
      </c>
      <c r="AD409" s="41"/>
      <c r="AE409" s="41" t="e">
        <f t="shared" si="61"/>
        <v>#DIV/0!</v>
      </c>
      <c r="AF409" s="41" t="e">
        <f>X409/AU409</f>
        <v>#DIV/0!</v>
      </c>
      <c r="AG409" s="41" t="e">
        <f t="shared" si="65"/>
        <v>#DIV/0!</v>
      </c>
      <c r="AH409" s="36">
        <v>45402</v>
      </c>
      <c r="AI409" s="36"/>
      <c r="AJ409" s="36"/>
      <c r="AK409" s="36"/>
      <c r="AL409" s="36"/>
      <c r="AM409" s="46"/>
      <c r="AN409" s="40"/>
      <c r="AO409" s="40"/>
      <c r="AP409" s="40"/>
      <c r="AQ409" s="40"/>
      <c r="AR409" s="48"/>
      <c r="AS409" s="37"/>
      <c r="AT409" s="37"/>
      <c r="AU409" s="47"/>
      <c r="AV409" s="37"/>
      <c r="AW409" s="37">
        <v>10</v>
      </c>
      <c r="AX409" s="30">
        <f>(J409*10)/100</f>
        <v>61078275.719999999</v>
      </c>
      <c r="AY409" s="40"/>
    </row>
    <row r="410" spans="1:51" ht="42" customHeight="1" x14ac:dyDescent="0.25">
      <c r="A410" s="59" t="s">
        <v>2366</v>
      </c>
      <c r="B410" s="60">
        <v>45344</v>
      </c>
      <c r="C410" s="40" t="s">
        <v>2060</v>
      </c>
      <c r="D410" s="37" t="s">
        <v>431</v>
      </c>
      <c r="E410" s="39" t="s">
        <v>2367</v>
      </c>
      <c r="F410" s="37" t="s">
        <v>431</v>
      </c>
      <c r="G410" s="37" t="s">
        <v>431</v>
      </c>
      <c r="H410" s="37" t="s">
        <v>431</v>
      </c>
      <c r="I410" s="62" t="s">
        <v>2368</v>
      </c>
      <c r="J410" s="61">
        <v>256453.29</v>
      </c>
      <c r="K410" s="41">
        <v>0</v>
      </c>
      <c r="L410" s="54">
        <v>0</v>
      </c>
      <c r="M410" s="54">
        <v>0</v>
      </c>
      <c r="N410" s="42">
        <f t="shared" si="59"/>
        <v>100</v>
      </c>
      <c r="O410" s="43">
        <f t="shared" si="62"/>
        <v>256453.29</v>
      </c>
      <c r="P410" s="41"/>
      <c r="Q410" s="43">
        <f t="shared" si="63"/>
        <v>256453.29</v>
      </c>
      <c r="R410" s="41">
        <v>0</v>
      </c>
      <c r="S410" s="30">
        <f t="shared" si="66"/>
        <v>0</v>
      </c>
      <c r="T410" s="30">
        <f t="shared" si="66"/>
        <v>0</v>
      </c>
      <c r="U410" s="30" t="e">
        <f>T410/X410</f>
        <v>#DIV/0!</v>
      </c>
      <c r="V410" s="41" t="e">
        <f>T410/X410</f>
        <v>#DIV/0!</v>
      </c>
      <c r="W410" s="41" t="e">
        <f>V410*AU410</f>
        <v>#DIV/0!</v>
      </c>
      <c r="X410" s="41">
        <f t="shared" si="64"/>
        <v>0</v>
      </c>
      <c r="Y410" s="41">
        <v>0</v>
      </c>
      <c r="Z410" s="41">
        <v>0</v>
      </c>
      <c r="AA410" s="41">
        <v>0</v>
      </c>
      <c r="AB410" s="41"/>
      <c r="AC410" s="41" t="e">
        <f t="shared" si="60"/>
        <v>#DIV/0!</v>
      </c>
      <c r="AD410" s="41"/>
      <c r="AE410" s="41" t="e">
        <f t="shared" si="61"/>
        <v>#DIV/0!</v>
      </c>
      <c r="AF410" s="41" t="e">
        <f>X410/AU410</f>
        <v>#DIV/0!</v>
      </c>
      <c r="AG410" s="41" t="e">
        <f t="shared" si="65"/>
        <v>#DIV/0!</v>
      </c>
      <c r="AH410" s="36">
        <v>45413</v>
      </c>
      <c r="AI410" s="36"/>
      <c r="AJ410" s="36"/>
      <c r="AK410" s="36"/>
      <c r="AL410" s="36"/>
      <c r="AM410" s="46"/>
      <c r="AN410" s="40"/>
      <c r="AO410" s="40"/>
      <c r="AP410" s="40"/>
      <c r="AQ410" s="40"/>
      <c r="AR410" s="48"/>
      <c r="AS410" s="37"/>
      <c r="AT410" s="37"/>
      <c r="AU410" s="47"/>
      <c r="AV410" s="37"/>
      <c r="AW410" s="37">
        <v>10</v>
      </c>
      <c r="AX410" s="30">
        <f>(J410*10)/100</f>
        <v>25645.328999999998</v>
      </c>
      <c r="AY410" s="40" t="s">
        <v>431</v>
      </c>
    </row>
    <row r="411" spans="1:51" ht="42" customHeight="1" x14ac:dyDescent="0.25">
      <c r="A411" s="59" t="s">
        <v>2369</v>
      </c>
      <c r="B411" s="60">
        <v>45344</v>
      </c>
      <c r="C411" s="37">
        <v>1416</v>
      </c>
      <c r="D411" s="35"/>
      <c r="E411" s="39" t="s">
        <v>2370</v>
      </c>
      <c r="F411" s="36"/>
      <c r="G411" s="37"/>
      <c r="H411" s="40"/>
      <c r="I411" s="62" t="s">
        <v>764</v>
      </c>
      <c r="J411" s="61">
        <v>1175551149.8499999</v>
      </c>
      <c r="K411" s="41">
        <v>0</v>
      </c>
      <c r="L411" s="54">
        <v>0</v>
      </c>
      <c r="M411" s="54">
        <v>0</v>
      </c>
      <c r="N411" s="42">
        <f t="shared" si="59"/>
        <v>100</v>
      </c>
      <c r="O411" s="43">
        <f t="shared" si="62"/>
        <v>1175551149.8499999</v>
      </c>
      <c r="P411" s="41"/>
      <c r="Q411" s="43">
        <f t="shared" si="63"/>
        <v>1175551149.8499999</v>
      </c>
      <c r="R411" s="41">
        <v>0</v>
      </c>
      <c r="S411" s="30">
        <f t="shared" si="66"/>
        <v>0</v>
      </c>
      <c r="T411" s="30">
        <f t="shared" si="66"/>
        <v>0</v>
      </c>
      <c r="U411" s="30" t="e">
        <f>T411/X411</f>
        <v>#DIV/0!</v>
      </c>
      <c r="V411" s="41" t="e">
        <f>T411/X411</f>
        <v>#DIV/0!</v>
      </c>
      <c r="W411" s="41" t="e">
        <f>V411*AU411</f>
        <v>#DIV/0!</v>
      </c>
      <c r="X411" s="41">
        <f t="shared" si="64"/>
        <v>0</v>
      </c>
      <c r="Y411" s="41">
        <v>0</v>
      </c>
      <c r="Z411" s="41">
        <v>0</v>
      </c>
      <c r="AA411" s="41">
        <v>0</v>
      </c>
      <c r="AB411" s="41"/>
      <c r="AC411" s="41" t="e">
        <f t="shared" si="60"/>
        <v>#DIV/0!</v>
      </c>
      <c r="AD411" s="41"/>
      <c r="AE411" s="41" t="e">
        <f t="shared" si="61"/>
        <v>#DIV/0!</v>
      </c>
      <c r="AF411" s="41" t="e">
        <f>X411/AU411</f>
        <v>#DIV/0!</v>
      </c>
      <c r="AG411" s="41" t="e">
        <f t="shared" si="65"/>
        <v>#DIV/0!</v>
      </c>
      <c r="AH411" s="36">
        <v>45413</v>
      </c>
      <c r="AI411" s="36">
        <v>45505</v>
      </c>
      <c r="AJ411" s="36"/>
      <c r="AK411" s="36"/>
      <c r="AL411" s="36"/>
      <c r="AM411" s="46"/>
      <c r="AN411" s="40"/>
      <c r="AO411" s="40"/>
      <c r="AP411" s="40"/>
      <c r="AQ411" s="40"/>
      <c r="AR411" s="48"/>
      <c r="AS411" s="37"/>
      <c r="AT411" s="37"/>
      <c r="AU411" s="47"/>
      <c r="AV411" s="37"/>
      <c r="AW411" s="37">
        <v>10</v>
      </c>
      <c r="AX411" s="30">
        <f>(J411*10)/100</f>
        <v>117555114.985</v>
      </c>
      <c r="AY411" s="40"/>
    </row>
    <row r="412" spans="1:51" ht="42" customHeight="1" x14ac:dyDescent="0.25">
      <c r="A412" s="59" t="s">
        <v>2371</v>
      </c>
      <c r="B412" s="60">
        <v>45344</v>
      </c>
      <c r="C412" s="37" t="s">
        <v>432</v>
      </c>
      <c r="D412" s="37" t="s">
        <v>431</v>
      </c>
      <c r="E412" s="39" t="s">
        <v>2372</v>
      </c>
      <c r="F412" s="37" t="s">
        <v>431</v>
      </c>
      <c r="G412" s="37" t="s">
        <v>431</v>
      </c>
      <c r="H412" s="37" t="s">
        <v>431</v>
      </c>
      <c r="I412" s="62" t="s">
        <v>2373</v>
      </c>
      <c r="J412" s="61">
        <v>64523605.799999997</v>
      </c>
      <c r="K412" s="41">
        <v>0</v>
      </c>
      <c r="L412" s="54">
        <v>0</v>
      </c>
      <c r="M412" s="54">
        <v>0</v>
      </c>
      <c r="N412" s="42">
        <f t="shared" si="59"/>
        <v>100</v>
      </c>
      <c r="O412" s="43">
        <f t="shared" si="62"/>
        <v>64523605.799999997</v>
      </c>
      <c r="P412" s="41"/>
      <c r="Q412" s="43">
        <f t="shared" si="63"/>
        <v>64523605.799999997</v>
      </c>
      <c r="R412" s="41">
        <v>0</v>
      </c>
      <c r="S412" s="30">
        <f t="shared" si="66"/>
        <v>0</v>
      </c>
      <c r="T412" s="30">
        <f t="shared" si="66"/>
        <v>0</v>
      </c>
      <c r="U412" s="30" t="e">
        <f>T412/X412</f>
        <v>#DIV/0!</v>
      </c>
      <c r="V412" s="41" t="e">
        <f>T412/X412</f>
        <v>#DIV/0!</v>
      </c>
      <c r="W412" s="41" t="e">
        <f>V412*AU412</f>
        <v>#DIV/0!</v>
      </c>
      <c r="X412" s="41">
        <f t="shared" si="64"/>
        <v>0</v>
      </c>
      <c r="Y412" s="41">
        <v>0</v>
      </c>
      <c r="Z412" s="41">
        <v>0</v>
      </c>
      <c r="AA412" s="41">
        <v>0</v>
      </c>
      <c r="AB412" s="41"/>
      <c r="AC412" s="41" t="e">
        <f t="shared" si="60"/>
        <v>#DIV/0!</v>
      </c>
      <c r="AD412" s="41"/>
      <c r="AE412" s="41" t="e">
        <f t="shared" si="61"/>
        <v>#DIV/0!</v>
      </c>
      <c r="AF412" s="41" t="e">
        <f>X412/AU412</f>
        <v>#DIV/0!</v>
      </c>
      <c r="AG412" s="41" t="e">
        <f t="shared" si="65"/>
        <v>#DIV/0!</v>
      </c>
      <c r="AH412" s="36">
        <v>45413</v>
      </c>
      <c r="AI412" s="36"/>
      <c r="AJ412" s="36"/>
      <c r="AK412" s="36"/>
      <c r="AL412" s="36"/>
      <c r="AM412" s="46"/>
      <c r="AN412" s="40"/>
      <c r="AO412" s="40"/>
      <c r="AP412" s="40"/>
      <c r="AQ412" s="40"/>
      <c r="AR412" s="48"/>
      <c r="AS412" s="37"/>
      <c r="AT412" s="37"/>
      <c r="AU412" s="47"/>
      <c r="AV412" s="37"/>
      <c r="AW412" s="37">
        <v>10</v>
      </c>
      <c r="AX412" s="30">
        <f>(J412*10)/100</f>
        <v>6452360.5800000001</v>
      </c>
      <c r="AY412" s="40" t="s">
        <v>431</v>
      </c>
    </row>
    <row r="413" spans="1:51" ht="42" customHeight="1" x14ac:dyDescent="0.25">
      <c r="A413" s="59" t="s">
        <v>2374</v>
      </c>
      <c r="B413" s="60">
        <v>45344</v>
      </c>
      <c r="C413" s="37">
        <v>1416</v>
      </c>
      <c r="D413" s="37" t="s">
        <v>431</v>
      </c>
      <c r="E413" s="39" t="s">
        <v>2375</v>
      </c>
      <c r="F413" s="37" t="s">
        <v>431</v>
      </c>
      <c r="G413" s="37" t="s">
        <v>431</v>
      </c>
      <c r="H413" s="37" t="s">
        <v>431</v>
      </c>
      <c r="I413" s="62" t="s">
        <v>2376</v>
      </c>
      <c r="J413" s="61">
        <v>124614128</v>
      </c>
      <c r="K413" s="41">
        <v>0</v>
      </c>
      <c r="L413" s="54">
        <v>0</v>
      </c>
      <c r="M413" s="54">
        <v>0</v>
      </c>
      <c r="N413" s="42">
        <f t="shared" si="59"/>
        <v>100</v>
      </c>
      <c r="O413" s="43">
        <f t="shared" si="62"/>
        <v>124614128</v>
      </c>
      <c r="P413" s="41"/>
      <c r="Q413" s="43">
        <f t="shared" si="63"/>
        <v>124614128</v>
      </c>
      <c r="R413" s="41">
        <v>0</v>
      </c>
      <c r="S413" s="30">
        <f t="shared" si="66"/>
        <v>0</v>
      </c>
      <c r="T413" s="30">
        <f t="shared" si="66"/>
        <v>0</v>
      </c>
      <c r="U413" s="30" t="e">
        <f>T413/X413</f>
        <v>#DIV/0!</v>
      </c>
      <c r="V413" s="41" t="e">
        <f>T413/X413</f>
        <v>#DIV/0!</v>
      </c>
      <c r="W413" s="41" t="e">
        <f>V413*AU413</f>
        <v>#DIV/0!</v>
      </c>
      <c r="X413" s="41">
        <f t="shared" si="64"/>
        <v>0</v>
      </c>
      <c r="Y413" s="41">
        <v>0</v>
      </c>
      <c r="Z413" s="41">
        <v>0</v>
      </c>
      <c r="AA413" s="41">
        <v>0</v>
      </c>
      <c r="AB413" s="41"/>
      <c r="AC413" s="41" t="e">
        <f t="shared" si="60"/>
        <v>#DIV/0!</v>
      </c>
      <c r="AD413" s="41"/>
      <c r="AE413" s="41" t="e">
        <f t="shared" si="61"/>
        <v>#DIV/0!</v>
      </c>
      <c r="AF413" s="41" t="e">
        <f>X413/AU413</f>
        <v>#DIV/0!</v>
      </c>
      <c r="AG413" s="41" t="e">
        <f t="shared" si="65"/>
        <v>#DIV/0!</v>
      </c>
      <c r="AH413" s="36">
        <v>45413</v>
      </c>
      <c r="AI413" s="36"/>
      <c r="AJ413" s="36"/>
      <c r="AK413" s="36"/>
      <c r="AL413" s="36"/>
      <c r="AM413" s="46"/>
      <c r="AN413" s="40"/>
      <c r="AO413" s="40"/>
      <c r="AP413" s="40"/>
      <c r="AQ413" s="40"/>
      <c r="AR413" s="48"/>
      <c r="AS413" s="37"/>
      <c r="AT413" s="37"/>
      <c r="AU413" s="47"/>
      <c r="AV413" s="37"/>
      <c r="AW413" s="37">
        <v>10</v>
      </c>
      <c r="AX413" s="30">
        <f>(J413*10)/100</f>
        <v>12461412.800000001</v>
      </c>
      <c r="AY413" s="40" t="s">
        <v>431</v>
      </c>
    </row>
    <row r="414" spans="1:51" ht="42" customHeight="1" x14ac:dyDescent="0.25">
      <c r="A414" s="59" t="s">
        <v>2377</v>
      </c>
      <c r="B414" s="60">
        <v>45344</v>
      </c>
      <c r="C414" s="37" t="s">
        <v>494</v>
      </c>
      <c r="D414" s="35"/>
      <c r="E414" s="39" t="s">
        <v>2378</v>
      </c>
      <c r="F414" s="36"/>
      <c r="G414" s="37"/>
      <c r="H414" s="40"/>
      <c r="I414" s="62" t="s">
        <v>2379</v>
      </c>
      <c r="J414" s="61">
        <v>6269270.1299999999</v>
      </c>
      <c r="K414" s="41">
        <v>0</v>
      </c>
      <c r="L414" s="54">
        <v>0</v>
      </c>
      <c r="M414" s="54">
        <v>0</v>
      </c>
      <c r="N414" s="42">
        <f t="shared" si="59"/>
        <v>100</v>
      </c>
      <c r="O414" s="43">
        <f t="shared" si="62"/>
        <v>6269270.1299999999</v>
      </c>
      <c r="P414" s="41"/>
      <c r="Q414" s="43">
        <f t="shared" si="63"/>
        <v>6269270.1299999999</v>
      </c>
      <c r="R414" s="41">
        <v>0</v>
      </c>
      <c r="S414" s="30">
        <f t="shared" si="66"/>
        <v>0</v>
      </c>
      <c r="T414" s="30">
        <f t="shared" si="66"/>
        <v>0</v>
      </c>
      <c r="U414" s="30" t="e">
        <f>T414/X414</f>
        <v>#DIV/0!</v>
      </c>
      <c r="V414" s="41" t="e">
        <f>T414/X414</f>
        <v>#DIV/0!</v>
      </c>
      <c r="W414" s="41" t="e">
        <f>V414*AU414</f>
        <v>#DIV/0!</v>
      </c>
      <c r="X414" s="41">
        <f t="shared" si="64"/>
        <v>0</v>
      </c>
      <c r="Y414" s="41">
        <v>0</v>
      </c>
      <c r="Z414" s="41">
        <v>0</v>
      </c>
      <c r="AA414" s="41">
        <v>0</v>
      </c>
      <c r="AB414" s="41"/>
      <c r="AC414" s="41" t="e">
        <f t="shared" si="60"/>
        <v>#DIV/0!</v>
      </c>
      <c r="AD414" s="41"/>
      <c r="AE414" s="41" t="e">
        <f t="shared" si="61"/>
        <v>#DIV/0!</v>
      </c>
      <c r="AF414" s="41" t="e">
        <f>X414/AU414</f>
        <v>#DIV/0!</v>
      </c>
      <c r="AG414" s="41" t="e">
        <f t="shared" si="65"/>
        <v>#DIV/0!</v>
      </c>
      <c r="AH414" s="36">
        <v>45413</v>
      </c>
      <c r="AI414" s="36"/>
      <c r="AJ414" s="36"/>
      <c r="AK414" s="36"/>
      <c r="AL414" s="36"/>
      <c r="AM414" s="46"/>
      <c r="AN414" s="40"/>
      <c r="AO414" s="40"/>
      <c r="AP414" s="40"/>
      <c r="AQ414" s="40"/>
      <c r="AR414" s="48"/>
      <c r="AS414" s="37"/>
      <c r="AT414" s="37"/>
      <c r="AU414" s="47"/>
      <c r="AV414" s="37"/>
      <c r="AW414" s="37">
        <v>10</v>
      </c>
      <c r="AX414" s="30">
        <f>(J414*10)/100</f>
        <v>626927.01299999992</v>
      </c>
      <c r="AY414" s="40"/>
    </row>
    <row r="415" spans="1:51" ht="42" customHeight="1" x14ac:dyDescent="0.25">
      <c r="A415" s="59" t="s">
        <v>2380</v>
      </c>
      <c r="B415" s="60">
        <v>45344</v>
      </c>
      <c r="C415" s="37">
        <v>1416</v>
      </c>
      <c r="D415" s="35"/>
      <c r="E415" s="39" t="s">
        <v>2381</v>
      </c>
      <c r="F415" s="36"/>
      <c r="G415" s="37"/>
      <c r="H415" s="40"/>
      <c r="I415" s="62" t="s">
        <v>2382</v>
      </c>
      <c r="J415" s="61">
        <v>70148691.599999994</v>
      </c>
      <c r="K415" s="41">
        <v>0</v>
      </c>
      <c r="L415" s="54">
        <v>0</v>
      </c>
      <c r="M415" s="54">
        <v>0</v>
      </c>
      <c r="N415" s="42">
        <f t="shared" si="59"/>
        <v>100</v>
      </c>
      <c r="O415" s="43">
        <f t="shared" si="62"/>
        <v>70148691.599999994</v>
      </c>
      <c r="P415" s="41"/>
      <c r="Q415" s="43">
        <f t="shared" si="63"/>
        <v>70148691.599999994</v>
      </c>
      <c r="R415" s="41">
        <v>0</v>
      </c>
      <c r="S415" s="30">
        <f t="shared" si="66"/>
        <v>0</v>
      </c>
      <c r="T415" s="30">
        <f t="shared" si="66"/>
        <v>0</v>
      </c>
      <c r="U415" s="30" t="e">
        <f>T415/X415</f>
        <v>#DIV/0!</v>
      </c>
      <c r="V415" s="41" t="e">
        <f>T415/X415</f>
        <v>#DIV/0!</v>
      </c>
      <c r="W415" s="41" t="e">
        <f>V415*AU415</f>
        <v>#DIV/0!</v>
      </c>
      <c r="X415" s="41">
        <f t="shared" si="64"/>
        <v>0</v>
      </c>
      <c r="Y415" s="41">
        <v>0</v>
      </c>
      <c r="Z415" s="41">
        <v>0</v>
      </c>
      <c r="AA415" s="41">
        <v>0</v>
      </c>
      <c r="AB415" s="41"/>
      <c r="AC415" s="41" t="e">
        <f t="shared" si="60"/>
        <v>#DIV/0!</v>
      </c>
      <c r="AD415" s="41"/>
      <c r="AE415" s="41" t="e">
        <f t="shared" si="61"/>
        <v>#DIV/0!</v>
      </c>
      <c r="AF415" s="41" t="e">
        <f>X415/AU415</f>
        <v>#DIV/0!</v>
      </c>
      <c r="AG415" s="41" t="e">
        <f t="shared" si="65"/>
        <v>#DIV/0!</v>
      </c>
      <c r="AH415" s="36">
        <v>45443</v>
      </c>
      <c r="AI415" s="36"/>
      <c r="AJ415" s="36"/>
      <c r="AK415" s="36"/>
      <c r="AL415" s="36"/>
      <c r="AM415" s="46"/>
      <c r="AN415" s="40"/>
      <c r="AO415" s="40"/>
      <c r="AP415" s="40"/>
      <c r="AQ415" s="40"/>
      <c r="AR415" s="48"/>
      <c r="AS415" s="37"/>
      <c r="AT415" s="37"/>
      <c r="AU415" s="47"/>
      <c r="AV415" s="37"/>
      <c r="AW415" s="37">
        <v>10</v>
      </c>
      <c r="AX415" s="30">
        <f>(J415*10)/100</f>
        <v>7014869.1600000001</v>
      </c>
      <c r="AY415" s="40"/>
    </row>
    <row r="416" spans="1:51" ht="42" customHeight="1" x14ac:dyDescent="0.25">
      <c r="A416" s="59" t="s">
        <v>2383</v>
      </c>
      <c r="B416" s="60">
        <v>45344</v>
      </c>
      <c r="C416" s="37" t="s">
        <v>494</v>
      </c>
      <c r="D416" s="37" t="s">
        <v>431</v>
      </c>
      <c r="E416" s="39" t="s">
        <v>2384</v>
      </c>
      <c r="F416" s="37" t="s">
        <v>431</v>
      </c>
      <c r="G416" s="37" t="s">
        <v>431</v>
      </c>
      <c r="H416" s="37" t="s">
        <v>431</v>
      </c>
      <c r="I416" s="62" t="s">
        <v>2385</v>
      </c>
      <c r="J416" s="61">
        <v>9144960</v>
      </c>
      <c r="K416" s="41">
        <v>0</v>
      </c>
      <c r="L416" s="54">
        <v>0</v>
      </c>
      <c r="M416" s="54">
        <v>0</v>
      </c>
      <c r="N416" s="42">
        <f t="shared" ref="N416:N479" si="67">((J416-P416)/J416)*100</f>
        <v>100</v>
      </c>
      <c r="O416" s="43">
        <f t="shared" si="62"/>
        <v>9144960</v>
      </c>
      <c r="P416" s="41"/>
      <c r="Q416" s="43">
        <f t="shared" si="63"/>
        <v>9144960</v>
      </c>
      <c r="R416" s="41">
        <v>0</v>
      </c>
      <c r="S416" s="30">
        <f t="shared" si="66"/>
        <v>0</v>
      </c>
      <c r="T416" s="30">
        <f t="shared" si="66"/>
        <v>0</v>
      </c>
      <c r="U416" s="30" t="e">
        <f>T416/X416</f>
        <v>#DIV/0!</v>
      </c>
      <c r="V416" s="41" t="e">
        <f>T416/X416</f>
        <v>#DIV/0!</v>
      </c>
      <c r="W416" s="41" t="e">
        <f>V416*AU416</f>
        <v>#DIV/0!</v>
      </c>
      <c r="X416" s="41">
        <f t="shared" si="64"/>
        <v>0</v>
      </c>
      <c r="Y416" s="41">
        <v>0</v>
      </c>
      <c r="Z416" s="41">
        <v>0</v>
      </c>
      <c r="AA416" s="41">
        <v>0</v>
      </c>
      <c r="AB416" s="41"/>
      <c r="AC416" s="41" t="e">
        <f t="shared" si="60"/>
        <v>#DIV/0!</v>
      </c>
      <c r="AD416" s="41"/>
      <c r="AE416" s="41" t="e">
        <f t="shared" si="61"/>
        <v>#DIV/0!</v>
      </c>
      <c r="AF416" s="41" t="e">
        <f>X416/AU416</f>
        <v>#DIV/0!</v>
      </c>
      <c r="AG416" s="41" t="e">
        <f t="shared" si="65"/>
        <v>#DIV/0!</v>
      </c>
      <c r="AH416" s="36">
        <v>45397</v>
      </c>
      <c r="AI416" s="36"/>
      <c r="AJ416" s="36"/>
      <c r="AK416" s="36"/>
      <c r="AL416" s="36"/>
      <c r="AM416" s="46"/>
      <c r="AN416" s="40"/>
      <c r="AO416" s="40"/>
      <c r="AP416" s="40"/>
      <c r="AQ416" s="40"/>
      <c r="AR416" s="48"/>
      <c r="AS416" s="37"/>
      <c r="AT416" s="37"/>
      <c r="AU416" s="47"/>
      <c r="AV416" s="37"/>
      <c r="AW416" s="37">
        <v>10</v>
      </c>
      <c r="AX416" s="30">
        <f>(J416*10)/100</f>
        <v>914496</v>
      </c>
      <c r="AY416" s="40" t="s">
        <v>431</v>
      </c>
    </row>
    <row r="417" spans="1:51" ht="42" customHeight="1" x14ac:dyDescent="0.25">
      <c r="A417" s="59" t="s">
        <v>2386</v>
      </c>
      <c r="B417" s="60">
        <v>45344</v>
      </c>
      <c r="C417" s="37">
        <v>1416</v>
      </c>
      <c r="D417" s="35"/>
      <c r="E417" s="39" t="s">
        <v>2387</v>
      </c>
      <c r="F417" s="36"/>
      <c r="G417" s="37"/>
      <c r="H417" s="40"/>
      <c r="I417" s="62" t="s">
        <v>1090</v>
      </c>
      <c r="J417" s="61">
        <v>233179952.59999999</v>
      </c>
      <c r="K417" s="41">
        <v>0</v>
      </c>
      <c r="L417" s="54">
        <v>0</v>
      </c>
      <c r="M417" s="54">
        <v>0</v>
      </c>
      <c r="N417" s="42">
        <f t="shared" si="67"/>
        <v>100</v>
      </c>
      <c r="O417" s="43">
        <f t="shared" si="62"/>
        <v>233179952.59999999</v>
      </c>
      <c r="P417" s="41"/>
      <c r="Q417" s="43">
        <f t="shared" si="63"/>
        <v>233179952.59999999</v>
      </c>
      <c r="R417" s="41">
        <v>0</v>
      </c>
      <c r="S417" s="30">
        <f t="shared" si="66"/>
        <v>0</v>
      </c>
      <c r="T417" s="30">
        <f t="shared" si="66"/>
        <v>0</v>
      </c>
      <c r="U417" s="30" t="e">
        <f>T417/X417</f>
        <v>#DIV/0!</v>
      </c>
      <c r="V417" s="41" t="e">
        <f>T417/X417</f>
        <v>#DIV/0!</v>
      </c>
      <c r="W417" s="41" t="e">
        <f>V417*AU417</f>
        <v>#DIV/0!</v>
      </c>
      <c r="X417" s="41">
        <f t="shared" si="64"/>
        <v>0</v>
      </c>
      <c r="Y417" s="41">
        <v>0</v>
      </c>
      <c r="Z417" s="41">
        <v>0</v>
      </c>
      <c r="AA417" s="41">
        <v>0</v>
      </c>
      <c r="AB417" s="41"/>
      <c r="AC417" s="41" t="e">
        <f t="shared" si="60"/>
        <v>#DIV/0!</v>
      </c>
      <c r="AD417" s="41"/>
      <c r="AE417" s="41" t="e">
        <f t="shared" si="61"/>
        <v>#DIV/0!</v>
      </c>
      <c r="AF417" s="41" t="e">
        <f>X417/AU417</f>
        <v>#DIV/0!</v>
      </c>
      <c r="AG417" s="41" t="e">
        <f t="shared" si="65"/>
        <v>#DIV/0!</v>
      </c>
      <c r="AH417" s="36">
        <v>45473</v>
      </c>
      <c r="AI417" s="36"/>
      <c r="AJ417" s="36"/>
      <c r="AK417" s="36"/>
      <c r="AL417" s="36"/>
      <c r="AM417" s="46"/>
      <c r="AN417" s="40"/>
      <c r="AO417" s="40"/>
      <c r="AP417" s="40"/>
      <c r="AQ417" s="40"/>
      <c r="AR417" s="48"/>
      <c r="AS417" s="37"/>
      <c r="AT417" s="37"/>
      <c r="AU417" s="47"/>
      <c r="AV417" s="37"/>
      <c r="AW417" s="37">
        <v>10</v>
      </c>
      <c r="AX417" s="30">
        <f>(J417*10)/100</f>
        <v>23317995.260000002</v>
      </c>
      <c r="AY417" s="40"/>
    </row>
    <row r="418" spans="1:51" ht="42" customHeight="1" x14ac:dyDescent="0.25">
      <c r="A418" s="59" t="s">
        <v>2388</v>
      </c>
      <c r="B418" s="60">
        <v>45344</v>
      </c>
      <c r="C418" s="40" t="s">
        <v>2060</v>
      </c>
      <c r="D418" s="37" t="s">
        <v>431</v>
      </c>
      <c r="E418" s="39" t="s">
        <v>2389</v>
      </c>
      <c r="F418" s="37" t="s">
        <v>431</v>
      </c>
      <c r="G418" s="37" t="s">
        <v>431</v>
      </c>
      <c r="H418" s="37" t="s">
        <v>431</v>
      </c>
      <c r="I418" s="62" t="s">
        <v>2390</v>
      </c>
      <c r="J418" s="61">
        <v>9525545.0999999996</v>
      </c>
      <c r="K418" s="41">
        <v>0</v>
      </c>
      <c r="L418" s="54">
        <v>0</v>
      </c>
      <c r="M418" s="54">
        <v>0</v>
      </c>
      <c r="N418" s="42">
        <f t="shared" si="67"/>
        <v>100</v>
      </c>
      <c r="O418" s="43">
        <f t="shared" si="62"/>
        <v>9525545.0999999996</v>
      </c>
      <c r="P418" s="41"/>
      <c r="Q418" s="43">
        <f t="shared" si="63"/>
        <v>9525545.0999999996</v>
      </c>
      <c r="R418" s="41">
        <v>0</v>
      </c>
      <c r="S418" s="30">
        <f t="shared" si="66"/>
        <v>0</v>
      </c>
      <c r="T418" s="30">
        <f t="shared" si="66"/>
        <v>0</v>
      </c>
      <c r="U418" s="30" t="e">
        <f>T418/X418</f>
        <v>#DIV/0!</v>
      </c>
      <c r="V418" s="41" t="e">
        <f>T418/X418</f>
        <v>#DIV/0!</v>
      </c>
      <c r="W418" s="41" t="e">
        <f>V418*AU418</f>
        <v>#DIV/0!</v>
      </c>
      <c r="X418" s="41">
        <f t="shared" si="64"/>
        <v>0</v>
      </c>
      <c r="Y418" s="41">
        <v>0</v>
      </c>
      <c r="Z418" s="41">
        <v>0</v>
      </c>
      <c r="AA418" s="41">
        <v>0</v>
      </c>
      <c r="AB418" s="41"/>
      <c r="AC418" s="41" t="e">
        <f t="shared" si="60"/>
        <v>#DIV/0!</v>
      </c>
      <c r="AD418" s="41"/>
      <c r="AE418" s="41" t="e">
        <f t="shared" si="61"/>
        <v>#DIV/0!</v>
      </c>
      <c r="AF418" s="41" t="e">
        <f>X418/AU418</f>
        <v>#DIV/0!</v>
      </c>
      <c r="AG418" s="41" t="e">
        <f t="shared" si="65"/>
        <v>#DIV/0!</v>
      </c>
      <c r="AH418" s="36">
        <v>45397</v>
      </c>
      <c r="AI418" s="36"/>
      <c r="AJ418" s="36"/>
      <c r="AK418" s="36"/>
      <c r="AL418" s="36"/>
      <c r="AM418" s="46"/>
      <c r="AN418" s="40"/>
      <c r="AO418" s="40"/>
      <c r="AP418" s="40"/>
      <c r="AQ418" s="40"/>
      <c r="AR418" s="48"/>
      <c r="AS418" s="37"/>
      <c r="AT418" s="37"/>
      <c r="AU418" s="47"/>
      <c r="AV418" s="37"/>
      <c r="AW418" s="37">
        <v>10</v>
      </c>
      <c r="AX418" s="30">
        <f>(J418*10)/100</f>
        <v>952554.51</v>
      </c>
      <c r="AY418" s="40" t="s">
        <v>431</v>
      </c>
    </row>
    <row r="419" spans="1:51" ht="42" customHeight="1" x14ac:dyDescent="0.25">
      <c r="A419" s="59" t="s">
        <v>2391</v>
      </c>
      <c r="B419" s="60">
        <v>45344</v>
      </c>
      <c r="C419" s="37">
        <v>1416</v>
      </c>
      <c r="D419" s="35"/>
      <c r="E419" s="39" t="s">
        <v>2392</v>
      </c>
      <c r="F419" s="36"/>
      <c r="G419" s="37"/>
      <c r="H419" s="40"/>
      <c r="I419" s="62" t="s">
        <v>1140</v>
      </c>
      <c r="J419" s="69" t="s">
        <v>2393</v>
      </c>
      <c r="K419" s="41">
        <v>0</v>
      </c>
      <c r="L419" s="54">
        <v>0</v>
      </c>
      <c r="M419" s="54">
        <v>0</v>
      </c>
      <c r="N419" s="42" t="e">
        <f t="shared" si="67"/>
        <v>#VALUE!</v>
      </c>
      <c r="O419" s="43" t="e">
        <f t="shared" si="62"/>
        <v>#VALUE!</v>
      </c>
      <c r="P419" s="41"/>
      <c r="Q419" s="43" t="e">
        <f t="shared" si="63"/>
        <v>#VALUE!</v>
      </c>
      <c r="R419" s="41">
        <v>0</v>
      </c>
      <c r="S419" s="30">
        <f t="shared" si="66"/>
        <v>0</v>
      </c>
      <c r="T419" s="30">
        <f t="shared" si="66"/>
        <v>0</v>
      </c>
      <c r="U419" s="30" t="e">
        <f>T419/X419</f>
        <v>#DIV/0!</v>
      </c>
      <c r="V419" s="41" t="e">
        <f>T419/X419</f>
        <v>#DIV/0!</v>
      </c>
      <c r="W419" s="41" t="e">
        <f>V419*AU419</f>
        <v>#DIV/0!</v>
      </c>
      <c r="X419" s="41">
        <f t="shared" si="64"/>
        <v>0</v>
      </c>
      <c r="Y419" s="41">
        <v>0</v>
      </c>
      <c r="Z419" s="41">
        <v>0</v>
      </c>
      <c r="AA419" s="41">
        <v>0</v>
      </c>
      <c r="AB419" s="41"/>
      <c r="AC419" s="41" t="e">
        <f t="shared" si="60"/>
        <v>#DIV/0!</v>
      </c>
      <c r="AD419" s="41"/>
      <c r="AE419" s="41" t="e">
        <f t="shared" si="61"/>
        <v>#DIV/0!</v>
      </c>
      <c r="AF419" s="41" t="e">
        <f>X419/AU419</f>
        <v>#DIV/0!</v>
      </c>
      <c r="AG419" s="41" t="e">
        <f t="shared" si="65"/>
        <v>#DIV/0!</v>
      </c>
      <c r="AH419" s="36">
        <v>45458</v>
      </c>
      <c r="AI419" s="36"/>
      <c r="AJ419" s="36"/>
      <c r="AK419" s="36"/>
      <c r="AL419" s="36"/>
      <c r="AM419" s="46"/>
      <c r="AN419" s="40"/>
      <c r="AO419" s="40"/>
      <c r="AP419" s="40"/>
      <c r="AQ419" s="40"/>
      <c r="AR419" s="48"/>
      <c r="AS419" s="37"/>
      <c r="AT419" s="37"/>
      <c r="AU419" s="47"/>
      <c r="AV419" s="37"/>
      <c r="AW419" s="37">
        <v>10</v>
      </c>
      <c r="AX419" s="30" t="e">
        <f>(J419*10)/100</f>
        <v>#VALUE!</v>
      </c>
      <c r="AY419" s="40"/>
    </row>
    <row r="420" spans="1:51" ht="42" customHeight="1" x14ac:dyDescent="0.25">
      <c r="A420" s="59" t="s">
        <v>2394</v>
      </c>
      <c r="B420" s="60">
        <v>45344</v>
      </c>
      <c r="C420" s="37" t="s">
        <v>432</v>
      </c>
      <c r="D420" s="35"/>
      <c r="E420" s="39" t="s">
        <v>2395</v>
      </c>
      <c r="F420" s="36"/>
      <c r="G420" s="37"/>
      <c r="H420" s="40"/>
      <c r="I420" s="62" t="s">
        <v>2396</v>
      </c>
      <c r="J420" s="61">
        <v>542628909.89999998</v>
      </c>
      <c r="K420" s="41">
        <v>0</v>
      </c>
      <c r="L420" s="54">
        <v>0</v>
      </c>
      <c r="M420" s="54">
        <v>0</v>
      </c>
      <c r="N420" s="42">
        <f t="shared" si="67"/>
        <v>100</v>
      </c>
      <c r="O420" s="43">
        <f t="shared" si="62"/>
        <v>542628909.89999998</v>
      </c>
      <c r="P420" s="41"/>
      <c r="Q420" s="43">
        <f t="shared" si="63"/>
        <v>542628909.89999998</v>
      </c>
      <c r="R420" s="41">
        <v>0</v>
      </c>
      <c r="S420" s="30">
        <f t="shared" si="66"/>
        <v>0</v>
      </c>
      <c r="T420" s="30">
        <f t="shared" si="66"/>
        <v>0</v>
      </c>
      <c r="U420" s="30" t="e">
        <f>T420/X420</f>
        <v>#DIV/0!</v>
      </c>
      <c r="V420" s="41" t="e">
        <f>T420/X420</f>
        <v>#DIV/0!</v>
      </c>
      <c r="W420" s="41" t="e">
        <f>V420*AU420</f>
        <v>#DIV/0!</v>
      </c>
      <c r="X420" s="41">
        <f t="shared" si="64"/>
        <v>0</v>
      </c>
      <c r="Y420" s="41">
        <v>0</v>
      </c>
      <c r="Z420" s="41">
        <v>0</v>
      </c>
      <c r="AA420" s="41">
        <v>0</v>
      </c>
      <c r="AB420" s="41"/>
      <c r="AC420" s="41" t="e">
        <f t="shared" si="60"/>
        <v>#DIV/0!</v>
      </c>
      <c r="AD420" s="41"/>
      <c r="AE420" s="41" t="e">
        <f t="shared" si="61"/>
        <v>#DIV/0!</v>
      </c>
      <c r="AF420" s="41" t="e">
        <f>X420/AU420</f>
        <v>#DIV/0!</v>
      </c>
      <c r="AG420" s="41" t="e">
        <f t="shared" si="65"/>
        <v>#DIV/0!</v>
      </c>
      <c r="AH420" s="36">
        <v>45413</v>
      </c>
      <c r="AI420" s="36"/>
      <c r="AJ420" s="36"/>
      <c r="AK420" s="36"/>
      <c r="AL420" s="36"/>
      <c r="AM420" s="46"/>
      <c r="AN420" s="40"/>
      <c r="AO420" s="40"/>
      <c r="AP420" s="40"/>
      <c r="AQ420" s="40"/>
      <c r="AR420" s="48"/>
      <c r="AS420" s="37"/>
      <c r="AT420" s="37"/>
      <c r="AU420" s="47"/>
      <c r="AV420" s="37"/>
      <c r="AW420" s="37">
        <v>10</v>
      </c>
      <c r="AX420" s="30">
        <f>(J420*10)/100</f>
        <v>54262890.990000002</v>
      </c>
      <c r="AY420" s="40"/>
    </row>
    <row r="421" spans="1:51" ht="42" customHeight="1" x14ac:dyDescent="0.25">
      <c r="A421" s="59" t="s">
        <v>2397</v>
      </c>
      <c r="B421" s="60">
        <v>45344</v>
      </c>
      <c r="C421" s="37" t="s">
        <v>494</v>
      </c>
      <c r="D421" s="35"/>
      <c r="E421" s="39" t="s">
        <v>2398</v>
      </c>
      <c r="F421" s="36"/>
      <c r="G421" s="37"/>
      <c r="H421" s="40"/>
      <c r="I421" s="62" t="s">
        <v>2390</v>
      </c>
      <c r="J421" s="61">
        <v>145567236.30000001</v>
      </c>
      <c r="K421" s="41">
        <v>0</v>
      </c>
      <c r="L421" s="54">
        <v>0</v>
      </c>
      <c r="M421" s="54">
        <v>0</v>
      </c>
      <c r="N421" s="42">
        <f t="shared" si="67"/>
        <v>100</v>
      </c>
      <c r="O421" s="43">
        <f t="shared" si="62"/>
        <v>145567236.30000001</v>
      </c>
      <c r="P421" s="41"/>
      <c r="Q421" s="43">
        <f t="shared" si="63"/>
        <v>145567236.30000001</v>
      </c>
      <c r="R421" s="41">
        <v>0</v>
      </c>
      <c r="S421" s="30">
        <f t="shared" si="66"/>
        <v>0</v>
      </c>
      <c r="T421" s="30">
        <f t="shared" si="66"/>
        <v>0</v>
      </c>
      <c r="U421" s="30" t="e">
        <f>T421/X421</f>
        <v>#DIV/0!</v>
      </c>
      <c r="V421" s="41" t="e">
        <f>T421/X421</f>
        <v>#DIV/0!</v>
      </c>
      <c r="W421" s="41" t="e">
        <f>V421*AU421</f>
        <v>#DIV/0!</v>
      </c>
      <c r="X421" s="41">
        <f t="shared" si="64"/>
        <v>0</v>
      </c>
      <c r="Y421" s="41">
        <v>0</v>
      </c>
      <c r="Z421" s="41">
        <v>0</v>
      </c>
      <c r="AA421" s="41">
        <v>0</v>
      </c>
      <c r="AB421" s="41"/>
      <c r="AC421" s="41" t="e">
        <f t="shared" si="60"/>
        <v>#DIV/0!</v>
      </c>
      <c r="AD421" s="41"/>
      <c r="AE421" s="41" t="e">
        <f t="shared" si="61"/>
        <v>#DIV/0!</v>
      </c>
      <c r="AF421" s="41" t="e">
        <f>X421/AU421</f>
        <v>#DIV/0!</v>
      </c>
      <c r="AG421" s="41" t="e">
        <f t="shared" si="65"/>
        <v>#DIV/0!</v>
      </c>
      <c r="AH421" s="36">
        <v>45397</v>
      </c>
      <c r="AI421" s="36"/>
      <c r="AJ421" s="36"/>
      <c r="AK421" s="36"/>
      <c r="AL421" s="36"/>
      <c r="AM421" s="46"/>
      <c r="AN421" s="40"/>
      <c r="AO421" s="40"/>
      <c r="AP421" s="40"/>
      <c r="AQ421" s="40"/>
      <c r="AR421" s="48"/>
      <c r="AS421" s="37"/>
      <c r="AT421" s="37"/>
      <c r="AU421" s="47"/>
      <c r="AV421" s="37"/>
      <c r="AW421" s="37">
        <v>10</v>
      </c>
      <c r="AX421" s="30">
        <f>(J421*10)/100</f>
        <v>14556723.630000001</v>
      </c>
      <c r="AY421" s="40"/>
    </row>
    <row r="422" spans="1:51" ht="42" customHeight="1" x14ac:dyDescent="0.25">
      <c r="A422" s="59" t="s">
        <v>2399</v>
      </c>
      <c r="B422" s="60">
        <v>45344</v>
      </c>
      <c r="C422" s="37">
        <v>1416</v>
      </c>
      <c r="D422" s="35"/>
      <c r="E422" s="39" t="s">
        <v>2400</v>
      </c>
      <c r="F422" s="36"/>
      <c r="G422" s="37"/>
      <c r="H422" s="40"/>
      <c r="I422" s="62" t="s">
        <v>2401</v>
      </c>
      <c r="J422" s="61">
        <v>173661265.13999999</v>
      </c>
      <c r="K422" s="41">
        <v>0</v>
      </c>
      <c r="L422" s="54">
        <v>0</v>
      </c>
      <c r="M422" s="54">
        <v>0</v>
      </c>
      <c r="N422" s="42">
        <f t="shared" si="67"/>
        <v>100</v>
      </c>
      <c r="O422" s="43">
        <f t="shared" si="62"/>
        <v>173661265.13999999</v>
      </c>
      <c r="P422" s="41"/>
      <c r="Q422" s="43">
        <f t="shared" si="63"/>
        <v>173661265.13999999</v>
      </c>
      <c r="R422" s="41">
        <v>0</v>
      </c>
      <c r="S422" s="30">
        <f t="shared" si="66"/>
        <v>0</v>
      </c>
      <c r="T422" s="30">
        <f t="shared" si="66"/>
        <v>0</v>
      </c>
      <c r="U422" s="30" t="e">
        <f>T422/X422</f>
        <v>#DIV/0!</v>
      </c>
      <c r="V422" s="41" t="e">
        <f>T422/X422</f>
        <v>#DIV/0!</v>
      </c>
      <c r="W422" s="41" t="e">
        <f>V422*AU422</f>
        <v>#DIV/0!</v>
      </c>
      <c r="X422" s="41">
        <f t="shared" si="64"/>
        <v>0</v>
      </c>
      <c r="Y422" s="41">
        <v>0</v>
      </c>
      <c r="Z422" s="41">
        <v>0</v>
      </c>
      <c r="AA422" s="41">
        <v>0</v>
      </c>
      <c r="AB422" s="41"/>
      <c r="AC422" s="41" t="e">
        <f t="shared" si="60"/>
        <v>#DIV/0!</v>
      </c>
      <c r="AD422" s="41"/>
      <c r="AE422" s="41" t="e">
        <f t="shared" si="61"/>
        <v>#DIV/0!</v>
      </c>
      <c r="AF422" s="41" t="e">
        <f>X422/AU422</f>
        <v>#DIV/0!</v>
      </c>
      <c r="AG422" s="41" t="e">
        <f t="shared" si="65"/>
        <v>#DIV/0!</v>
      </c>
      <c r="AH422" s="36">
        <v>45536</v>
      </c>
      <c r="AI422" s="36"/>
      <c r="AJ422" s="36"/>
      <c r="AK422" s="36"/>
      <c r="AL422" s="36"/>
      <c r="AM422" s="46"/>
      <c r="AN422" s="40"/>
      <c r="AO422" s="40"/>
      <c r="AP422" s="40"/>
      <c r="AQ422" s="40"/>
      <c r="AR422" s="48"/>
      <c r="AS422" s="37"/>
      <c r="AT422" s="37"/>
      <c r="AU422" s="47"/>
      <c r="AV422" s="37"/>
      <c r="AW422" s="37">
        <v>10</v>
      </c>
      <c r="AX422" s="30">
        <f>(J422*10)/100</f>
        <v>17366126.513999999</v>
      </c>
      <c r="AY422" s="40"/>
    </row>
    <row r="423" spans="1:51" ht="42" customHeight="1" x14ac:dyDescent="0.25">
      <c r="A423" s="59" t="s">
        <v>2402</v>
      </c>
      <c r="B423" s="60">
        <v>45348</v>
      </c>
      <c r="C423" s="37" t="s">
        <v>2060</v>
      </c>
      <c r="D423" s="35"/>
      <c r="E423" s="39" t="s">
        <v>2403</v>
      </c>
      <c r="F423" s="36">
        <v>45358</v>
      </c>
      <c r="G423" s="37" t="s">
        <v>2404</v>
      </c>
      <c r="H423" s="40" t="s">
        <v>2066</v>
      </c>
      <c r="I423" s="62" t="s">
        <v>2405</v>
      </c>
      <c r="J423" s="61">
        <v>820080</v>
      </c>
      <c r="K423" s="41">
        <v>0</v>
      </c>
      <c r="L423" s="54">
        <v>0</v>
      </c>
      <c r="M423" s="54">
        <v>0</v>
      </c>
      <c r="N423" s="42">
        <f t="shared" si="67"/>
        <v>25.555555555555554</v>
      </c>
      <c r="O423" s="43">
        <f t="shared" si="62"/>
        <v>209576</v>
      </c>
      <c r="P423" s="41">
        <v>610504</v>
      </c>
      <c r="Q423" s="43">
        <f t="shared" si="63"/>
        <v>209576</v>
      </c>
      <c r="R423" s="41">
        <v>610504</v>
      </c>
      <c r="S423" s="30">
        <f t="shared" si="66"/>
        <v>610504</v>
      </c>
      <c r="T423" s="30">
        <f t="shared" si="66"/>
        <v>610504</v>
      </c>
      <c r="U423" s="30">
        <f>T423/X423</f>
        <v>134</v>
      </c>
      <c r="V423" s="41">
        <f>T423/X423</f>
        <v>134</v>
      </c>
      <c r="W423" s="41" t="e">
        <f>V423*AU423</f>
        <v>#VALUE!</v>
      </c>
      <c r="X423" s="41">
        <f t="shared" si="64"/>
        <v>4556</v>
      </c>
      <c r="Y423" s="41">
        <v>4556</v>
      </c>
      <c r="Z423" s="41">
        <v>0</v>
      </c>
      <c r="AA423" s="41">
        <v>0</v>
      </c>
      <c r="AB423" s="41">
        <v>0</v>
      </c>
      <c r="AC423" s="41">
        <f t="shared" si="60"/>
        <v>0</v>
      </c>
      <c r="AD423" s="41">
        <v>0</v>
      </c>
      <c r="AE423" s="41">
        <f t="shared" si="61"/>
        <v>0</v>
      </c>
      <c r="AF423" s="41" t="e">
        <f>X423/AU423</f>
        <v>#VALUE!</v>
      </c>
      <c r="AG423" s="41" t="e">
        <f t="shared" si="65"/>
        <v>#VALUE!</v>
      </c>
      <c r="AH423" s="36">
        <v>45413</v>
      </c>
      <c r="AI423" s="36"/>
      <c r="AJ423" s="36"/>
      <c r="AK423" s="36">
        <v>45444</v>
      </c>
      <c r="AL423" s="36"/>
      <c r="AM423" s="46"/>
      <c r="AN423" s="40" t="s">
        <v>2406</v>
      </c>
      <c r="AO423" s="40" t="s">
        <v>2407</v>
      </c>
      <c r="AP423" s="40" t="s">
        <v>2408</v>
      </c>
      <c r="AQ423" s="40" t="s">
        <v>80</v>
      </c>
      <c r="AR423" s="48">
        <v>100</v>
      </c>
      <c r="AS423" s="37">
        <v>0</v>
      </c>
      <c r="AT423" s="37" t="s">
        <v>343</v>
      </c>
      <c r="AU423" s="51" t="s">
        <v>2409</v>
      </c>
      <c r="AV423" s="37" t="s">
        <v>219</v>
      </c>
      <c r="AW423" s="37">
        <v>10</v>
      </c>
      <c r="AX423" s="30">
        <f>(J423*10)/100</f>
        <v>82008</v>
      </c>
      <c r="AY423" s="40" t="s">
        <v>402</v>
      </c>
    </row>
    <row r="424" spans="1:51" ht="42" customHeight="1" x14ac:dyDescent="0.25">
      <c r="A424" s="59" t="s">
        <v>2410</v>
      </c>
      <c r="B424" s="60">
        <v>45348</v>
      </c>
      <c r="C424" s="37" t="s">
        <v>494</v>
      </c>
      <c r="D424" s="35"/>
      <c r="E424" s="39" t="s">
        <v>2411</v>
      </c>
      <c r="F424" s="36"/>
      <c r="G424" s="37"/>
      <c r="H424" s="40"/>
      <c r="I424" s="62" t="s">
        <v>2412</v>
      </c>
      <c r="J424" s="61">
        <v>1289346.3</v>
      </c>
      <c r="K424" s="41">
        <v>0</v>
      </c>
      <c r="L424" s="54">
        <v>0</v>
      </c>
      <c r="M424" s="54">
        <v>0</v>
      </c>
      <c r="N424" s="42">
        <f t="shared" si="67"/>
        <v>100</v>
      </c>
      <c r="O424" s="43">
        <f t="shared" si="62"/>
        <v>1289346.3</v>
      </c>
      <c r="P424" s="41"/>
      <c r="Q424" s="43">
        <f t="shared" si="63"/>
        <v>1289346.3</v>
      </c>
      <c r="R424" s="41">
        <v>0</v>
      </c>
      <c r="S424" s="30">
        <f t="shared" si="66"/>
        <v>0</v>
      </c>
      <c r="T424" s="30">
        <f t="shared" si="66"/>
        <v>0</v>
      </c>
      <c r="U424" s="30" t="e">
        <f>T424/X424</f>
        <v>#DIV/0!</v>
      </c>
      <c r="V424" s="41" t="e">
        <f>T424/X424</f>
        <v>#DIV/0!</v>
      </c>
      <c r="W424" s="41" t="e">
        <f>V424*AU424</f>
        <v>#DIV/0!</v>
      </c>
      <c r="X424" s="41">
        <f t="shared" si="64"/>
        <v>0</v>
      </c>
      <c r="Y424" s="41">
        <v>0</v>
      </c>
      <c r="Z424" s="41">
        <v>0</v>
      </c>
      <c r="AA424" s="41">
        <v>0</v>
      </c>
      <c r="AB424" s="41"/>
      <c r="AC424" s="41" t="e">
        <f t="shared" si="60"/>
        <v>#DIV/0!</v>
      </c>
      <c r="AD424" s="41"/>
      <c r="AE424" s="41" t="e">
        <f t="shared" si="61"/>
        <v>#DIV/0!</v>
      </c>
      <c r="AF424" s="41" t="e">
        <f>X424/AU424</f>
        <v>#DIV/0!</v>
      </c>
      <c r="AG424" s="41" t="e">
        <f t="shared" si="65"/>
        <v>#DIV/0!</v>
      </c>
      <c r="AH424" s="36">
        <v>45413</v>
      </c>
      <c r="AI424" s="36"/>
      <c r="AJ424" s="36"/>
      <c r="AK424" s="36"/>
      <c r="AL424" s="36"/>
      <c r="AM424" s="46"/>
      <c r="AN424" s="40"/>
      <c r="AO424" s="40"/>
      <c r="AP424" s="40"/>
      <c r="AQ424" s="40"/>
      <c r="AR424" s="48"/>
      <c r="AS424" s="37"/>
      <c r="AT424" s="37"/>
      <c r="AU424" s="47"/>
      <c r="AV424" s="37"/>
      <c r="AW424" s="37">
        <v>10</v>
      </c>
      <c r="AX424" s="30">
        <f>(J424*10)/100</f>
        <v>128934.63</v>
      </c>
      <c r="AY424" s="40"/>
    </row>
    <row r="425" spans="1:51" ht="42" customHeight="1" x14ac:dyDescent="0.25">
      <c r="A425" s="59" t="s">
        <v>2413</v>
      </c>
      <c r="B425" s="60">
        <v>45348</v>
      </c>
      <c r="C425" s="37" t="s">
        <v>2189</v>
      </c>
      <c r="D425" s="35"/>
      <c r="E425" s="39" t="s">
        <v>2414</v>
      </c>
      <c r="F425" s="36">
        <v>45358</v>
      </c>
      <c r="G425" s="37" t="s">
        <v>2415</v>
      </c>
      <c r="H425" s="40" t="s">
        <v>2162</v>
      </c>
      <c r="I425" s="62" t="s">
        <v>2416</v>
      </c>
      <c r="J425" s="61">
        <v>2488200</v>
      </c>
      <c r="K425" s="41">
        <v>0</v>
      </c>
      <c r="L425" s="54">
        <v>0</v>
      </c>
      <c r="M425" s="54">
        <v>0</v>
      </c>
      <c r="N425" s="42">
        <f t="shared" si="67"/>
        <v>0</v>
      </c>
      <c r="O425" s="43">
        <f t="shared" si="62"/>
        <v>0</v>
      </c>
      <c r="P425" s="61">
        <v>2488200</v>
      </c>
      <c r="Q425" s="43">
        <f t="shared" si="63"/>
        <v>0</v>
      </c>
      <c r="R425" s="61">
        <v>2488200</v>
      </c>
      <c r="S425" s="30">
        <f t="shared" si="66"/>
        <v>2488200</v>
      </c>
      <c r="T425" s="30">
        <f t="shared" si="66"/>
        <v>2488200</v>
      </c>
      <c r="U425" s="30">
        <f>T425/X425</f>
        <v>220</v>
      </c>
      <c r="V425" s="41">
        <f>T425/X425</f>
        <v>220</v>
      </c>
      <c r="W425" s="41">
        <f>V425*AU425</f>
        <v>3300</v>
      </c>
      <c r="X425" s="41">
        <f t="shared" si="64"/>
        <v>11310</v>
      </c>
      <c r="Y425" s="41">
        <v>11310</v>
      </c>
      <c r="Z425" s="41">
        <v>0</v>
      </c>
      <c r="AA425" s="41">
        <v>0</v>
      </c>
      <c r="AB425" s="41">
        <v>11310</v>
      </c>
      <c r="AC425" s="41">
        <f t="shared" si="60"/>
        <v>2488200</v>
      </c>
      <c r="AD425" s="41">
        <v>0</v>
      </c>
      <c r="AE425" s="41">
        <f t="shared" si="61"/>
        <v>0</v>
      </c>
      <c r="AF425" s="41">
        <f>X425/AU425</f>
        <v>754</v>
      </c>
      <c r="AG425" s="41">
        <f t="shared" si="65"/>
        <v>754</v>
      </c>
      <c r="AH425" s="36">
        <v>45413</v>
      </c>
      <c r="AI425" s="36"/>
      <c r="AJ425" s="36"/>
      <c r="AK425" s="36">
        <v>45444</v>
      </c>
      <c r="AL425" s="36"/>
      <c r="AM425" s="46"/>
      <c r="AN425" s="40" t="s">
        <v>2417</v>
      </c>
      <c r="AO425" s="40" t="s">
        <v>2418</v>
      </c>
      <c r="AP425" s="40" t="s">
        <v>2419</v>
      </c>
      <c r="AQ425" s="40" t="s">
        <v>80</v>
      </c>
      <c r="AR425" s="48">
        <v>100</v>
      </c>
      <c r="AS425" s="37">
        <v>0</v>
      </c>
      <c r="AT425" s="37" t="s">
        <v>324</v>
      </c>
      <c r="AU425" s="47">
        <v>15</v>
      </c>
      <c r="AV425" s="37" t="s">
        <v>219</v>
      </c>
      <c r="AW425" s="37">
        <v>10</v>
      </c>
      <c r="AX425" s="30">
        <f>(J425*10)/100</f>
        <v>248820</v>
      </c>
      <c r="AY425" s="40" t="s">
        <v>402</v>
      </c>
    </row>
    <row r="426" spans="1:51" ht="42" customHeight="1" x14ac:dyDescent="0.25">
      <c r="A426" s="59" t="s">
        <v>2420</v>
      </c>
      <c r="B426" s="60">
        <v>45348</v>
      </c>
      <c r="C426" s="37">
        <v>1688</v>
      </c>
      <c r="D426" s="35"/>
      <c r="E426" s="39" t="s">
        <v>2421</v>
      </c>
      <c r="F426" s="36"/>
      <c r="G426" s="37"/>
      <c r="H426" s="40"/>
      <c r="I426" s="62" t="s">
        <v>1867</v>
      </c>
      <c r="J426" s="61">
        <v>3496393.9</v>
      </c>
      <c r="K426" s="41">
        <v>0</v>
      </c>
      <c r="L426" s="54">
        <v>0</v>
      </c>
      <c r="M426" s="54">
        <v>0</v>
      </c>
      <c r="N426" s="42">
        <f t="shared" si="67"/>
        <v>100</v>
      </c>
      <c r="O426" s="43">
        <f t="shared" si="62"/>
        <v>3496393.9</v>
      </c>
      <c r="P426" s="41"/>
      <c r="Q426" s="43">
        <f t="shared" si="63"/>
        <v>3496393.9</v>
      </c>
      <c r="R426" s="41">
        <v>0</v>
      </c>
      <c r="S426" s="30">
        <f t="shared" si="66"/>
        <v>0</v>
      </c>
      <c r="T426" s="30">
        <f t="shared" si="66"/>
        <v>0</v>
      </c>
      <c r="U426" s="30" t="e">
        <f>T426/X426</f>
        <v>#DIV/0!</v>
      </c>
      <c r="V426" s="41" t="e">
        <f>T426/X426</f>
        <v>#DIV/0!</v>
      </c>
      <c r="W426" s="41" t="e">
        <f>V426*AU426</f>
        <v>#DIV/0!</v>
      </c>
      <c r="X426" s="41">
        <f t="shared" si="64"/>
        <v>0</v>
      </c>
      <c r="Y426" s="41">
        <v>0</v>
      </c>
      <c r="Z426" s="41">
        <v>0</v>
      </c>
      <c r="AA426" s="41">
        <v>0</v>
      </c>
      <c r="AB426" s="41"/>
      <c r="AC426" s="41" t="e">
        <f t="shared" si="60"/>
        <v>#DIV/0!</v>
      </c>
      <c r="AD426" s="41"/>
      <c r="AE426" s="41" t="e">
        <f t="shared" si="61"/>
        <v>#DIV/0!</v>
      </c>
      <c r="AF426" s="41" t="e">
        <f>X426/AU426</f>
        <v>#DIV/0!</v>
      </c>
      <c r="AG426" s="41" t="e">
        <f t="shared" si="65"/>
        <v>#DIV/0!</v>
      </c>
      <c r="AH426" s="36">
        <v>45536</v>
      </c>
      <c r="AI426" s="36"/>
      <c r="AJ426" s="36"/>
      <c r="AK426" s="36"/>
      <c r="AL426" s="36"/>
      <c r="AM426" s="46"/>
      <c r="AN426" s="40"/>
      <c r="AO426" s="40"/>
      <c r="AP426" s="40"/>
      <c r="AQ426" s="40"/>
      <c r="AR426" s="48"/>
      <c r="AS426" s="37"/>
      <c r="AT426" s="37"/>
      <c r="AU426" s="47"/>
      <c r="AV426" s="37"/>
      <c r="AW426" s="37">
        <v>10</v>
      </c>
      <c r="AX426" s="30">
        <f>(J426*10)/100</f>
        <v>349639.39</v>
      </c>
      <c r="AY426" s="40"/>
    </row>
    <row r="427" spans="1:51" ht="42" customHeight="1" x14ac:dyDescent="0.25">
      <c r="A427" s="59" t="s">
        <v>2422</v>
      </c>
      <c r="B427" s="60">
        <v>45348</v>
      </c>
      <c r="C427" s="37" t="s">
        <v>2060</v>
      </c>
      <c r="D427" s="35"/>
      <c r="E427" s="39" t="s">
        <v>2423</v>
      </c>
      <c r="F427" s="36"/>
      <c r="G427" s="37"/>
      <c r="H427" s="40"/>
      <c r="I427" s="62" t="s">
        <v>2424</v>
      </c>
      <c r="J427" s="61">
        <v>20767.32</v>
      </c>
      <c r="K427" s="41">
        <v>0</v>
      </c>
      <c r="L427" s="54">
        <v>0</v>
      </c>
      <c r="M427" s="54">
        <v>0</v>
      </c>
      <c r="N427" s="42">
        <f t="shared" si="67"/>
        <v>100</v>
      </c>
      <c r="O427" s="43">
        <f t="shared" si="62"/>
        <v>20767.32</v>
      </c>
      <c r="P427" s="41"/>
      <c r="Q427" s="43">
        <f t="shared" si="63"/>
        <v>20767.32</v>
      </c>
      <c r="R427" s="41">
        <v>0</v>
      </c>
      <c r="S427" s="30">
        <f t="shared" si="66"/>
        <v>0</v>
      </c>
      <c r="T427" s="30">
        <f t="shared" si="66"/>
        <v>0</v>
      </c>
      <c r="U427" s="30" t="e">
        <f>T427/X427</f>
        <v>#DIV/0!</v>
      </c>
      <c r="V427" s="41" t="e">
        <f>T427/X427</f>
        <v>#DIV/0!</v>
      </c>
      <c r="W427" s="41" t="e">
        <f>V427*AU427</f>
        <v>#DIV/0!</v>
      </c>
      <c r="X427" s="41">
        <f t="shared" si="64"/>
        <v>0</v>
      </c>
      <c r="Y427" s="41">
        <v>0</v>
      </c>
      <c r="Z427" s="41">
        <v>0</v>
      </c>
      <c r="AA427" s="41">
        <v>0</v>
      </c>
      <c r="AB427" s="41"/>
      <c r="AC427" s="41" t="e">
        <f t="shared" si="60"/>
        <v>#DIV/0!</v>
      </c>
      <c r="AD427" s="41"/>
      <c r="AE427" s="41" t="e">
        <f t="shared" si="61"/>
        <v>#DIV/0!</v>
      </c>
      <c r="AF427" s="41" t="e">
        <f>X427/AU427</f>
        <v>#DIV/0!</v>
      </c>
      <c r="AG427" s="41" t="e">
        <f t="shared" si="65"/>
        <v>#DIV/0!</v>
      </c>
      <c r="AH427" s="36">
        <v>45413</v>
      </c>
      <c r="AI427" s="36"/>
      <c r="AJ427" s="36"/>
      <c r="AK427" s="36"/>
      <c r="AL427" s="36"/>
      <c r="AM427" s="46"/>
      <c r="AN427" s="40"/>
      <c r="AO427" s="40"/>
      <c r="AP427" s="40"/>
      <c r="AQ427" s="40"/>
      <c r="AR427" s="48"/>
      <c r="AS427" s="37"/>
      <c r="AT427" s="37"/>
      <c r="AU427" s="47"/>
      <c r="AV427" s="37"/>
      <c r="AW427" s="37">
        <v>10</v>
      </c>
      <c r="AX427" s="30">
        <f>(J427*10)/100</f>
        <v>2076.732</v>
      </c>
      <c r="AY427" s="40"/>
    </row>
    <row r="428" spans="1:51" ht="42" customHeight="1" x14ac:dyDescent="0.25">
      <c r="A428" s="59" t="s">
        <v>2425</v>
      </c>
      <c r="B428" s="60">
        <v>45348</v>
      </c>
      <c r="C428" s="37" t="s">
        <v>2189</v>
      </c>
      <c r="D428" s="35"/>
      <c r="E428" s="39" t="s">
        <v>2426</v>
      </c>
      <c r="F428" s="36"/>
      <c r="G428" s="37"/>
      <c r="H428" s="40"/>
      <c r="I428" s="62" t="s">
        <v>2427</v>
      </c>
      <c r="J428" s="61">
        <v>2320692</v>
      </c>
      <c r="K428" s="41">
        <v>0</v>
      </c>
      <c r="L428" s="54">
        <v>0</v>
      </c>
      <c r="M428" s="54">
        <v>0</v>
      </c>
      <c r="N428" s="42">
        <f t="shared" si="67"/>
        <v>100</v>
      </c>
      <c r="O428" s="43">
        <f t="shared" si="62"/>
        <v>2320692</v>
      </c>
      <c r="P428" s="41"/>
      <c r="Q428" s="43">
        <f t="shared" si="63"/>
        <v>2320692</v>
      </c>
      <c r="R428" s="41">
        <v>0</v>
      </c>
      <c r="S428" s="30">
        <f t="shared" si="66"/>
        <v>0</v>
      </c>
      <c r="T428" s="30">
        <f t="shared" si="66"/>
        <v>0</v>
      </c>
      <c r="U428" s="30" t="e">
        <f>T428/X428</f>
        <v>#DIV/0!</v>
      </c>
      <c r="V428" s="41" t="e">
        <f>T428/X428</f>
        <v>#DIV/0!</v>
      </c>
      <c r="W428" s="41" t="e">
        <f>V428*AU428</f>
        <v>#DIV/0!</v>
      </c>
      <c r="X428" s="41">
        <f t="shared" si="64"/>
        <v>0</v>
      </c>
      <c r="Y428" s="41">
        <v>0</v>
      </c>
      <c r="Z428" s="41">
        <v>0</v>
      </c>
      <c r="AA428" s="41">
        <v>0</v>
      </c>
      <c r="AB428" s="41"/>
      <c r="AC428" s="41" t="e">
        <f t="shared" si="60"/>
        <v>#DIV/0!</v>
      </c>
      <c r="AD428" s="41"/>
      <c r="AE428" s="41" t="e">
        <f t="shared" si="61"/>
        <v>#DIV/0!</v>
      </c>
      <c r="AF428" s="41" t="e">
        <f>X428/AU428</f>
        <v>#DIV/0!</v>
      </c>
      <c r="AG428" s="41" t="e">
        <f t="shared" si="65"/>
        <v>#DIV/0!</v>
      </c>
      <c r="AH428" s="36">
        <v>45413</v>
      </c>
      <c r="AI428" s="36"/>
      <c r="AJ428" s="36"/>
      <c r="AK428" s="36"/>
      <c r="AL428" s="36"/>
      <c r="AM428" s="46"/>
      <c r="AN428" s="40"/>
      <c r="AO428" s="40"/>
      <c r="AP428" s="40"/>
      <c r="AQ428" s="40"/>
      <c r="AR428" s="48"/>
      <c r="AS428" s="37"/>
      <c r="AT428" s="37"/>
      <c r="AU428" s="47"/>
      <c r="AV428" s="37"/>
      <c r="AW428" s="37">
        <v>10</v>
      </c>
      <c r="AX428" s="30">
        <f>(J428*10)/100</f>
        <v>232069.2</v>
      </c>
      <c r="AY428" s="40"/>
    </row>
    <row r="429" spans="1:51" ht="42" customHeight="1" x14ac:dyDescent="0.25">
      <c r="A429" s="59" t="s">
        <v>2428</v>
      </c>
      <c r="B429" s="60">
        <v>45348</v>
      </c>
      <c r="C429" s="37" t="s">
        <v>2189</v>
      </c>
      <c r="D429" s="35"/>
      <c r="E429" s="39" t="s">
        <v>2429</v>
      </c>
      <c r="F429" s="36"/>
      <c r="G429" s="37"/>
      <c r="H429" s="40"/>
      <c r="I429" s="62" t="s">
        <v>2430</v>
      </c>
      <c r="J429" s="61">
        <v>138022.5</v>
      </c>
      <c r="K429" s="41">
        <v>0</v>
      </c>
      <c r="L429" s="54">
        <v>0</v>
      </c>
      <c r="M429" s="54">
        <v>0</v>
      </c>
      <c r="N429" s="42">
        <f t="shared" si="67"/>
        <v>100</v>
      </c>
      <c r="O429" s="43">
        <f t="shared" si="62"/>
        <v>138022.5</v>
      </c>
      <c r="P429" s="41"/>
      <c r="Q429" s="43">
        <f t="shared" si="63"/>
        <v>138022.5</v>
      </c>
      <c r="R429" s="41">
        <v>0</v>
      </c>
      <c r="S429" s="30">
        <f t="shared" si="66"/>
        <v>0</v>
      </c>
      <c r="T429" s="30">
        <f t="shared" si="66"/>
        <v>0</v>
      </c>
      <c r="U429" s="30" t="e">
        <f>T429/X429</f>
        <v>#DIV/0!</v>
      </c>
      <c r="V429" s="41" t="e">
        <f>T429/X429</f>
        <v>#DIV/0!</v>
      </c>
      <c r="W429" s="41" t="e">
        <f>V429*AU429</f>
        <v>#DIV/0!</v>
      </c>
      <c r="X429" s="41">
        <f t="shared" si="64"/>
        <v>0</v>
      </c>
      <c r="Y429" s="41">
        <v>0</v>
      </c>
      <c r="Z429" s="41">
        <v>0</v>
      </c>
      <c r="AA429" s="41">
        <v>0</v>
      </c>
      <c r="AB429" s="41"/>
      <c r="AC429" s="41" t="e">
        <f t="shared" si="60"/>
        <v>#DIV/0!</v>
      </c>
      <c r="AD429" s="41"/>
      <c r="AE429" s="41" t="e">
        <f t="shared" si="61"/>
        <v>#DIV/0!</v>
      </c>
      <c r="AF429" s="41" t="e">
        <f>X429/AU429</f>
        <v>#DIV/0!</v>
      </c>
      <c r="AG429" s="41" t="e">
        <f t="shared" si="65"/>
        <v>#DIV/0!</v>
      </c>
      <c r="AH429" s="36">
        <v>45397</v>
      </c>
      <c r="AI429" s="36"/>
      <c r="AJ429" s="36"/>
      <c r="AK429" s="36"/>
      <c r="AL429" s="36"/>
      <c r="AM429" s="46"/>
      <c r="AN429" s="40"/>
      <c r="AO429" s="40"/>
      <c r="AP429" s="40"/>
      <c r="AQ429" s="40"/>
      <c r="AR429" s="48"/>
      <c r="AS429" s="37"/>
      <c r="AT429" s="37"/>
      <c r="AU429" s="47"/>
      <c r="AV429" s="37"/>
      <c r="AW429" s="37">
        <v>10</v>
      </c>
      <c r="AX429" s="30">
        <f>(J429*10)/100</f>
        <v>13802.25</v>
      </c>
      <c r="AY429" s="40"/>
    </row>
    <row r="430" spans="1:51" ht="42" customHeight="1" x14ac:dyDescent="0.25">
      <c r="A430" s="59" t="s">
        <v>2431</v>
      </c>
      <c r="B430" s="60">
        <v>45348</v>
      </c>
      <c r="C430" s="37">
        <v>545</v>
      </c>
      <c r="D430" s="35"/>
      <c r="E430" s="39" t="s">
        <v>2432</v>
      </c>
      <c r="F430" s="36"/>
      <c r="G430" s="37"/>
      <c r="H430" s="40"/>
      <c r="I430" s="64" t="s">
        <v>2433</v>
      </c>
      <c r="J430" s="61">
        <v>91159992</v>
      </c>
      <c r="K430" s="41">
        <v>0</v>
      </c>
      <c r="L430" s="54">
        <v>0</v>
      </c>
      <c r="M430" s="54">
        <v>0</v>
      </c>
      <c r="N430" s="42">
        <f t="shared" si="67"/>
        <v>100</v>
      </c>
      <c r="O430" s="43">
        <f t="shared" si="62"/>
        <v>91159992</v>
      </c>
      <c r="P430" s="41"/>
      <c r="Q430" s="43">
        <f t="shared" si="63"/>
        <v>91159992</v>
      </c>
      <c r="R430" s="41">
        <v>0</v>
      </c>
      <c r="S430" s="30">
        <f t="shared" si="66"/>
        <v>0</v>
      </c>
      <c r="T430" s="30">
        <f t="shared" si="66"/>
        <v>0</v>
      </c>
      <c r="U430" s="30" t="e">
        <f>T430/X430</f>
        <v>#DIV/0!</v>
      </c>
      <c r="V430" s="41" t="e">
        <f>T430/X430</f>
        <v>#DIV/0!</v>
      </c>
      <c r="W430" s="41" t="e">
        <f>V430*AU430</f>
        <v>#DIV/0!</v>
      </c>
      <c r="X430" s="41">
        <f t="shared" si="64"/>
        <v>0</v>
      </c>
      <c r="Y430" s="41">
        <v>0</v>
      </c>
      <c r="Z430" s="41">
        <v>0</v>
      </c>
      <c r="AA430" s="41">
        <v>0</v>
      </c>
      <c r="AB430" s="41"/>
      <c r="AC430" s="41" t="e">
        <f t="shared" si="60"/>
        <v>#DIV/0!</v>
      </c>
      <c r="AD430" s="41"/>
      <c r="AE430" s="41" t="e">
        <f t="shared" si="61"/>
        <v>#DIV/0!</v>
      </c>
      <c r="AF430" s="41" t="e">
        <f>X430/AU430</f>
        <v>#DIV/0!</v>
      </c>
      <c r="AG430" s="41" t="e">
        <f t="shared" si="65"/>
        <v>#DIV/0!</v>
      </c>
      <c r="AH430" s="36">
        <v>45397</v>
      </c>
      <c r="AI430" s="36"/>
      <c r="AJ430" s="36"/>
      <c r="AK430" s="36"/>
      <c r="AL430" s="36"/>
      <c r="AM430" s="46"/>
      <c r="AN430" s="40"/>
      <c r="AO430" s="40"/>
      <c r="AP430" s="40"/>
      <c r="AQ430" s="40"/>
      <c r="AR430" s="48"/>
      <c r="AS430" s="37"/>
      <c r="AT430" s="37"/>
      <c r="AU430" s="47"/>
      <c r="AV430" s="37"/>
      <c r="AW430" s="37">
        <v>10</v>
      </c>
      <c r="AX430" s="30">
        <f>(J430*10)/100</f>
        <v>9115999.1999999993</v>
      </c>
      <c r="AY430" s="40"/>
    </row>
    <row r="431" spans="1:51" ht="42" customHeight="1" x14ac:dyDescent="0.25">
      <c r="A431" s="59" t="s">
        <v>2434</v>
      </c>
      <c r="B431" s="60">
        <v>45348</v>
      </c>
      <c r="C431" s="37">
        <v>545</v>
      </c>
      <c r="D431" s="35"/>
      <c r="E431" s="39" t="s">
        <v>2435</v>
      </c>
      <c r="F431" s="36"/>
      <c r="G431" s="37"/>
      <c r="H431" s="40"/>
      <c r="I431" s="64" t="s">
        <v>2433</v>
      </c>
      <c r="J431" s="61">
        <v>90787910.400000006</v>
      </c>
      <c r="K431" s="41">
        <v>0</v>
      </c>
      <c r="L431" s="54">
        <v>0</v>
      </c>
      <c r="M431" s="54">
        <v>0</v>
      </c>
      <c r="N431" s="42">
        <f t="shared" si="67"/>
        <v>100</v>
      </c>
      <c r="O431" s="43">
        <f t="shared" si="62"/>
        <v>90787910.400000006</v>
      </c>
      <c r="P431" s="41"/>
      <c r="Q431" s="43">
        <f t="shared" si="63"/>
        <v>90787910.400000006</v>
      </c>
      <c r="R431" s="41">
        <v>0</v>
      </c>
      <c r="S431" s="30">
        <f t="shared" si="66"/>
        <v>0</v>
      </c>
      <c r="T431" s="30">
        <f t="shared" si="66"/>
        <v>0</v>
      </c>
      <c r="U431" s="30" t="e">
        <f>T431/X431</f>
        <v>#DIV/0!</v>
      </c>
      <c r="V431" s="41" t="e">
        <f>T431/X431</f>
        <v>#DIV/0!</v>
      </c>
      <c r="W431" s="41" t="e">
        <f>V431*AU431</f>
        <v>#DIV/0!</v>
      </c>
      <c r="X431" s="41">
        <f t="shared" si="64"/>
        <v>0</v>
      </c>
      <c r="Y431" s="41">
        <v>0</v>
      </c>
      <c r="Z431" s="41">
        <v>0</v>
      </c>
      <c r="AA431" s="41">
        <v>0</v>
      </c>
      <c r="AB431" s="41"/>
      <c r="AC431" s="41" t="e">
        <f t="shared" si="60"/>
        <v>#DIV/0!</v>
      </c>
      <c r="AD431" s="41"/>
      <c r="AE431" s="41" t="e">
        <f t="shared" si="61"/>
        <v>#DIV/0!</v>
      </c>
      <c r="AF431" s="41" t="e">
        <f>X431/AU431</f>
        <v>#DIV/0!</v>
      </c>
      <c r="AG431" s="41" t="e">
        <f t="shared" si="65"/>
        <v>#DIV/0!</v>
      </c>
      <c r="AH431" s="36">
        <v>45397</v>
      </c>
      <c r="AI431" s="36"/>
      <c r="AJ431" s="36"/>
      <c r="AK431" s="36"/>
      <c r="AL431" s="36"/>
      <c r="AM431" s="46"/>
      <c r="AN431" s="40"/>
      <c r="AO431" s="40"/>
      <c r="AP431" s="40"/>
      <c r="AQ431" s="40"/>
      <c r="AR431" s="48"/>
      <c r="AS431" s="37"/>
      <c r="AT431" s="37"/>
      <c r="AU431" s="47"/>
      <c r="AV431" s="37"/>
      <c r="AW431" s="37">
        <v>10</v>
      </c>
      <c r="AX431" s="30">
        <f>(J431*10)/100</f>
        <v>9078791.0399999991</v>
      </c>
      <c r="AY431" s="40"/>
    </row>
    <row r="432" spans="1:51" ht="42" customHeight="1" x14ac:dyDescent="0.25">
      <c r="A432" s="59" t="s">
        <v>2436</v>
      </c>
      <c r="B432" s="60">
        <v>45348</v>
      </c>
      <c r="C432" s="37">
        <v>545</v>
      </c>
      <c r="D432" s="35"/>
      <c r="E432" s="39" t="s">
        <v>2437</v>
      </c>
      <c r="F432" s="36"/>
      <c r="G432" s="37"/>
      <c r="H432" s="40"/>
      <c r="I432" s="64" t="s">
        <v>2433</v>
      </c>
      <c r="J432" s="61">
        <v>91159992</v>
      </c>
      <c r="K432" s="41">
        <v>0</v>
      </c>
      <c r="L432" s="54">
        <v>0</v>
      </c>
      <c r="M432" s="54">
        <v>0</v>
      </c>
      <c r="N432" s="42">
        <f t="shared" si="67"/>
        <v>100</v>
      </c>
      <c r="O432" s="43">
        <f t="shared" si="62"/>
        <v>91159992</v>
      </c>
      <c r="P432" s="41"/>
      <c r="Q432" s="43">
        <f t="shared" si="63"/>
        <v>91159992</v>
      </c>
      <c r="R432" s="41">
        <v>0</v>
      </c>
      <c r="S432" s="30">
        <f t="shared" si="66"/>
        <v>0</v>
      </c>
      <c r="T432" s="30">
        <f t="shared" si="66"/>
        <v>0</v>
      </c>
      <c r="U432" s="30" t="e">
        <f>T432/X432</f>
        <v>#DIV/0!</v>
      </c>
      <c r="V432" s="41" t="e">
        <f>T432/X432</f>
        <v>#DIV/0!</v>
      </c>
      <c r="W432" s="41" t="e">
        <f>V432*AU432</f>
        <v>#DIV/0!</v>
      </c>
      <c r="X432" s="41">
        <f t="shared" si="64"/>
        <v>0</v>
      </c>
      <c r="Y432" s="41">
        <v>0</v>
      </c>
      <c r="Z432" s="41">
        <v>0</v>
      </c>
      <c r="AA432" s="41">
        <v>0</v>
      </c>
      <c r="AB432" s="41"/>
      <c r="AC432" s="41" t="e">
        <f t="shared" si="60"/>
        <v>#DIV/0!</v>
      </c>
      <c r="AD432" s="41"/>
      <c r="AE432" s="41" t="e">
        <f t="shared" si="61"/>
        <v>#DIV/0!</v>
      </c>
      <c r="AF432" s="41" t="e">
        <f>X432/AU432</f>
        <v>#DIV/0!</v>
      </c>
      <c r="AG432" s="41" t="e">
        <f t="shared" si="65"/>
        <v>#DIV/0!</v>
      </c>
      <c r="AH432" s="36">
        <v>45397</v>
      </c>
      <c r="AI432" s="36"/>
      <c r="AJ432" s="36"/>
      <c r="AK432" s="36"/>
      <c r="AL432" s="36"/>
      <c r="AM432" s="46"/>
      <c r="AN432" s="40"/>
      <c r="AO432" s="40"/>
      <c r="AP432" s="40"/>
      <c r="AQ432" s="40"/>
      <c r="AR432" s="48"/>
      <c r="AS432" s="37"/>
      <c r="AT432" s="37"/>
      <c r="AU432" s="47"/>
      <c r="AV432" s="37"/>
      <c r="AW432" s="37">
        <v>10</v>
      </c>
      <c r="AX432" s="30">
        <f>(J432*10)/100</f>
        <v>9115999.1999999993</v>
      </c>
      <c r="AY432" s="40"/>
    </row>
    <row r="433" spans="1:51" ht="42" customHeight="1" x14ac:dyDescent="0.25">
      <c r="A433" s="59" t="s">
        <v>2438</v>
      </c>
      <c r="B433" s="60">
        <v>45348</v>
      </c>
      <c r="C433" s="37">
        <v>545</v>
      </c>
      <c r="D433" s="35"/>
      <c r="E433" s="39" t="s">
        <v>2439</v>
      </c>
      <c r="F433" s="36"/>
      <c r="G433" s="37"/>
      <c r="H433" s="40"/>
      <c r="I433" s="64" t="s">
        <v>2433</v>
      </c>
      <c r="J433" s="61">
        <v>46510200</v>
      </c>
      <c r="K433" s="41">
        <v>0</v>
      </c>
      <c r="L433" s="54">
        <v>0</v>
      </c>
      <c r="M433" s="54">
        <v>0</v>
      </c>
      <c r="N433" s="42">
        <f t="shared" si="67"/>
        <v>100</v>
      </c>
      <c r="O433" s="43">
        <f t="shared" si="62"/>
        <v>46510200</v>
      </c>
      <c r="P433" s="41"/>
      <c r="Q433" s="43">
        <f t="shared" si="63"/>
        <v>46510200</v>
      </c>
      <c r="R433" s="41">
        <v>0</v>
      </c>
      <c r="S433" s="30">
        <f t="shared" si="66"/>
        <v>0</v>
      </c>
      <c r="T433" s="30">
        <f t="shared" si="66"/>
        <v>0</v>
      </c>
      <c r="U433" s="30" t="e">
        <f>T433/X433</f>
        <v>#DIV/0!</v>
      </c>
      <c r="V433" s="41" t="e">
        <f>T433/X433</f>
        <v>#DIV/0!</v>
      </c>
      <c r="W433" s="41" t="e">
        <f>V433*AU433</f>
        <v>#DIV/0!</v>
      </c>
      <c r="X433" s="41">
        <f t="shared" si="64"/>
        <v>0</v>
      </c>
      <c r="Y433" s="41">
        <v>0</v>
      </c>
      <c r="Z433" s="41">
        <v>0</v>
      </c>
      <c r="AA433" s="41">
        <v>0</v>
      </c>
      <c r="AB433" s="41"/>
      <c r="AC433" s="41" t="e">
        <f t="shared" si="60"/>
        <v>#DIV/0!</v>
      </c>
      <c r="AD433" s="41"/>
      <c r="AE433" s="41" t="e">
        <f t="shared" si="61"/>
        <v>#DIV/0!</v>
      </c>
      <c r="AF433" s="41" t="e">
        <f>X433/AU433</f>
        <v>#DIV/0!</v>
      </c>
      <c r="AG433" s="41" t="e">
        <f t="shared" si="65"/>
        <v>#DIV/0!</v>
      </c>
      <c r="AH433" s="36">
        <v>45397</v>
      </c>
      <c r="AI433" s="36"/>
      <c r="AJ433" s="36"/>
      <c r="AK433" s="36"/>
      <c r="AL433" s="36"/>
      <c r="AM433" s="46"/>
      <c r="AN433" s="40"/>
      <c r="AO433" s="40"/>
      <c r="AP433" s="40"/>
      <c r="AQ433" s="40"/>
      <c r="AR433" s="48"/>
      <c r="AS433" s="37"/>
      <c r="AT433" s="37"/>
      <c r="AU433" s="47"/>
      <c r="AV433" s="37"/>
      <c r="AW433" s="37">
        <v>10</v>
      </c>
      <c r="AX433" s="30">
        <f>(J433*10)/100</f>
        <v>4651020</v>
      </c>
      <c r="AY433" s="40"/>
    </row>
    <row r="434" spans="1:51" ht="42" customHeight="1" x14ac:dyDescent="0.25">
      <c r="A434" s="59" t="s">
        <v>2440</v>
      </c>
      <c r="B434" s="60">
        <v>45348</v>
      </c>
      <c r="C434" s="37">
        <v>545</v>
      </c>
      <c r="D434" s="35"/>
      <c r="E434" s="39" t="s">
        <v>2441</v>
      </c>
      <c r="F434" s="36"/>
      <c r="G434" s="37"/>
      <c r="H434" s="40"/>
      <c r="I434" s="64" t="s">
        <v>2433</v>
      </c>
      <c r="J434" s="61">
        <v>85950849.599999994</v>
      </c>
      <c r="K434" s="41">
        <v>0</v>
      </c>
      <c r="L434" s="54">
        <v>0</v>
      </c>
      <c r="M434" s="54">
        <v>0</v>
      </c>
      <c r="N434" s="42">
        <f t="shared" si="67"/>
        <v>100</v>
      </c>
      <c r="O434" s="43">
        <f t="shared" si="62"/>
        <v>85950849.599999994</v>
      </c>
      <c r="P434" s="41"/>
      <c r="Q434" s="43">
        <f t="shared" si="63"/>
        <v>85950849.599999994</v>
      </c>
      <c r="R434" s="41">
        <v>0</v>
      </c>
      <c r="S434" s="30">
        <f t="shared" si="66"/>
        <v>0</v>
      </c>
      <c r="T434" s="30">
        <f t="shared" si="66"/>
        <v>0</v>
      </c>
      <c r="U434" s="30" t="e">
        <f>T434/X434</f>
        <v>#DIV/0!</v>
      </c>
      <c r="V434" s="41" t="e">
        <f>T434/X434</f>
        <v>#DIV/0!</v>
      </c>
      <c r="W434" s="41" t="e">
        <f>V434*AU434</f>
        <v>#DIV/0!</v>
      </c>
      <c r="X434" s="41">
        <f t="shared" si="64"/>
        <v>0</v>
      </c>
      <c r="Y434" s="41">
        <v>0</v>
      </c>
      <c r="Z434" s="41">
        <v>0</v>
      </c>
      <c r="AA434" s="41">
        <v>0</v>
      </c>
      <c r="AB434" s="41"/>
      <c r="AC434" s="41" t="e">
        <f t="shared" si="60"/>
        <v>#DIV/0!</v>
      </c>
      <c r="AD434" s="41"/>
      <c r="AE434" s="41" t="e">
        <f t="shared" si="61"/>
        <v>#DIV/0!</v>
      </c>
      <c r="AF434" s="41" t="e">
        <f>X434/AU434</f>
        <v>#DIV/0!</v>
      </c>
      <c r="AG434" s="41" t="e">
        <f t="shared" si="65"/>
        <v>#DIV/0!</v>
      </c>
      <c r="AH434" s="36">
        <v>45397</v>
      </c>
      <c r="AI434" s="36"/>
      <c r="AJ434" s="36"/>
      <c r="AK434" s="36"/>
      <c r="AL434" s="36"/>
      <c r="AM434" s="46"/>
      <c r="AN434" s="40"/>
      <c r="AO434" s="40"/>
      <c r="AP434" s="40"/>
      <c r="AQ434" s="40"/>
      <c r="AR434" s="48"/>
      <c r="AS434" s="37"/>
      <c r="AT434" s="37"/>
      <c r="AU434" s="47"/>
      <c r="AV434" s="37"/>
      <c r="AW434" s="37">
        <v>10</v>
      </c>
      <c r="AX434" s="30">
        <f>(J434*10)/100</f>
        <v>8595084.9600000009</v>
      </c>
      <c r="AY434" s="40"/>
    </row>
    <row r="435" spans="1:51" ht="42" customHeight="1" x14ac:dyDescent="0.25">
      <c r="A435" s="59" t="s">
        <v>2442</v>
      </c>
      <c r="B435" s="60">
        <v>45348</v>
      </c>
      <c r="C435" s="37">
        <v>545</v>
      </c>
      <c r="D435" s="35"/>
      <c r="E435" s="39" t="s">
        <v>2443</v>
      </c>
      <c r="F435" s="36"/>
      <c r="G435" s="37"/>
      <c r="H435" s="40"/>
      <c r="I435" s="64" t="s">
        <v>407</v>
      </c>
      <c r="J435" s="61">
        <v>89299584</v>
      </c>
      <c r="K435" s="41">
        <v>0</v>
      </c>
      <c r="L435" s="54">
        <v>0</v>
      </c>
      <c r="M435" s="54">
        <v>0</v>
      </c>
      <c r="N435" s="42">
        <f t="shared" si="67"/>
        <v>100</v>
      </c>
      <c r="O435" s="43">
        <f t="shared" si="62"/>
        <v>89299584</v>
      </c>
      <c r="P435" s="41"/>
      <c r="Q435" s="43">
        <f t="shared" si="63"/>
        <v>89299584</v>
      </c>
      <c r="R435" s="41">
        <v>0</v>
      </c>
      <c r="S435" s="30">
        <f t="shared" si="66"/>
        <v>0</v>
      </c>
      <c r="T435" s="30">
        <f t="shared" si="66"/>
        <v>0</v>
      </c>
      <c r="U435" s="30" t="e">
        <f>T435/X435</f>
        <v>#DIV/0!</v>
      </c>
      <c r="V435" s="41" t="e">
        <f>T435/X435</f>
        <v>#DIV/0!</v>
      </c>
      <c r="W435" s="41" t="e">
        <f>V435*AU435</f>
        <v>#DIV/0!</v>
      </c>
      <c r="X435" s="41">
        <f t="shared" si="64"/>
        <v>0</v>
      </c>
      <c r="Y435" s="41">
        <v>0</v>
      </c>
      <c r="Z435" s="41">
        <v>0</v>
      </c>
      <c r="AA435" s="41">
        <v>0</v>
      </c>
      <c r="AB435" s="41"/>
      <c r="AC435" s="41" t="e">
        <f t="shared" si="60"/>
        <v>#DIV/0!</v>
      </c>
      <c r="AD435" s="41"/>
      <c r="AE435" s="41" t="e">
        <f t="shared" si="61"/>
        <v>#DIV/0!</v>
      </c>
      <c r="AF435" s="41" t="e">
        <f>X435/AU435</f>
        <v>#DIV/0!</v>
      </c>
      <c r="AG435" s="41" t="e">
        <f t="shared" si="65"/>
        <v>#DIV/0!</v>
      </c>
      <c r="AH435" s="36">
        <v>45397</v>
      </c>
      <c r="AI435" s="36"/>
      <c r="AJ435" s="36"/>
      <c r="AK435" s="36"/>
      <c r="AL435" s="36"/>
      <c r="AM435" s="46"/>
      <c r="AN435" s="40"/>
      <c r="AO435" s="40"/>
      <c r="AP435" s="40"/>
      <c r="AQ435" s="40"/>
      <c r="AR435" s="48"/>
      <c r="AS435" s="37"/>
      <c r="AT435" s="37"/>
      <c r="AU435" s="47"/>
      <c r="AV435" s="37"/>
      <c r="AW435" s="37">
        <v>10</v>
      </c>
      <c r="AX435" s="30">
        <f>(J435*10)/100</f>
        <v>8929958.4000000004</v>
      </c>
      <c r="AY435" s="40"/>
    </row>
    <row r="436" spans="1:51" ht="42" customHeight="1" x14ac:dyDescent="0.25">
      <c r="A436" s="59" t="s">
        <v>2444</v>
      </c>
      <c r="B436" s="60">
        <v>45348</v>
      </c>
      <c r="C436" s="37">
        <v>545</v>
      </c>
      <c r="D436" s="35"/>
      <c r="E436" s="39" t="s">
        <v>2445</v>
      </c>
      <c r="F436" s="36"/>
      <c r="G436" s="37"/>
      <c r="H436" s="40"/>
      <c r="I436" s="64" t="s">
        <v>407</v>
      </c>
      <c r="J436" s="61">
        <v>93764563.200000003</v>
      </c>
      <c r="K436" s="41">
        <v>0</v>
      </c>
      <c r="L436" s="54">
        <v>0</v>
      </c>
      <c r="M436" s="54">
        <v>0</v>
      </c>
      <c r="N436" s="42">
        <f t="shared" si="67"/>
        <v>100</v>
      </c>
      <c r="O436" s="43">
        <f t="shared" si="62"/>
        <v>93764563.200000003</v>
      </c>
      <c r="P436" s="41"/>
      <c r="Q436" s="43">
        <f t="shared" si="63"/>
        <v>93764563.200000003</v>
      </c>
      <c r="R436" s="41">
        <v>0</v>
      </c>
      <c r="S436" s="30">
        <f t="shared" si="66"/>
        <v>0</v>
      </c>
      <c r="T436" s="30">
        <f t="shared" si="66"/>
        <v>0</v>
      </c>
      <c r="U436" s="30" t="e">
        <f>T436/X436</f>
        <v>#DIV/0!</v>
      </c>
      <c r="V436" s="41" t="e">
        <f>T436/X436</f>
        <v>#DIV/0!</v>
      </c>
      <c r="W436" s="41" t="e">
        <f>V436*AU436</f>
        <v>#DIV/0!</v>
      </c>
      <c r="X436" s="41">
        <f t="shared" si="64"/>
        <v>0</v>
      </c>
      <c r="Y436" s="41">
        <v>0</v>
      </c>
      <c r="Z436" s="41">
        <v>0</v>
      </c>
      <c r="AA436" s="41">
        <v>0</v>
      </c>
      <c r="AB436" s="41"/>
      <c r="AC436" s="41" t="e">
        <f t="shared" si="60"/>
        <v>#DIV/0!</v>
      </c>
      <c r="AD436" s="41"/>
      <c r="AE436" s="41" t="e">
        <f t="shared" si="61"/>
        <v>#DIV/0!</v>
      </c>
      <c r="AF436" s="41" t="e">
        <f>X436/AU436</f>
        <v>#DIV/0!</v>
      </c>
      <c r="AG436" s="41" t="e">
        <f t="shared" si="65"/>
        <v>#DIV/0!</v>
      </c>
      <c r="AH436" s="36">
        <v>45397</v>
      </c>
      <c r="AI436" s="36"/>
      <c r="AJ436" s="36"/>
      <c r="AK436" s="36"/>
      <c r="AL436" s="36"/>
      <c r="AM436" s="46"/>
      <c r="AN436" s="40"/>
      <c r="AO436" s="40"/>
      <c r="AP436" s="40"/>
      <c r="AQ436" s="40"/>
      <c r="AR436" s="48"/>
      <c r="AS436" s="37"/>
      <c r="AT436" s="37"/>
      <c r="AU436" s="47"/>
      <c r="AV436" s="37"/>
      <c r="AW436" s="37">
        <v>10</v>
      </c>
      <c r="AX436" s="30">
        <f>(J436*10)/100</f>
        <v>9376456.3200000003</v>
      </c>
      <c r="AY436" s="40"/>
    </row>
    <row r="437" spans="1:51" ht="42" customHeight="1" x14ac:dyDescent="0.25">
      <c r="A437" s="59" t="s">
        <v>2446</v>
      </c>
      <c r="B437" s="60">
        <v>45348</v>
      </c>
      <c r="C437" s="37">
        <v>545</v>
      </c>
      <c r="D437" s="35"/>
      <c r="E437" s="39" t="s">
        <v>2447</v>
      </c>
      <c r="F437" s="36"/>
      <c r="G437" s="37"/>
      <c r="H437" s="40"/>
      <c r="I437" s="64" t="s">
        <v>407</v>
      </c>
      <c r="J437" s="61">
        <v>93020400</v>
      </c>
      <c r="K437" s="41">
        <v>0</v>
      </c>
      <c r="L437" s="54">
        <v>0</v>
      </c>
      <c r="M437" s="54">
        <v>0</v>
      </c>
      <c r="N437" s="42">
        <f t="shared" si="67"/>
        <v>100</v>
      </c>
      <c r="O437" s="43">
        <f t="shared" si="62"/>
        <v>93020400</v>
      </c>
      <c r="P437" s="41"/>
      <c r="Q437" s="43">
        <f t="shared" si="63"/>
        <v>93020400</v>
      </c>
      <c r="R437" s="41">
        <v>0</v>
      </c>
      <c r="S437" s="30">
        <f t="shared" si="66"/>
        <v>0</v>
      </c>
      <c r="T437" s="30">
        <f t="shared" si="66"/>
        <v>0</v>
      </c>
      <c r="U437" s="30" t="e">
        <f>T437/X437</f>
        <v>#DIV/0!</v>
      </c>
      <c r="V437" s="41" t="e">
        <f>T437/X437</f>
        <v>#DIV/0!</v>
      </c>
      <c r="W437" s="41" t="e">
        <f>V437*AU437</f>
        <v>#DIV/0!</v>
      </c>
      <c r="X437" s="41">
        <f t="shared" si="64"/>
        <v>0</v>
      </c>
      <c r="Y437" s="41">
        <v>0</v>
      </c>
      <c r="Z437" s="41">
        <v>0</v>
      </c>
      <c r="AA437" s="41">
        <v>0</v>
      </c>
      <c r="AB437" s="41"/>
      <c r="AC437" s="41" t="e">
        <f t="shared" si="60"/>
        <v>#DIV/0!</v>
      </c>
      <c r="AD437" s="41"/>
      <c r="AE437" s="41" t="e">
        <f t="shared" si="61"/>
        <v>#DIV/0!</v>
      </c>
      <c r="AF437" s="41" t="e">
        <f>X437/AU437</f>
        <v>#DIV/0!</v>
      </c>
      <c r="AG437" s="41" t="e">
        <f t="shared" si="65"/>
        <v>#DIV/0!</v>
      </c>
      <c r="AH437" s="36">
        <v>45397</v>
      </c>
      <c r="AI437" s="36"/>
      <c r="AJ437" s="36"/>
      <c r="AK437" s="36"/>
      <c r="AL437" s="36"/>
      <c r="AM437" s="46"/>
      <c r="AN437" s="40"/>
      <c r="AO437" s="40"/>
      <c r="AP437" s="40"/>
      <c r="AQ437" s="40"/>
      <c r="AR437" s="48"/>
      <c r="AS437" s="37"/>
      <c r="AT437" s="37"/>
      <c r="AU437" s="47"/>
      <c r="AV437" s="37"/>
      <c r="AW437" s="37">
        <v>10</v>
      </c>
      <c r="AX437" s="30">
        <f>(J437*10)/100</f>
        <v>9302040</v>
      </c>
      <c r="AY437" s="40"/>
    </row>
    <row r="438" spans="1:51" ht="42" customHeight="1" x14ac:dyDescent="0.25">
      <c r="A438" s="59" t="s">
        <v>2448</v>
      </c>
      <c r="B438" s="60">
        <v>45349</v>
      </c>
      <c r="C438" s="37" t="s">
        <v>2189</v>
      </c>
      <c r="D438" s="35"/>
      <c r="E438" s="39" t="s">
        <v>2449</v>
      </c>
      <c r="F438" s="36"/>
      <c r="G438" s="37"/>
      <c r="H438" s="40"/>
      <c r="I438" s="64" t="s">
        <v>1218</v>
      </c>
      <c r="J438" s="61">
        <v>501897</v>
      </c>
      <c r="K438" s="41">
        <v>0</v>
      </c>
      <c r="L438" s="54">
        <v>0</v>
      </c>
      <c r="M438" s="54">
        <v>0</v>
      </c>
      <c r="N438" s="42">
        <f t="shared" si="67"/>
        <v>100</v>
      </c>
      <c r="O438" s="43">
        <f t="shared" si="62"/>
        <v>501897</v>
      </c>
      <c r="P438" s="41"/>
      <c r="Q438" s="43">
        <f t="shared" si="63"/>
        <v>501897</v>
      </c>
      <c r="R438" s="41">
        <v>0</v>
      </c>
      <c r="S438" s="30">
        <f t="shared" si="66"/>
        <v>0</v>
      </c>
      <c r="T438" s="30">
        <f t="shared" si="66"/>
        <v>0</v>
      </c>
      <c r="U438" s="30" t="e">
        <f>T438/X438</f>
        <v>#DIV/0!</v>
      </c>
      <c r="V438" s="41" t="e">
        <f>T438/X438</f>
        <v>#DIV/0!</v>
      </c>
      <c r="W438" s="41" t="e">
        <f>V438*AU438</f>
        <v>#DIV/0!</v>
      </c>
      <c r="X438" s="41">
        <f t="shared" si="64"/>
        <v>0</v>
      </c>
      <c r="Y438" s="41">
        <v>0</v>
      </c>
      <c r="Z438" s="41">
        <v>0</v>
      </c>
      <c r="AA438" s="41">
        <v>0</v>
      </c>
      <c r="AB438" s="41"/>
      <c r="AC438" s="41" t="e">
        <f t="shared" si="60"/>
        <v>#DIV/0!</v>
      </c>
      <c r="AD438" s="41"/>
      <c r="AE438" s="41" t="e">
        <f t="shared" si="61"/>
        <v>#DIV/0!</v>
      </c>
      <c r="AF438" s="41" t="e">
        <f>X438/AU438</f>
        <v>#DIV/0!</v>
      </c>
      <c r="AG438" s="41" t="e">
        <f t="shared" si="65"/>
        <v>#DIV/0!</v>
      </c>
      <c r="AH438" s="36">
        <v>45427</v>
      </c>
      <c r="AI438" s="36"/>
      <c r="AJ438" s="36"/>
      <c r="AK438" s="36"/>
      <c r="AL438" s="36"/>
      <c r="AM438" s="46"/>
      <c r="AN438" s="40"/>
      <c r="AO438" s="40"/>
      <c r="AP438" s="40"/>
      <c r="AQ438" s="40"/>
      <c r="AR438" s="48"/>
      <c r="AS438" s="37"/>
      <c r="AT438" s="37"/>
      <c r="AU438" s="47"/>
      <c r="AV438" s="37"/>
      <c r="AW438" s="37">
        <v>10</v>
      </c>
      <c r="AX438" s="30">
        <f>(J438*10)/100</f>
        <v>50189.7</v>
      </c>
      <c r="AY438" s="40"/>
    </row>
    <row r="439" spans="1:51" ht="42" customHeight="1" x14ac:dyDescent="0.25">
      <c r="A439" s="59" t="s">
        <v>2450</v>
      </c>
      <c r="B439" s="60">
        <v>45349</v>
      </c>
      <c r="C439" s="37" t="s">
        <v>2189</v>
      </c>
      <c r="D439" s="35"/>
      <c r="E439" s="39" t="s">
        <v>2451</v>
      </c>
      <c r="F439" s="36"/>
      <c r="G439" s="37"/>
      <c r="H439" s="40"/>
      <c r="I439" s="62" t="s">
        <v>2401</v>
      </c>
      <c r="J439" s="61">
        <v>1477519.12</v>
      </c>
      <c r="K439" s="41">
        <v>0</v>
      </c>
      <c r="L439" s="54">
        <v>0</v>
      </c>
      <c r="M439" s="54">
        <v>0</v>
      </c>
      <c r="N439" s="42">
        <f t="shared" si="67"/>
        <v>100</v>
      </c>
      <c r="O439" s="43">
        <f t="shared" si="62"/>
        <v>1477519.12</v>
      </c>
      <c r="P439" s="41"/>
      <c r="Q439" s="43">
        <f t="shared" si="63"/>
        <v>1477519.12</v>
      </c>
      <c r="R439" s="41">
        <v>0</v>
      </c>
      <c r="S439" s="30">
        <f t="shared" si="66"/>
        <v>0</v>
      </c>
      <c r="T439" s="30">
        <f t="shared" si="66"/>
        <v>0</v>
      </c>
      <c r="U439" s="30" t="e">
        <f>T439/X439</f>
        <v>#DIV/0!</v>
      </c>
      <c r="V439" s="41" t="e">
        <f>T439/X439</f>
        <v>#DIV/0!</v>
      </c>
      <c r="W439" s="41" t="e">
        <f>V439*AU439</f>
        <v>#DIV/0!</v>
      </c>
      <c r="X439" s="41">
        <f t="shared" si="64"/>
        <v>0</v>
      </c>
      <c r="Y439" s="41">
        <v>0</v>
      </c>
      <c r="Z439" s="41">
        <v>0</v>
      </c>
      <c r="AA439" s="41">
        <v>0</v>
      </c>
      <c r="AB439" s="41"/>
      <c r="AC439" s="41" t="e">
        <f t="shared" si="60"/>
        <v>#DIV/0!</v>
      </c>
      <c r="AD439" s="41"/>
      <c r="AE439" s="41" t="e">
        <f t="shared" si="61"/>
        <v>#DIV/0!</v>
      </c>
      <c r="AF439" s="41" t="e">
        <f>X439/AU439</f>
        <v>#DIV/0!</v>
      </c>
      <c r="AG439" s="41" t="e">
        <f t="shared" si="65"/>
        <v>#DIV/0!</v>
      </c>
      <c r="AH439" s="36">
        <v>45536</v>
      </c>
      <c r="AI439" s="36"/>
      <c r="AJ439" s="36"/>
      <c r="AK439" s="36"/>
      <c r="AL439" s="36"/>
      <c r="AM439" s="46"/>
      <c r="AN439" s="40"/>
      <c r="AO439" s="40"/>
      <c r="AP439" s="40"/>
      <c r="AQ439" s="40"/>
      <c r="AR439" s="48"/>
      <c r="AS439" s="37"/>
      <c r="AT439" s="37"/>
      <c r="AU439" s="47"/>
      <c r="AV439" s="37"/>
      <c r="AW439" s="37">
        <v>10</v>
      </c>
      <c r="AX439" s="30">
        <f>(J439*10)/100</f>
        <v>147751.91200000001</v>
      </c>
      <c r="AY439" s="40"/>
    </row>
    <row r="440" spans="1:51" ht="42" customHeight="1" x14ac:dyDescent="0.25">
      <c r="A440" s="59" t="s">
        <v>2452</v>
      </c>
      <c r="B440" s="60">
        <v>45349</v>
      </c>
      <c r="C440" s="37" t="s">
        <v>2189</v>
      </c>
      <c r="D440" s="35"/>
      <c r="E440" s="39" t="s">
        <v>2453</v>
      </c>
      <c r="F440" s="36"/>
      <c r="G440" s="37"/>
      <c r="H440" s="40"/>
      <c r="I440" s="62" t="s">
        <v>1070</v>
      </c>
      <c r="J440" s="61">
        <v>2840763.67</v>
      </c>
      <c r="K440" s="41">
        <v>0</v>
      </c>
      <c r="L440" s="54">
        <v>0</v>
      </c>
      <c r="M440" s="54">
        <v>0</v>
      </c>
      <c r="N440" s="42">
        <f t="shared" si="67"/>
        <v>100</v>
      </c>
      <c r="O440" s="43">
        <f t="shared" si="62"/>
        <v>2840763.67</v>
      </c>
      <c r="P440" s="41"/>
      <c r="Q440" s="43">
        <f t="shared" si="63"/>
        <v>2840763.67</v>
      </c>
      <c r="R440" s="41">
        <v>0</v>
      </c>
      <c r="S440" s="30">
        <f t="shared" si="66"/>
        <v>0</v>
      </c>
      <c r="T440" s="30">
        <f t="shared" si="66"/>
        <v>0</v>
      </c>
      <c r="U440" s="30" t="e">
        <f>T440/X440</f>
        <v>#DIV/0!</v>
      </c>
      <c r="V440" s="41" t="e">
        <f>T440/X440</f>
        <v>#DIV/0!</v>
      </c>
      <c r="W440" s="41" t="e">
        <f>V440*AU440</f>
        <v>#DIV/0!</v>
      </c>
      <c r="X440" s="41">
        <f t="shared" si="64"/>
        <v>0</v>
      </c>
      <c r="Y440" s="41">
        <v>0</v>
      </c>
      <c r="Z440" s="41">
        <v>0</v>
      </c>
      <c r="AA440" s="41">
        <v>0</v>
      </c>
      <c r="AB440" s="41"/>
      <c r="AC440" s="41" t="e">
        <f t="shared" si="60"/>
        <v>#DIV/0!</v>
      </c>
      <c r="AD440" s="41"/>
      <c r="AE440" s="41" t="e">
        <f t="shared" si="61"/>
        <v>#DIV/0!</v>
      </c>
      <c r="AF440" s="41" t="e">
        <f>X440/AU440</f>
        <v>#DIV/0!</v>
      </c>
      <c r="AG440" s="41" t="e">
        <f t="shared" si="65"/>
        <v>#DIV/0!</v>
      </c>
      <c r="AH440" s="36">
        <v>45413</v>
      </c>
      <c r="AI440" s="36"/>
      <c r="AJ440" s="36"/>
      <c r="AK440" s="36"/>
      <c r="AL440" s="36"/>
      <c r="AM440" s="46"/>
      <c r="AN440" s="40"/>
      <c r="AO440" s="40"/>
      <c r="AP440" s="40"/>
      <c r="AQ440" s="40"/>
      <c r="AR440" s="48"/>
      <c r="AS440" s="37"/>
      <c r="AT440" s="37"/>
      <c r="AU440" s="47"/>
      <c r="AV440" s="37"/>
      <c r="AW440" s="37">
        <v>10</v>
      </c>
      <c r="AX440" s="30">
        <f>(J440*10)/100</f>
        <v>284076.36699999997</v>
      </c>
      <c r="AY440" s="40"/>
    </row>
    <row r="441" spans="1:51" ht="42" customHeight="1" x14ac:dyDescent="0.25">
      <c r="A441" s="59" t="s">
        <v>2454</v>
      </c>
      <c r="B441" s="60">
        <v>45349</v>
      </c>
      <c r="C441" s="37">
        <v>1416</v>
      </c>
      <c r="D441" s="35"/>
      <c r="E441" s="39" t="s">
        <v>2455</v>
      </c>
      <c r="F441" s="36"/>
      <c r="G441" s="37"/>
      <c r="H441" s="40"/>
      <c r="I441" s="62" t="s">
        <v>2456</v>
      </c>
      <c r="J441" s="61">
        <v>367610100</v>
      </c>
      <c r="K441" s="41">
        <v>0</v>
      </c>
      <c r="L441" s="54">
        <v>0</v>
      </c>
      <c r="M441" s="54">
        <v>0</v>
      </c>
      <c r="N441" s="42">
        <f t="shared" si="67"/>
        <v>100</v>
      </c>
      <c r="O441" s="43">
        <f t="shared" si="62"/>
        <v>367610100</v>
      </c>
      <c r="P441" s="41"/>
      <c r="Q441" s="43">
        <f t="shared" si="63"/>
        <v>367610100</v>
      </c>
      <c r="R441" s="41">
        <v>0</v>
      </c>
      <c r="S441" s="30">
        <f t="shared" si="66"/>
        <v>0</v>
      </c>
      <c r="T441" s="30">
        <f t="shared" si="66"/>
        <v>0</v>
      </c>
      <c r="U441" s="30" t="e">
        <f>T441/X441</f>
        <v>#DIV/0!</v>
      </c>
      <c r="V441" s="41" t="e">
        <f>T441/X441</f>
        <v>#DIV/0!</v>
      </c>
      <c r="W441" s="41" t="e">
        <f>V441*AU441</f>
        <v>#DIV/0!</v>
      </c>
      <c r="X441" s="41">
        <f t="shared" si="64"/>
        <v>0</v>
      </c>
      <c r="Y441" s="41">
        <v>0</v>
      </c>
      <c r="Z441" s="41">
        <v>0</v>
      </c>
      <c r="AA441" s="41">
        <v>0</v>
      </c>
      <c r="AB441" s="41"/>
      <c r="AC441" s="41" t="e">
        <f t="shared" si="60"/>
        <v>#DIV/0!</v>
      </c>
      <c r="AD441" s="41"/>
      <c r="AE441" s="41" t="e">
        <f t="shared" si="61"/>
        <v>#DIV/0!</v>
      </c>
      <c r="AF441" s="41" t="e">
        <f>X441/AU441</f>
        <v>#DIV/0!</v>
      </c>
      <c r="AG441" s="41" t="e">
        <f t="shared" si="65"/>
        <v>#DIV/0!</v>
      </c>
      <c r="AH441" s="36">
        <v>45413</v>
      </c>
      <c r="AI441" s="36">
        <v>45505</v>
      </c>
      <c r="AJ441" s="36"/>
      <c r="AK441" s="36"/>
      <c r="AL441" s="36"/>
      <c r="AM441" s="46"/>
      <c r="AN441" s="40"/>
      <c r="AO441" s="40"/>
      <c r="AP441" s="40"/>
      <c r="AQ441" s="40"/>
      <c r="AR441" s="48"/>
      <c r="AS441" s="37"/>
      <c r="AT441" s="37"/>
      <c r="AU441" s="47"/>
      <c r="AV441" s="37"/>
      <c r="AW441" s="37">
        <v>10</v>
      </c>
      <c r="AX441" s="30">
        <f>(J441*10)/100</f>
        <v>36761010</v>
      </c>
      <c r="AY441" s="40"/>
    </row>
    <row r="442" spans="1:51" ht="42.75" customHeight="1" x14ac:dyDescent="0.25">
      <c r="A442" s="59" t="s">
        <v>2457</v>
      </c>
      <c r="B442" s="60">
        <v>45349</v>
      </c>
      <c r="C442" s="37">
        <v>1512</v>
      </c>
      <c r="D442" s="35"/>
      <c r="E442" s="39" t="s">
        <v>2458</v>
      </c>
      <c r="F442" s="36"/>
      <c r="G442" s="37"/>
      <c r="H442" s="40"/>
      <c r="I442" s="62" t="s">
        <v>2424</v>
      </c>
      <c r="J442" s="61">
        <v>300961.32</v>
      </c>
      <c r="K442" s="41">
        <v>0</v>
      </c>
      <c r="L442" s="54">
        <v>0</v>
      </c>
      <c r="M442" s="54">
        <v>0</v>
      </c>
      <c r="N442" s="42">
        <f t="shared" si="67"/>
        <v>100</v>
      </c>
      <c r="O442" s="43">
        <f t="shared" si="62"/>
        <v>300961.32</v>
      </c>
      <c r="P442" s="41"/>
      <c r="Q442" s="43">
        <f t="shared" si="63"/>
        <v>300961.32</v>
      </c>
      <c r="R442" s="41">
        <v>0</v>
      </c>
      <c r="S442" s="30">
        <f t="shared" si="66"/>
        <v>0</v>
      </c>
      <c r="T442" s="30">
        <f t="shared" si="66"/>
        <v>0</v>
      </c>
      <c r="U442" s="30" t="e">
        <f>T442/X442</f>
        <v>#DIV/0!</v>
      </c>
      <c r="V442" s="41" t="e">
        <f>T442/X442</f>
        <v>#DIV/0!</v>
      </c>
      <c r="W442" s="41" t="e">
        <f>V442*AU442</f>
        <v>#DIV/0!</v>
      </c>
      <c r="X442" s="41">
        <f t="shared" si="64"/>
        <v>0</v>
      </c>
      <c r="Y442" s="41">
        <v>0</v>
      </c>
      <c r="Z442" s="41">
        <v>0</v>
      </c>
      <c r="AA442" s="41">
        <v>0</v>
      </c>
      <c r="AB442" s="41"/>
      <c r="AC442" s="41" t="e">
        <f t="shared" si="60"/>
        <v>#DIV/0!</v>
      </c>
      <c r="AD442" s="41"/>
      <c r="AE442" s="41" t="e">
        <f t="shared" si="61"/>
        <v>#DIV/0!</v>
      </c>
      <c r="AF442" s="41" t="e">
        <f>X442/AU442</f>
        <v>#DIV/0!</v>
      </c>
      <c r="AG442" s="41" t="e">
        <f t="shared" si="65"/>
        <v>#DIV/0!</v>
      </c>
      <c r="AH442" s="36">
        <v>45413</v>
      </c>
      <c r="AI442" s="36"/>
      <c r="AJ442" s="36"/>
      <c r="AK442" s="36"/>
      <c r="AL442" s="36"/>
      <c r="AM442" s="46"/>
      <c r="AN442" s="40"/>
      <c r="AO442" s="40"/>
      <c r="AP442" s="40"/>
      <c r="AQ442" s="40"/>
      <c r="AR442" s="48"/>
      <c r="AS442" s="37"/>
      <c r="AT442" s="37"/>
      <c r="AU442" s="47"/>
      <c r="AV442" s="37"/>
      <c r="AW442" s="37">
        <v>10</v>
      </c>
      <c r="AX442" s="30">
        <f>(J442*10)/100</f>
        <v>30096.132000000001</v>
      </c>
      <c r="AY442" s="40"/>
    </row>
    <row r="443" spans="1:51" ht="42.75" customHeight="1" x14ac:dyDescent="0.25">
      <c r="A443" s="59" t="s">
        <v>2459</v>
      </c>
      <c r="B443" s="60">
        <v>45349</v>
      </c>
      <c r="C443" s="37">
        <v>1416</v>
      </c>
      <c r="D443" s="35"/>
      <c r="E443" s="39" t="s">
        <v>2460</v>
      </c>
      <c r="F443" s="36"/>
      <c r="G443" s="37"/>
      <c r="H443" s="40"/>
      <c r="I443" s="64" t="s">
        <v>1218</v>
      </c>
      <c r="J443" s="61">
        <v>2304967.5</v>
      </c>
      <c r="K443" s="41">
        <v>0</v>
      </c>
      <c r="L443" s="54">
        <v>0</v>
      </c>
      <c r="M443" s="54">
        <v>0</v>
      </c>
      <c r="N443" s="42">
        <f t="shared" si="67"/>
        <v>100</v>
      </c>
      <c r="O443" s="43">
        <f t="shared" si="62"/>
        <v>2304967.5</v>
      </c>
      <c r="P443" s="41"/>
      <c r="Q443" s="43">
        <f t="shared" si="63"/>
        <v>2304967.5</v>
      </c>
      <c r="R443" s="41">
        <v>0</v>
      </c>
      <c r="S443" s="30">
        <f t="shared" si="66"/>
        <v>0</v>
      </c>
      <c r="T443" s="30">
        <f t="shared" si="66"/>
        <v>0</v>
      </c>
      <c r="U443" s="30" t="e">
        <f>T443/X443</f>
        <v>#DIV/0!</v>
      </c>
      <c r="V443" s="41" t="e">
        <f>T443/X443</f>
        <v>#DIV/0!</v>
      </c>
      <c r="W443" s="41" t="e">
        <f>V443*AU443</f>
        <v>#DIV/0!</v>
      </c>
      <c r="X443" s="41">
        <f t="shared" si="64"/>
        <v>0</v>
      </c>
      <c r="Y443" s="41">
        <v>0</v>
      </c>
      <c r="Z443" s="41">
        <v>0</v>
      </c>
      <c r="AA443" s="41">
        <v>0</v>
      </c>
      <c r="AB443" s="41"/>
      <c r="AC443" s="41" t="e">
        <f t="shared" si="60"/>
        <v>#DIV/0!</v>
      </c>
      <c r="AD443" s="41"/>
      <c r="AE443" s="41" t="e">
        <f t="shared" si="61"/>
        <v>#DIV/0!</v>
      </c>
      <c r="AF443" s="41" t="e">
        <f>X443/AU443</f>
        <v>#DIV/0!</v>
      </c>
      <c r="AG443" s="41" t="e">
        <f t="shared" si="65"/>
        <v>#DIV/0!</v>
      </c>
      <c r="AH443" s="36">
        <v>45413</v>
      </c>
      <c r="AI443" s="36"/>
      <c r="AJ443" s="36"/>
      <c r="AK443" s="36"/>
      <c r="AL443" s="36"/>
      <c r="AM443" s="46"/>
      <c r="AN443" s="40"/>
      <c r="AO443" s="40"/>
      <c r="AP443" s="40"/>
      <c r="AQ443" s="40"/>
      <c r="AR443" s="48"/>
      <c r="AS443" s="37"/>
      <c r="AT443" s="37"/>
      <c r="AU443" s="47"/>
      <c r="AV443" s="37"/>
      <c r="AW443" s="37">
        <v>10</v>
      </c>
      <c r="AX443" s="30">
        <f>(J443*10)/100</f>
        <v>230496.75</v>
      </c>
      <c r="AY443" s="40"/>
    </row>
    <row r="444" spans="1:51" ht="42.75" customHeight="1" x14ac:dyDescent="0.25">
      <c r="A444" s="59" t="s">
        <v>2461</v>
      </c>
      <c r="B444" s="60">
        <v>45350</v>
      </c>
      <c r="C444" s="37">
        <v>1416</v>
      </c>
      <c r="D444" s="35"/>
      <c r="E444" s="39" t="s">
        <v>2462</v>
      </c>
      <c r="F444" s="36"/>
      <c r="G444" s="37"/>
      <c r="H444" s="40"/>
      <c r="I444" s="62" t="s">
        <v>2463</v>
      </c>
      <c r="J444" s="61">
        <v>92834</v>
      </c>
      <c r="K444" s="41">
        <v>0</v>
      </c>
      <c r="L444" s="54">
        <v>0</v>
      </c>
      <c r="M444" s="54">
        <v>0</v>
      </c>
      <c r="N444" s="42">
        <f t="shared" si="67"/>
        <v>100</v>
      </c>
      <c r="O444" s="43">
        <f t="shared" si="62"/>
        <v>92834</v>
      </c>
      <c r="P444" s="41"/>
      <c r="Q444" s="43">
        <f t="shared" si="63"/>
        <v>92834</v>
      </c>
      <c r="R444" s="41">
        <v>0</v>
      </c>
      <c r="S444" s="30">
        <f t="shared" si="66"/>
        <v>0</v>
      </c>
      <c r="T444" s="30">
        <f t="shared" si="66"/>
        <v>0</v>
      </c>
      <c r="U444" s="30" t="e">
        <f>T444/X444</f>
        <v>#DIV/0!</v>
      </c>
      <c r="V444" s="41" t="e">
        <f>T444/X444</f>
        <v>#DIV/0!</v>
      </c>
      <c r="W444" s="41" t="e">
        <f>V444*AU444</f>
        <v>#DIV/0!</v>
      </c>
      <c r="X444" s="41">
        <f t="shared" si="64"/>
        <v>0</v>
      </c>
      <c r="Y444" s="41">
        <v>0</v>
      </c>
      <c r="Z444" s="41">
        <v>0</v>
      </c>
      <c r="AA444" s="41">
        <v>0</v>
      </c>
      <c r="AB444" s="41"/>
      <c r="AC444" s="41" t="e">
        <f t="shared" si="60"/>
        <v>#DIV/0!</v>
      </c>
      <c r="AD444" s="41"/>
      <c r="AE444" s="41" t="e">
        <f t="shared" si="61"/>
        <v>#DIV/0!</v>
      </c>
      <c r="AF444" s="41" t="e">
        <f>X444/AU444</f>
        <v>#DIV/0!</v>
      </c>
      <c r="AG444" s="41" t="e">
        <f t="shared" si="65"/>
        <v>#DIV/0!</v>
      </c>
      <c r="AH444" s="60">
        <v>45413</v>
      </c>
      <c r="AI444" s="36"/>
      <c r="AJ444" s="36"/>
      <c r="AK444" s="36"/>
      <c r="AL444" s="36"/>
      <c r="AM444" s="46"/>
      <c r="AN444" s="40"/>
      <c r="AO444" s="40"/>
      <c r="AP444" s="40"/>
      <c r="AQ444" s="40"/>
      <c r="AR444" s="48"/>
      <c r="AS444" s="37"/>
      <c r="AT444" s="37"/>
      <c r="AU444" s="47"/>
      <c r="AV444" s="37"/>
      <c r="AW444" s="37">
        <v>10</v>
      </c>
      <c r="AX444" s="30">
        <f>(J444*10)/100</f>
        <v>9283.4</v>
      </c>
      <c r="AY444" s="40"/>
    </row>
    <row r="445" spans="1:51" ht="42.75" customHeight="1" x14ac:dyDescent="0.25">
      <c r="A445" s="59" t="s">
        <v>2464</v>
      </c>
      <c r="B445" s="60">
        <v>45350</v>
      </c>
      <c r="C445" s="37" t="s">
        <v>2465</v>
      </c>
      <c r="D445" s="35"/>
      <c r="E445" s="39" t="s">
        <v>2466</v>
      </c>
      <c r="F445" s="36"/>
      <c r="G445" s="37"/>
      <c r="H445" s="40"/>
      <c r="I445" s="62" t="s">
        <v>1746</v>
      </c>
      <c r="J445" s="61" t="s">
        <v>2467</v>
      </c>
      <c r="K445" s="41">
        <v>0</v>
      </c>
      <c r="L445" s="54">
        <v>0</v>
      </c>
      <c r="M445" s="54">
        <v>0</v>
      </c>
      <c r="N445" s="42" t="e">
        <f t="shared" si="67"/>
        <v>#VALUE!</v>
      </c>
      <c r="O445" s="43" t="e">
        <f t="shared" si="62"/>
        <v>#VALUE!</v>
      </c>
      <c r="P445" s="41"/>
      <c r="Q445" s="43" t="e">
        <f t="shared" si="63"/>
        <v>#VALUE!</v>
      </c>
      <c r="R445" s="41">
        <v>0</v>
      </c>
      <c r="S445" s="30">
        <f t="shared" si="66"/>
        <v>0</v>
      </c>
      <c r="T445" s="30">
        <f t="shared" si="66"/>
        <v>0</v>
      </c>
      <c r="U445" s="30" t="e">
        <f>T445/X445</f>
        <v>#DIV/0!</v>
      </c>
      <c r="V445" s="41" t="e">
        <f>T445/X445</f>
        <v>#DIV/0!</v>
      </c>
      <c r="W445" s="41" t="e">
        <f>V445*AU445</f>
        <v>#DIV/0!</v>
      </c>
      <c r="X445" s="41">
        <f t="shared" si="64"/>
        <v>0</v>
      </c>
      <c r="Y445" s="41">
        <v>0</v>
      </c>
      <c r="Z445" s="41">
        <v>0</v>
      </c>
      <c r="AA445" s="41">
        <v>0</v>
      </c>
      <c r="AB445" s="41"/>
      <c r="AC445" s="41" t="e">
        <f t="shared" si="60"/>
        <v>#DIV/0!</v>
      </c>
      <c r="AD445" s="41"/>
      <c r="AE445" s="41" t="e">
        <f t="shared" si="61"/>
        <v>#DIV/0!</v>
      </c>
      <c r="AF445" s="41" t="e">
        <f>X445/AU445</f>
        <v>#DIV/0!</v>
      </c>
      <c r="AG445" s="41" t="e">
        <f t="shared" si="65"/>
        <v>#DIV/0!</v>
      </c>
      <c r="AH445" s="60">
        <v>45413</v>
      </c>
      <c r="AI445" s="36"/>
      <c r="AJ445" s="36"/>
      <c r="AK445" s="36"/>
      <c r="AL445" s="36"/>
      <c r="AM445" s="46"/>
      <c r="AN445" s="40"/>
      <c r="AO445" s="40"/>
      <c r="AP445" s="40"/>
      <c r="AQ445" s="40"/>
      <c r="AR445" s="48"/>
      <c r="AS445" s="37"/>
      <c r="AT445" s="37"/>
      <c r="AU445" s="47"/>
      <c r="AV445" s="37"/>
      <c r="AW445" s="37">
        <v>10</v>
      </c>
      <c r="AX445" s="30" t="e">
        <f>(J445*10)/100</f>
        <v>#VALUE!</v>
      </c>
      <c r="AY445" s="40"/>
    </row>
    <row r="446" spans="1:51" ht="42.75" customHeight="1" x14ac:dyDescent="0.25">
      <c r="A446" s="59" t="s">
        <v>2468</v>
      </c>
      <c r="B446" s="60">
        <v>45350</v>
      </c>
      <c r="C446" s="37">
        <v>1416</v>
      </c>
      <c r="D446" s="35"/>
      <c r="E446" s="39" t="s">
        <v>2469</v>
      </c>
      <c r="F446" s="36"/>
      <c r="G446" s="37"/>
      <c r="H446" s="40"/>
      <c r="I446" s="62" t="s">
        <v>787</v>
      </c>
      <c r="J446" s="61">
        <v>188409760</v>
      </c>
      <c r="K446" s="41">
        <v>0</v>
      </c>
      <c r="L446" s="54">
        <v>0</v>
      </c>
      <c r="M446" s="54">
        <v>0</v>
      </c>
      <c r="N446" s="42">
        <f t="shared" si="67"/>
        <v>100</v>
      </c>
      <c r="O446" s="43">
        <f t="shared" si="62"/>
        <v>188409760</v>
      </c>
      <c r="P446" s="41"/>
      <c r="Q446" s="43">
        <f t="shared" si="63"/>
        <v>188409760</v>
      </c>
      <c r="R446" s="41">
        <v>0</v>
      </c>
      <c r="S446" s="30">
        <f t="shared" si="66"/>
        <v>0</v>
      </c>
      <c r="T446" s="30">
        <f t="shared" si="66"/>
        <v>0</v>
      </c>
      <c r="U446" s="30" t="e">
        <f>T446/X446</f>
        <v>#DIV/0!</v>
      </c>
      <c r="V446" s="41" t="e">
        <f>T446/X446</f>
        <v>#DIV/0!</v>
      </c>
      <c r="W446" s="41" t="e">
        <f>V446*AU446</f>
        <v>#DIV/0!</v>
      </c>
      <c r="X446" s="41">
        <f t="shared" si="64"/>
        <v>0</v>
      </c>
      <c r="Y446" s="41">
        <v>0</v>
      </c>
      <c r="Z446" s="41">
        <v>0</v>
      </c>
      <c r="AA446" s="41">
        <v>0</v>
      </c>
      <c r="AB446" s="41"/>
      <c r="AC446" s="41" t="e">
        <f t="shared" si="60"/>
        <v>#DIV/0!</v>
      </c>
      <c r="AD446" s="41"/>
      <c r="AE446" s="41" t="e">
        <f t="shared" si="61"/>
        <v>#DIV/0!</v>
      </c>
      <c r="AF446" s="41" t="e">
        <f>X446/AU446</f>
        <v>#DIV/0!</v>
      </c>
      <c r="AG446" s="41" t="e">
        <f t="shared" si="65"/>
        <v>#DIV/0!</v>
      </c>
      <c r="AH446" s="60">
        <v>45413</v>
      </c>
      <c r="AI446" s="36"/>
      <c r="AJ446" s="36"/>
      <c r="AK446" s="36"/>
      <c r="AL446" s="36"/>
      <c r="AM446" s="46"/>
      <c r="AN446" s="40"/>
      <c r="AO446" s="40"/>
      <c r="AP446" s="40"/>
      <c r="AQ446" s="40"/>
      <c r="AR446" s="48"/>
      <c r="AS446" s="37"/>
      <c r="AT446" s="37"/>
      <c r="AU446" s="47"/>
      <c r="AV446" s="37"/>
      <c r="AW446" s="37">
        <v>10</v>
      </c>
      <c r="AX446" s="30">
        <f>(J446*10)/100</f>
        <v>18840976</v>
      </c>
      <c r="AY446" s="40"/>
    </row>
    <row r="447" spans="1:51" ht="42.75" customHeight="1" x14ac:dyDescent="0.25">
      <c r="A447" s="59" t="s">
        <v>2470</v>
      </c>
      <c r="B447" s="60">
        <v>45350</v>
      </c>
      <c r="C447" s="37" t="s">
        <v>2189</v>
      </c>
      <c r="D447" s="35"/>
      <c r="E447" s="39" t="s">
        <v>2471</v>
      </c>
      <c r="F447" s="36"/>
      <c r="G447" s="37"/>
      <c r="H447" s="40"/>
      <c r="I447" s="62" t="s">
        <v>2472</v>
      </c>
      <c r="J447" s="61">
        <v>588058.80000000005</v>
      </c>
      <c r="K447" s="41">
        <v>0</v>
      </c>
      <c r="L447" s="54">
        <v>0</v>
      </c>
      <c r="M447" s="54">
        <v>0</v>
      </c>
      <c r="N447" s="42">
        <f t="shared" si="67"/>
        <v>100</v>
      </c>
      <c r="O447" s="43">
        <f t="shared" si="62"/>
        <v>588058.80000000005</v>
      </c>
      <c r="P447" s="41"/>
      <c r="Q447" s="43">
        <f t="shared" si="63"/>
        <v>588058.80000000005</v>
      </c>
      <c r="R447" s="41">
        <v>0</v>
      </c>
      <c r="S447" s="30">
        <f t="shared" si="66"/>
        <v>0</v>
      </c>
      <c r="T447" s="30">
        <f t="shared" si="66"/>
        <v>0</v>
      </c>
      <c r="U447" s="30" t="e">
        <f>T447/X447</f>
        <v>#DIV/0!</v>
      </c>
      <c r="V447" s="41" t="e">
        <f>T447/X447</f>
        <v>#DIV/0!</v>
      </c>
      <c r="W447" s="41" t="e">
        <f>V447*AU447</f>
        <v>#DIV/0!</v>
      </c>
      <c r="X447" s="41">
        <f t="shared" si="64"/>
        <v>0</v>
      </c>
      <c r="Y447" s="41">
        <v>0</v>
      </c>
      <c r="Z447" s="41">
        <v>0</v>
      </c>
      <c r="AA447" s="41">
        <v>0</v>
      </c>
      <c r="AB447" s="41"/>
      <c r="AC447" s="41" t="e">
        <f t="shared" si="60"/>
        <v>#DIV/0!</v>
      </c>
      <c r="AD447" s="41"/>
      <c r="AE447" s="41" t="e">
        <f t="shared" si="61"/>
        <v>#DIV/0!</v>
      </c>
      <c r="AF447" s="41" t="e">
        <f>X447/AU447</f>
        <v>#DIV/0!</v>
      </c>
      <c r="AG447" s="41" t="e">
        <f t="shared" si="65"/>
        <v>#DIV/0!</v>
      </c>
      <c r="AH447" s="60">
        <v>45413</v>
      </c>
      <c r="AI447" s="36"/>
      <c r="AJ447" s="36"/>
      <c r="AK447" s="36"/>
      <c r="AL447" s="36"/>
      <c r="AM447" s="46"/>
      <c r="AN447" s="40"/>
      <c r="AO447" s="40"/>
      <c r="AP447" s="40"/>
      <c r="AQ447" s="40"/>
      <c r="AR447" s="48"/>
      <c r="AS447" s="37"/>
      <c r="AT447" s="37"/>
      <c r="AU447" s="47"/>
      <c r="AV447" s="37"/>
      <c r="AW447" s="37">
        <v>10</v>
      </c>
      <c r="AX447" s="30">
        <f>(J447*10)/100</f>
        <v>58805.88</v>
      </c>
      <c r="AY447" s="40"/>
    </row>
    <row r="448" spans="1:51" ht="42.75" customHeight="1" x14ac:dyDescent="0.25">
      <c r="A448" s="59" t="s">
        <v>2473</v>
      </c>
      <c r="B448" s="60">
        <v>45350</v>
      </c>
      <c r="C448" s="37" t="s">
        <v>2189</v>
      </c>
      <c r="D448" s="35"/>
      <c r="E448" s="39" t="s">
        <v>2474</v>
      </c>
      <c r="F448" s="36"/>
      <c r="G448" s="37"/>
      <c r="H448" s="40"/>
      <c r="I448" s="62" t="s">
        <v>2475</v>
      </c>
      <c r="J448" s="61">
        <v>1272030</v>
      </c>
      <c r="K448" s="41">
        <v>0</v>
      </c>
      <c r="L448" s="54">
        <v>0</v>
      </c>
      <c r="M448" s="54">
        <v>0</v>
      </c>
      <c r="N448" s="42">
        <f t="shared" si="67"/>
        <v>100</v>
      </c>
      <c r="O448" s="43">
        <f t="shared" si="62"/>
        <v>1272030</v>
      </c>
      <c r="P448" s="41"/>
      <c r="Q448" s="43">
        <f t="shared" si="63"/>
        <v>1272030</v>
      </c>
      <c r="R448" s="41">
        <v>0</v>
      </c>
      <c r="S448" s="30">
        <f t="shared" si="66"/>
        <v>0</v>
      </c>
      <c r="T448" s="30">
        <f t="shared" si="66"/>
        <v>0</v>
      </c>
      <c r="U448" s="30" t="e">
        <f>T448/X448</f>
        <v>#DIV/0!</v>
      </c>
      <c r="V448" s="41" t="e">
        <f>T448/X448</f>
        <v>#DIV/0!</v>
      </c>
      <c r="W448" s="41" t="e">
        <f>V448*AU448</f>
        <v>#DIV/0!</v>
      </c>
      <c r="X448" s="41">
        <f t="shared" si="64"/>
        <v>0</v>
      </c>
      <c r="Y448" s="41">
        <v>0</v>
      </c>
      <c r="Z448" s="41">
        <v>0</v>
      </c>
      <c r="AA448" s="41">
        <v>0</v>
      </c>
      <c r="AB448" s="41"/>
      <c r="AC448" s="41" t="e">
        <f t="shared" si="60"/>
        <v>#DIV/0!</v>
      </c>
      <c r="AD448" s="41"/>
      <c r="AE448" s="41" t="e">
        <f t="shared" si="61"/>
        <v>#DIV/0!</v>
      </c>
      <c r="AF448" s="41" t="e">
        <f>X448/AU448</f>
        <v>#DIV/0!</v>
      </c>
      <c r="AG448" s="41" t="e">
        <f t="shared" si="65"/>
        <v>#DIV/0!</v>
      </c>
      <c r="AH448" s="60">
        <v>45413</v>
      </c>
      <c r="AI448" s="36"/>
      <c r="AJ448" s="36"/>
      <c r="AK448" s="36"/>
      <c r="AL448" s="36"/>
      <c r="AM448" s="46"/>
      <c r="AN448" s="40"/>
      <c r="AO448" s="40"/>
      <c r="AP448" s="40"/>
      <c r="AQ448" s="40"/>
      <c r="AR448" s="48"/>
      <c r="AS448" s="37"/>
      <c r="AT448" s="37"/>
      <c r="AU448" s="47"/>
      <c r="AV448" s="37"/>
      <c r="AW448" s="37">
        <v>10</v>
      </c>
      <c r="AX448" s="30">
        <f>(J448*10)/100</f>
        <v>127203</v>
      </c>
      <c r="AY448" s="40"/>
    </row>
    <row r="449" spans="1:51" ht="42.75" customHeight="1" x14ac:dyDescent="0.25">
      <c r="A449" s="59" t="s">
        <v>2476</v>
      </c>
      <c r="B449" s="60">
        <v>45350</v>
      </c>
      <c r="C449" s="37" t="s">
        <v>2189</v>
      </c>
      <c r="D449" s="35"/>
      <c r="E449" s="39" t="s">
        <v>2477</v>
      </c>
      <c r="F449" s="36"/>
      <c r="G449" s="37"/>
      <c r="H449" s="40"/>
      <c r="I449" s="62" t="s">
        <v>2478</v>
      </c>
      <c r="J449" s="61">
        <v>156739.79999999999</v>
      </c>
      <c r="K449" s="41">
        <v>0</v>
      </c>
      <c r="L449" s="54">
        <v>0</v>
      </c>
      <c r="M449" s="54">
        <v>0</v>
      </c>
      <c r="N449" s="42">
        <f t="shared" si="67"/>
        <v>100</v>
      </c>
      <c r="O449" s="43">
        <f t="shared" si="62"/>
        <v>156739.79999999999</v>
      </c>
      <c r="P449" s="41"/>
      <c r="Q449" s="43">
        <f t="shared" si="63"/>
        <v>156739.79999999999</v>
      </c>
      <c r="R449" s="41">
        <v>0</v>
      </c>
      <c r="S449" s="30">
        <f t="shared" si="66"/>
        <v>0</v>
      </c>
      <c r="T449" s="30">
        <f t="shared" si="66"/>
        <v>0</v>
      </c>
      <c r="U449" s="30" t="e">
        <f>T449/X449</f>
        <v>#DIV/0!</v>
      </c>
      <c r="V449" s="41" t="e">
        <f>T449/X449</f>
        <v>#DIV/0!</v>
      </c>
      <c r="W449" s="41" t="e">
        <f>V449*AU449</f>
        <v>#DIV/0!</v>
      </c>
      <c r="X449" s="41">
        <f t="shared" si="64"/>
        <v>0</v>
      </c>
      <c r="Y449" s="41">
        <v>0</v>
      </c>
      <c r="Z449" s="41">
        <v>0</v>
      </c>
      <c r="AA449" s="41">
        <v>0</v>
      </c>
      <c r="AB449" s="41"/>
      <c r="AC449" s="41" t="e">
        <f t="shared" si="60"/>
        <v>#DIV/0!</v>
      </c>
      <c r="AD449" s="41"/>
      <c r="AE449" s="41" t="e">
        <f t="shared" si="61"/>
        <v>#DIV/0!</v>
      </c>
      <c r="AF449" s="41" t="e">
        <f>X449/AU449</f>
        <v>#DIV/0!</v>
      </c>
      <c r="AG449" s="41" t="e">
        <f t="shared" si="65"/>
        <v>#DIV/0!</v>
      </c>
      <c r="AH449" s="60">
        <v>45413</v>
      </c>
      <c r="AI449" s="36"/>
      <c r="AJ449" s="36"/>
      <c r="AK449" s="36"/>
      <c r="AL449" s="36"/>
      <c r="AM449" s="46"/>
      <c r="AN449" s="40"/>
      <c r="AO449" s="40"/>
      <c r="AP449" s="40"/>
      <c r="AQ449" s="40"/>
      <c r="AR449" s="48"/>
      <c r="AS449" s="37"/>
      <c r="AT449" s="37"/>
      <c r="AU449" s="47"/>
      <c r="AV449" s="37"/>
      <c r="AW449" s="37">
        <v>10</v>
      </c>
      <c r="AX449" s="30">
        <f>(J449*10)/100</f>
        <v>15673.98</v>
      </c>
      <c r="AY449" s="40"/>
    </row>
    <row r="450" spans="1:51" ht="42.75" customHeight="1" x14ac:dyDescent="0.25">
      <c r="A450" s="59" t="s">
        <v>2479</v>
      </c>
      <c r="B450" s="60">
        <v>45350</v>
      </c>
      <c r="C450" s="37" t="s">
        <v>2189</v>
      </c>
      <c r="D450" s="35"/>
      <c r="E450" s="39" t="s">
        <v>2480</v>
      </c>
      <c r="F450" s="36"/>
      <c r="G450" s="37"/>
      <c r="H450" s="40"/>
      <c r="I450" s="62" t="s">
        <v>2481</v>
      </c>
      <c r="J450" s="61">
        <v>155554.56</v>
      </c>
      <c r="K450" s="41">
        <v>0</v>
      </c>
      <c r="L450" s="54">
        <v>0</v>
      </c>
      <c r="M450" s="54">
        <v>0</v>
      </c>
      <c r="N450" s="42">
        <f t="shared" si="67"/>
        <v>100</v>
      </c>
      <c r="O450" s="43">
        <f t="shared" si="62"/>
        <v>155554.56</v>
      </c>
      <c r="P450" s="41"/>
      <c r="Q450" s="43">
        <f t="shared" si="63"/>
        <v>155554.56</v>
      </c>
      <c r="R450" s="41">
        <v>0</v>
      </c>
      <c r="S450" s="30">
        <f t="shared" si="66"/>
        <v>0</v>
      </c>
      <c r="T450" s="30">
        <f t="shared" si="66"/>
        <v>0</v>
      </c>
      <c r="U450" s="30" t="e">
        <f>T450/X450</f>
        <v>#DIV/0!</v>
      </c>
      <c r="V450" s="41" t="e">
        <f>T450/X450</f>
        <v>#DIV/0!</v>
      </c>
      <c r="W450" s="41" t="e">
        <f>V450*AU450</f>
        <v>#DIV/0!</v>
      </c>
      <c r="X450" s="41">
        <f t="shared" si="64"/>
        <v>0</v>
      </c>
      <c r="Y450" s="41">
        <v>0</v>
      </c>
      <c r="Z450" s="41">
        <v>0</v>
      </c>
      <c r="AA450" s="41">
        <v>0</v>
      </c>
      <c r="AB450" s="41"/>
      <c r="AC450" s="41" t="e">
        <f t="shared" si="60"/>
        <v>#DIV/0!</v>
      </c>
      <c r="AD450" s="41"/>
      <c r="AE450" s="41" t="e">
        <f t="shared" si="61"/>
        <v>#DIV/0!</v>
      </c>
      <c r="AF450" s="41" t="e">
        <f>X450/AU450</f>
        <v>#DIV/0!</v>
      </c>
      <c r="AG450" s="41" t="e">
        <f t="shared" si="65"/>
        <v>#DIV/0!</v>
      </c>
      <c r="AH450" s="60">
        <v>45413</v>
      </c>
      <c r="AI450" s="36"/>
      <c r="AJ450" s="36"/>
      <c r="AK450" s="36"/>
      <c r="AL450" s="36"/>
      <c r="AM450" s="46"/>
      <c r="AN450" s="40"/>
      <c r="AO450" s="40"/>
      <c r="AP450" s="40"/>
      <c r="AQ450" s="40"/>
      <c r="AR450" s="48"/>
      <c r="AS450" s="37"/>
      <c r="AT450" s="37"/>
      <c r="AU450" s="47"/>
      <c r="AV450" s="37"/>
      <c r="AW450" s="37">
        <v>10</v>
      </c>
      <c r="AX450" s="30">
        <f>(J450*10)/100</f>
        <v>15555.456</v>
      </c>
      <c r="AY450" s="40"/>
    </row>
    <row r="451" spans="1:51" ht="42.75" customHeight="1" x14ac:dyDescent="0.25">
      <c r="A451" s="59" t="s">
        <v>2482</v>
      </c>
      <c r="B451" s="60">
        <v>45350</v>
      </c>
      <c r="C451" s="37" t="s">
        <v>2189</v>
      </c>
      <c r="D451" s="35"/>
      <c r="E451" s="39" t="s">
        <v>2483</v>
      </c>
      <c r="F451" s="36"/>
      <c r="G451" s="37"/>
      <c r="H451" s="40"/>
      <c r="I451" s="62" t="s">
        <v>2484</v>
      </c>
      <c r="J451" s="61">
        <v>52561.5</v>
      </c>
      <c r="K451" s="41">
        <v>0</v>
      </c>
      <c r="L451" s="54">
        <v>0</v>
      </c>
      <c r="M451" s="54">
        <v>0</v>
      </c>
      <c r="N451" s="42">
        <f t="shared" si="67"/>
        <v>100</v>
      </c>
      <c r="O451" s="43">
        <f t="shared" si="62"/>
        <v>52561.5</v>
      </c>
      <c r="P451" s="41"/>
      <c r="Q451" s="43">
        <f t="shared" si="63"/>
        <v>52561.5</v>
      </c>
      <c r="R451" s="41">
        <v>0</v>
      </c>
      <c r="S451" s="30">
        <f t="shared" si="66"/>
        <v>0</v>
      </c>
      <c r="T451" s="30">
        <f t="shared" si="66"/>
        <v>0</v>
      </c>
      <c r="U451" s="30" t="e">
        <f>T451/X451</f>
        <v>#DIV/0!</v>
      </c>
      <c r="V451" s="41" t="e">
        <f>T451/X451</f>
        <v>#DIV/0!</v>
      </c>
      <c r="W451" s="41" t="e">
        <f>V451*AU451</f>
        <v>#DIV/0!</v>
      </c>
      <c r="X451" s="41">
        <f t="shared" si="64"/>
        <v>0</v>
      </c>
      <c r="Y451" s="41">
        <v>0</v>
      </c>
      <c r="Z451" s="41">
        <v>0</v>
      </c>
      <c r="AA451" s="41">
        <v>0</v>
      </c>
      <c r="AB451" s="41"/>
      <c r="AC451" s="41" t="e">
        <f t="shared" si="60"/>
        <v>#DIV/0!</v>
      </c>
      <c r="AD451" s="41"/>
      <c r="AE451" s="41" t="e">
        <f t="shared" si="61"/>
        <v>#DIV/0!</v>
      </c>
      <c r="AF451" s="41" t="e">
        <f>X451/AU451</f>
        <v>#DIV/0!</v>
      </c>
      <c r="AG451" s="41" t="e">
        <f t="shared" si="65"/>
        <v>#DIV/0!</v>
      </c>
      <c r="AH451" s="60">
        <v>45413</v>
      </c>
      <c r="AI451" s="36"/>
      <c r="AJ451" s="36"/>
      <c r="AK451" s="36"/>
      <c r="AL451" s="36"/>
      <c r="AM451" s="46"/>
      <c r="AN451" s="40"/>
      <c r="AO451" s="40"/>
      <c r="AP451" s="40"/>
      <c r="AQ451" s="40"/>
      <c r="AR451" s="48"/>
      <c r="AS451" s="37"/>
      <c r="AT451" s="37"/>
      <c r="AU451" s="47"/>
      <c r="AV451" s="37"/>
      <c r="AW451" s="37">
        <v>10</v>
      </c>
      <c r="AX451" s="30">
        <f>(J451*10)/100</f>
        <v>5256.15</v>
      </c>
      <c r="AY451" s="40"/>
    </row>
    <row r="452" spans="1:51" ht="42.75" customHeight="1" x14ac:dyDescent="0.25">
      <c r="A452" s="59" t="s">
        <v>2485</v>
      </c>
      <c r="B452" s="60">
        <v>45350</v>
      </c>
      <c r="C452" s="37">
        <v>1416</v>
      </c>
      <c r="D452" s="35"/>
      <c r="E452" s="39" t="s">
        <v>2486</v>
      </c>
      <c r="F452" s="36"/>
      <c r="G452" s="37"/>
      <c r="H452" s="40"/>
      <c r="I452" s="62" t="s">
        <v>2487</v>
      </c>
      <c r="J452" s="61">
        <v>449689624.02999997</v>
      </c>
      <c r="K452" s="41">
        <v>0</v>
      </c>
      <c r="L452" s="54">
        <v>0</v>
      </c>
      <c r="M452" s="54">
        <v>0</v>
      </c>
      <c r="N452" s="42">
        <f t="shared" si="67"/>
        <v>100</v>
      </c>
      <c r="O452" s="43">
        <f t="shared" si="62"/>
        <v>449689624.02999997</v>
      </c>
      <c r="P452" s="41"/>
      <c r="Q452" s="43">
        <f t="shared" si="63"/>
        <v>449689624.02999997</v>
      </c>
      <c r="R452" s="41">
        <v>0</v>
      </c>
      <c r="S452" s="30">
        <f t="shared" si="66"/>
        <v>0</v>
      </c>
      <c r="T452" s="30">
        <f t="shared" si="66"/>
        <v>0</v>
      </c>
      <c r="U452" s="30" t="e">
        <f>T452/X452</f>
        <v>#DIV/0!</v>
      </c>
      <c r="V452" s="41" t="e">
        <f>T452/X452</f>
        <v>#DIV/0!</v>
      </c>
      <c r="W452" s="41" t="e">
        <f>V452*AU452</f>
        <v>#DIV/0!</v>
      </c>
      <c r="X452" s="41">
        <f t="shared" si="64"/>
        <v>0</v>
      </c>
      <c r="Y452" s="41">
        <v>0</v>
      </c>
      <c r="Z452" s="41">
        <v>0</v>
      </c>
      <c r="AA452" s="41">
        <v>0</v>
      </c>
      <c r="AB452" s="41"/>
      <c r="AC452" s="41" t="e">
        <f t="shared" ref="AC452:AC515" si="68">AB452*V452</f>
        <v>#DIV/0!</v>
      </c>
      <c r="AD452" s="41"/>
      <c r="AE452" s="41" t="e">
        <f t="shared" ref="AE452:AE515" si="69">AD452*V452</f>
        <v>#DIV/0!</v>
      </c>
      <c r="AF452" s="41" t="e">
        <f>X452/AU452</f>
        <v>#DIV/0!</v>
      </c>
      <c r="AG452" s="41" t="e">
        <f t="shared" si="65"/>
        <v>#DIV/0!</v>
      </c>
      <c r="AH452" s="60">
        <v>45413</v>
      </c>
      <c r="AI452" s="36"/>
      <c r="AJ452" s="36"/>
      <c r="AK452" s="36"/>
      <c r="AL452" s="36"/>
      <c r="AM452" s="46"/>
      <c r="AN452" s="40"/>
      <c r="AO452" s="40"/>
      <c r="AP452" s="40"/>
      <c r="AQ452" s="40"/>
      <c r="AR452" s="48"/>
      <c r="AS452" s="37"/>
      <c r="AT452" s="37"/>
      <c r="AU452" s="47"/>
      <c r="AV452" s="37"/>
      <c r="AW452" s="37">
        <v>10</v>
      </c>
      <c r="AX452" s="30">
        <f>(J452*10)/100</f>
        <v>44968962.40299999</v>
      </c>
      <c r="AY452" s="40"/>
    </row>
    <row r="453" spans="1:51" ht="42.75" customHeight="1" x14ac:dyDescent="0.25">
      <c r="A453" s="59" t="s">
        <v>2488</v>
      </c>
      <c r="B453" s="60">
        <v>45350</v>
      </c>
      <c r="C453" s="37">
        <v>1416</v>
      </c>
      <c r="D453" s="35"/>
      <c r="E453" s="39" t="s">
        <v>2489</v>
      </c>
      <c r="F453" s="36"/>
      <c r="G453" s="37"/>
      <c r="H453" s="40"/>
      <c r="I453" s="62" t="s">
        <v>2484</v>
      </c>
      <c r="J453" s="61">
        <v>7595529</v>
      </c>
      <c r="K453" s="41">
        <v>0</v>
      </c>
      <c r="L453" s="54">
        <v>0</v>
      </c>
      <c r="M453" s="54">
        <v>0</v>
      </c>
      <c r="N453" s="42">
        <f t="shared" si="67"/>
        <v>100</v>
      </c>
      <c r="O453" s="43">
        <f t="shared" si="62"/>
        <v>7595529</v>
      </c>
      <c r="P453" s="41"/>
      <c r="Q453" s="43">
        <f t="shared" si="63"/>
        <v>7595529</v>
      </c>
      <c r="R453" s="41">
        <v>0</v>
      </c>
      <c r="S453" s="30">
        <f t="shared" si="66"/>
        <v>0</v>
      </c>
      <c r="T453" s="30">
        <f t="shared" si="66"/>
        <v>0</v>
      </c>
      <c r="U453" s="30" t="e">
        <f>T453/X453</f>
        <v>#DIV/0!</v>
      </c>
      <c r="V453" s="41" t="e">
        <f>T453/X453</f>
        <v>#DIV/0!</v>
      </c>
      <c r="W453" s="41" t="e">
        <f>V453*AU453</f>
        <v>#DIV/0!</v>
      </c>
      <c r="X453" s="41">
        <f t="shared" si="64"/>
        <v>0</v>
      </c>
      <c r="Y453" s="41">
        <v>0</v>
      </c>
      <c r="Z453" s="41">
        <v>0</v>
      </c>
      <c r="AA453" s="41">
        <v>0</v>
      </c>
      <c r="AB453" s="41"/>
      <c r="AC453" s="41" t="e">
        <f t="shared" si="68"/>
        <v>#DIV/0!</v>
      </c>
      <c r="AD453" s="41"/>
      <c r="AE453" s="41" t="e">
        <f t="shared" si="69"/>
        <v>#DIV/0!</v>
      </c>
      <c r="AF453" s="41" t="e">
        <f>X453/AU453</f>
        <v>#DIV/0!</v>
      </c>
      <c r="AG453" s="41" t="e">
        <f t="shared" si="65"/>
        <v>#DIV/0!</v>
      </c>
      <c r="AH453" s="60">
        <v>45413</v>
      </c>
      <c r="AI453" s="36"/>
      <c r="AJ453" s="36"/>
      <c r="AK453" s="36"/>
      <c r="AL453" s="36"/>
      <c r="AM453" s="46"/>
      <c r="AN453" s="40"/>
      <c r="AO453" s="40"/>
      <c r="AP453" s="40"/>
      <c r="AQ453" s="40"/>
      <c r="AR453" s="48"/>
      <c r="AS453" s="37"/>
      <c r="AT453" s="37"/>
      <c r="AU453" s="47"/>
      <c r="AV453" s="37"/>
      <c r="AW453" s="37">
        <v>10</v>
      </c>
      <c r="AX453" s="30">
        <f>(J453*10)/100</f>
        <v>759552.9</v>
      </c>
      <c r="AY453" s="40"/>
    </row>
    <row r="454" spans="1:51" ht="42.75" customHeight="1" x14ac:dyDescent="0.25">
      <c r="A454" s="59" t="s">
        <v>2490</v>
      </c>
      <c r="B454" s="60">
        <v>45350</v>
      </c>
      <c r="C454" s="37">
        <v>1416</v>
      </c>
      <c r="D454" s="35"/>
      <c r="E454" s="39" t="s">
        <v>2491</v>
      </c>
      <c r="F454" s="36"/>
      <c r="G454" s="37"/>
      <c r="H454" s="40"/>
      <c r="I454" s="62" t="s">
        <v>2492</v>
      </c>
      <c r="J454" s="61">
        <v>12242301.279999999</v>
      </c>
      <c r="K454" s="41">
        <v>0</v>
      </c>
      <c r="L454" s="54">
        <v>0</v>
      </c>
      <c r="M454" s="54">
        <v>0</v>
      </c>
      <c r="N454" s="42">
        <f t="shared" si="67"/>
        <v>100</v>
      </c>
      <c r="O454" s="43">
        <f t="shared" si="62"/>
        <v>12242301.279999999</v>
      </c>
      <c r="P454" s="41"/>
      <c r="Q454" s="43">
        <f t="shared" si="63"/>
        <v>12242301.279999999</v>
      </c>
      <c r="R454" s="41">
        <v>0</v>
      </c>
      <c r="S454" s="30">
        <f t="shared" si="66"/>
        <v>0</v>
      </c>
      <c r="T454" s="30">
        <f t="shared" si="66"/>
        <v>0</v>
      </c>
      <c r="U454" s="30" t="e">
        <f>T454/X454</f>
        <v>#DIV/0!</v>
      </c>
      <c r="V454" s="41" t="e">
        <f>T454/X454</f>
        <v>#DIV/0!</v>
      </c>
      <c r="W454" s="41" t="e">
        <f>V454*AU454</f>
        <v>#DIV/0!</v>
      </c>
      <c r="X454" s="41">
        <f t="shared" si="64"/>
        <v>0</v>
      </c>
      <c r="Y454" s="41">
        <v>0</v>
      </c>
      <c r="Z454" s="41">
        <v>0</v>
      </c>
      <c r="AA454" s="41">
        <v>0</v>
      </c>
      <c r="AB454" s="41"/>
      <c r="AC454" s="41" t="e">
        <f t="shared" si="68"/>
        <v>#DIV/0!</v>
      </c>
      <c r="AD454" s="41"/>
      <c r="AE454" s="41" t="e">
        <f t="shared" si="69"/>
        <v>#DIV/0!</v>
      </c>
      <c r="AF454" s="41" t="e">
        <f>X454/AU454</f>
        <v>#DIV/0!</v>
      </c>
      <c r="AG454" s="41" t="e">
        <f t="shared" si="65"/>
        <v>#DIV/0!</v>
      </c>
      <c r="AH454" s="60">
        <v>45536</v>
      </c>
      <c r="AI454" s="36"/>
      <c r="AJ454" s="36"/>
      <c r="AK454" s="36"/>
      <c r="AL454" s="36"/>
      <c r="AM454" s="46"/>
      <c r="AN454" s="40"/>
      <c r="AO454" s="40"/>
      <c r="AP454" s="40"/>
      <c r="AQ454" s="40"/>
      <c r="AR454" s="48"/>
      <c r="AS454" s="37"/>
      <c r="AT454" s="37"/>
      <c r="AU454" s="47"/>
      <c r="AV454" s="37"/>
      <c r="AW454" s="37">
        <v>10</v>
      </c>
      <c r="AX454" s="30">
        <f>(J454*10)/100</f>
        <v>1224230.128</v>
      </c>
      <c r="AY454" s="40"/>
    </row>
    <row r="455" spans="1:51" ht="42.75" customHeight="1" x14ac:dyDescent="0.25">
      <c r="A455" s="59" t="s">
        <v>2493</v>
      </c>
      <c r="B455" s="60">
        <v>45350</v>
      </c>
      <c r="C455" s="37">
        <v>1416</v>
      </c>
      <c r="D455" s="35"/>
      <c r="E455" s="39" t="s">
        <v>2494</v>
      </c>
      <c r="F455" s="36"/>
      <c r="G455" s="37"/>
      <c r="H455" s="40"/>
      <c r="I455" s="62" t="s">
        <v>241</v>
      </c>
      <c r="J455" s="61">
        <v>974646.96</v>
      </c>
      <c r="K455" s="41">
        <v>0</v>
      </c>
      <c r="L455" s="54">
        <v>0</v>
      </c>
      <c r="M455" s="54">
        <v>0</v>
      </c>
      <c r="N455" s="42">
        <f t="shared" si="67"/>
        <v>100</v>
      </c>
      <c r="O455" s="43">
        <f t="shared" si="62"/>
        <v>974646.96</v>
      </c>
      <c r="P455" s="41"/>
      <c r="Q455" s="43">
        <f t="shared" si="63"/>
        <v>974646.96</v>
      </c>
      <c r="R455" s="41">
        <v>0</v>
      </c>
      <c r="S455" s="30">
        <f t="shared" si="66"/>
        <v>0</v>
      </c>
      <c r="T455" s="30">
        <f t="shared" si="66"/>
        <v>0</v>
      </c>
      <c r="U455" s="30" t="e">
        <f>T455/X455</f>
        <v>#DIV/0!</v>
      </c>
      <c r="V455" s="41" t="e">
        <f>T455/X455</f>
        <v>#DIV/0!</v>
      </c>
      <c r="W455" s="41" t="e">
        <f>V455*AU455</f>
        <v>#DIV/0!</v>
      </c>
      <c r="X455" s="41">
        <f t="shared" si="64"/>
        <v>0</v>
      </c>
      <c r="Y455" s="41">
        <v>0</v>
      </c>
      <c r="Z455" s="41">
        <v>0</v>
      </c>
      <c r="AA455" s="41">
        <v>0</v>
      </c>
      <c r="AB455" s="41"/>
      <c r="AC455" s="41" t="e">
        <f t="shared" si="68"/>
        <v>#DIV/0!</v>
      </c>
      <c r="AD455" s="41"/>
      <c r="AE455" s="41" t="e">
        <f t="shared" si="69"/>
        <v>#DIV/0!</v>
      </c>
      <c r="AF455" s="41" t="e">
        <f>X455/AU455</f>
        <v>#DIV/0!</v>
      </c>
      <c r="AG455" s="41" t="e">
        <f t="shared" si="65"/>
        <v>#DIV/0!</v>
      </c>
      <c r="AH455" s="60">
        <v>45413</v>
      </c>
      <c r="AI455" s="36"/>
      <c r="AJ455" s="36"/>
      <c r="AK455" s="36"/>
      <c r="AL455" s="36"/>
      <c r="AM455" s="46"/>
      <c r="AN455" s="40"/>
      <c r="AO455" s="40"/>
      <c r="AP455" s="40"/>
      <c r="AQ455" s="40"/>
      <c r="AR455" s="48"/>
      <c r="AS455" s="37"/>
      <c r="AT455" s="37"/>
      <c r="AU455" s="47"/>
      <c r="AV455" s="37"/>
      <c r="AW455" s="37">
        <v>10</v>
      </c>
      <c r="AX455" s="30">
        <f>(J455*10)/100</f>
        <v>97464.695999999996</v>
      </c>
      <c r="AY455" s="40"/>
    </row>
    <row r="456" spans="1:51" ht="42.75" customHeight="1" x14ac:dyDescent="0.25">
      <c r="A456" s="59" t="s">
        <v>2495</v>
      </c>
      <c r="B456" s="60">
        <v>45350</v>
      </c>
      <c r="C456" s="37">
        <v>1512</v>
      </c>
      <c r="D456" s="35"/>
      <c r="E456" s="39" t="s">
        <v>2496</v>
      </c>
      <c r="F456" s="36"/>
      <c r="G456" s="37"/>
      <c r="H456" s="40"/>
      <c r="I456" s="62" t="s">
        <v>2497</v>
      </c>
      <c r="J456" s="61">
        <v>5142859.2</v>
      </c>
      <c r="K456" s="41">
        <v>0</v>
      </c>
      <c r="L456" s="54">
        <v>0</v>
      </c>
      <c r="M456" s="54">
        <v>0</v>
      </c>
      <c r="N456" s="42">
        <f t="shared" si="67"/>
        <v>100</v>
      </c>
      <c r="O456" s="43">
        <f t="shared" ref="O456:O519" si="70">J456-P456</f>
        <v>5142859.2</v>
      </c>
      <c r="P456" s="41"/>
      <c r="Q456" s="43">
        <f t="shared" ref="Q456:Q519" si="71">J456-R456</f>
        <v>5142859.2</v>
      </c>
      <c r="R456" s="41">
        <v>0</v>
      </c>
      <c r="S456" s="30">
        <f t="shared" si="66"/>
        <v>0</v>
      </c>
      <c r="T456" s="30">
        <f t="shared" si="66"/>
        <v>0</v>
      </c>
      <c r="U456" s="30" t="e">
        <f>T456/X456</f>
        <v>#DIV/0!</v>
      </c>
      <c r="V456" s="41" t="e">
        <f>T456/X456</f>
        <v>#DIV/0!</v>
      </c>
      <c r="W456" s="41" t="e">
        <f>V456*AU456</f>
        <v>#DIV/0!</v>
      </c>
      <c r="X456" s="41">
        <f t="shared" ref="X456:X519" si="72">Y456+Z456+AA456</f>
        <v>0</v>
      </c>
      <c r="Y456" s="41">
        <v>0</v>
      </c>
      <c r="Z456" s="41">
        <v>0</v>
      </c>
      <c r="AA456" s="41">
        <v>0</v>
      </c>
      <c r="AB456" s="41"/>
      <c r="AC456" s="41" t="e">
        <f t="shared" si="68"/>
        <v>#DIV/0!</v>
      </c>
      <c r="AD456" s="41"/>
      <c r="AE456" s="41" t="e">
        <f t="shared" si="69"/>
        <v>#DIV/0!</v>
      </c>
      <c r="AF456" s="41" t="e">
        <f>X456/AU456</f>
        <v>#DIV/0!</v>
      </c>
      <c r="AG456" s="41" t="e">
        <f t="shared" si="65"/>
        <v>#DIV/0!</v>
      </c>
      <c r="AH456" s="60">
        <v>45413</v>
      </c>
      <c r="AI456" s="36"/>
      <c r="AJ456" s="36"/>
      <c r="AK456" s="36"/>
      <c r="AL456" s="36"/>
      <c r="AM456" s="46"/>
      <c r="AN456" s="40"/>
      <c r="AO456" s="40"/>
      <c r="AP456" s="40"/>
      <c r="AQ456" s="40"/>
      <c r="AR456" s="48"/>
      <c r="AS456" s="37"/>
      <c r="AT456" s="37"/>
      <c r="AU456" s="47"/>
      <c r="AV456" s="37"/>
      <c r="AW456" s="37">
        <v>10</v>
      </c>
      <c r="AX456" s="30">
        <f>(J456*10)/100</f>
        <v>514285.92</v>
      </c>
      <c r="AY456" s="40"/>
    </row>
    <row r="457" spans="1:51" ht="42.75" customHeight="1" x14ac:dyDescent="0.25">
      <c r="A457" s="59" t="s">
        <v>2498</v>
      </c>
      <c r="B457" s="60">
        <v>45350</v>
      </c>
      <c r="C457" s="37">
        <v>1416</v>
      </c>
      <c r="D457" s="35"/>
      <c r="E457" s="39" t="s">
        <v>2499</v>
      </c>
      <c r="F457" s="36"/>
      <c r="G457" s="37"/>
      <c r="H457" s="40"/>
      <c r="I457" s="62" t="s">
        <v>1154</v>
      </c>
      <c r="J457" s="61">
        <v>89366255</v>
      </c>
      <c r="K457" s="41">
        <v>0</v>
      </c>
      <c r="L457" s="54">
        <v>0</v>
      </c>
      <c r="M457" s="54">
        <v>0</v>
      </c>
      <c r="N457" s="42">
        <f t="shared" si="67"/>
        <v>100</v>
      </c>
      <c r="O457" s="43">
        <f t="shared" si="70"/>
        <v>89366255</v>
      </c>
      <c r="P457" s="41"/>
      <c r="Q457" s="43">
        <f t="shared" si="71"/>
        <v>89366255</v>
      </c>
      <c r="R457" s="41">
        <v>0</v>
      </c>
      <c r="S457" s="30">
        <f t="shared" si="66"/>
        <v>0</v>
      </c>
      <c r="T457" s="30">
        <f t="shared" si="66"/>
        <v>0</v>
      </c>
      <c r="U457" s="30" t="e">
        <f>T457/X457</f>
        <v>#DIV/0!</v>
      </c>
      <c r="V457" s="41" t="e">
        <f>T457/X457</f>
        <v>#DIV/0!</v>
      </c>
      <c r="W457" s="41" t="e">
        <f>V457*AU457</f>
        <v>#DIV/0!</v>
      </c>
      <c r="X457" s="41">
        <f t="shared" si="72"/>
        <v>0</v>
      </c>
      <c r="Y457" s="41">
        <v>0</v>
      </c>
      <c r="Z457" s="41">
        <v>0</v>
      </c>
      <c r="AA457" s="41">
        <v>0</v>
      </c>
      <c r="AB457" s="41"/>
      <c r="AC457" s="41" t="e">
        <f t="shared" si="68"/>
        <v>#DIV/0!</v>
      </c>
      <c r="AD457" s="41"/>
      <c r="AE457" s="41" t="e">
        <f t="shared" si="69"/>
        <v>#DIV/0!</v>
      </c>
      <c r="AF457" s="41" t="e">
        <f>X457/AU457</f>
        <v>#DIV/0!</v>
      </c>
      <c r="AG457" s="41" t="e">
        <f t="shared" si="65"/>
        <v>#DIV/0!</v>
      </c>
      <c r="AH457" s="60">
        <v>45413</v>
      </c>
      <c r="AI457" s="36"/>
      <c r="AJ457" s="36"/>
      <c r="AK457" s="36"/>
      <c r="AL457" s="36"/>
      <c r="AM457" s="46"/>
      <c r="AN457" s="40"/>
      <c r="AO457" s="40"/>
      <c r="AP457" s="40"/>
      <c r="AQ457" s="40"/>
      <c r="AR457" s="48"/>
      <c r="AS457" s="37"/>
      <c r="AT457" s="37"/>
      <c r="AU457" s="47"/>
      <c r="AV457" s="37"/>
      <c r="AW457" s="37">
        <v>10</v>
      </c>
      <c r="AX457" s="30">
        <f>(J457*10)/100</f>
        <v>8936625.5</v>
      </c>
      <c r="AY457" s="40"/>
    </row>
    <row r="458" spans="1:51" ht="42.75" customHeight="1" x14ac:dyDescent="0.25">
      <c r="A458" s="59" t="s">
        <v>2500</v>
      </c>
      <c r="B458" s="60">
        <v>45350</v>
      </c>
      <c r="C458" s="37">
        <v>545</v>
      </c>
      <c r="D458" s="35"/>
      <c r="E458" s="39" t="s">
        <v>2501</v>
      </c>
      <c r="F458" s="36"/>
      <c r="G458" s="37"/>
      <c r="H458" s="40"/>
      <c r="I458" s="62" t="s">
        <v>348</v>
      </c>
      <c r="J458" s="61">
        <v>234422920.80000001</v>
      </c>
      <c r="K458" s="41">
        <v>0</v>
      </c>
      <c r="L458" s="54">
        <v>0</v>
      </c>
      <c r="M458" s="54">
        <v>0</v>
      </c>
      <c r="N458" s="42">
        <f t="shared" si="67"/>
        <v>100</v>
      </c>
      <c r="O458" s="43">
        <f t="shared" si="70"/>
        <v>234422920.80000001</v>
      </c>
      <c r="P458" s="41"/>
      <c r="Q458" s="43">
        <f t="shared" si="71"/>
        <v>234422920.80000001</v>
      </c>
      <c r="R458" s="41">
        <v>0</v>
      </c>
      <c r="S458" s="30">
        <f t="shared" si="66"/>
        <v>0</v>
      </c>
      <c r="T458" s="30">
        <f t="shared" si="66"/>
        <v>0</v>
      </c>
      <c r="U458" s="30" t="e">
        <f>T458/X458</f>
        <v>#DIV/0!</v>
      </c>
      <c r="V458" s="41" t="e">
        <f>T458/X458</f>
        <v>#DIV/0!</v>
      </c>
      <c r="W458" s="41" t="e">
        <f>V458*AU458</f>
        <v>#DIV/0!</v>
      </c>
      <c r="X458" s="41">
        <f t="shared" si="72"/>
        <v>0</v>
      </c>
      <c r="Y458" s="41">
        <v>0</v>
      </c>
      <c r="Z458" s="41">
        <v>0</v>
      </c>
      <c r="AA458" s="41">
        <v>0</v>
      </c>
      <c r="AB458" s="41"/>
      <c r="AC458" s="41" t="e">
        <f t="shared" si="68"/>
        <v>#DIV/0!</v>
      </c>
      <c r="AD458" s="41"/>
      <c r="AE458" s="41" t="e">
        <f t="shared" si="69"/>
        <v>#DIV/0!</v>
      </c>
      <c r="AF458" s="41" t="e">
        <f>X458/AU458</f>
        <v>#DIV/0!</v>
      </c>
      <c r="AG458" s="41" t="e">
        <f t="shared" si="65"/>
        <v>#DIV/0!</v>
      </c>
      <c r="AH458" s="60">
        <v>45397</v>
      </c>
      <c r="AI458" s="36"/>
      <c r="AJ458" s="36"/>
      <c r="AK458" s="36"/>
      <c r="AL458" s="36"/>
      <c r="AM458" s="46"/>
      <c r="AN458" s="40"/>
      <c r="AO458" s="40"/>
      <c r="AP458" s="40"/>
      <c r="AQ458" s="40"/>
      <c r="AR458" s="48"/>
      <c r="AS458" s="37"/>
      <c r="AT458" s="37"/>
      <c r="AU458" s="47"/>
      <c r="AV458" s="37"/>
      <c r="AW458" s="37">
        <v>10</v>
      </c>
      <c r="AX458" s="30">
        <f>(J458*10)/100</f>
        <v>23442292.079999998</v>
      </c>
      <c r="AY458" s="40"/>
    </row>
    <row r="459" spans="1:51" ht="42.75" customHeight="1" x14ac:dyDescent="0.25">
      <c r="A459" s="59" t="s">
        <v>2502</v>
      </c>
      <c r="B459" s="60">
        <v>45350</v>
      </c>
      <c r="C459" s="37" t="s">
        <v>2465</v>
      </c>
      <c r="D459" s="35"/>
      <c r="E459" s="39" t="s">
        <v>2503</v>
      </c>
      <c r="F459" s="36"/>
      <c r="G459" s="37"/>
      <c r="H459" s="40"/>
      <c r="I459" s="62" t="s">
        <v>2504</v>
      </c>
      <c r="J459" s="61">
        <v>200970</v>
      </c>
      <c r="K459" s="41">
        <v>0</v>
      </c>
      <c r="L459" s="54">
        <v>0</v>
      </c>
      <c r="M459" s="54">
        <v>0</v>
      </c>
      <c r="N459" s="42">
        <f t="shared" si="67"/>
        <v>100</v>
      </c>
      <c r="O459" s="43">
        <f t="shared" si="70"/>
        <v>200970</v>
      </c>
      <c r="P459" s="41"/>
      <c r="Q459" s="43">
        <f t="shared" si="71"/>
        <v>200970</v>
      </c>
      <c r="R459" s="41">
        <v>0</v>
      </c>
      <c r="S459" s="30">
        <f t="shared" si="66"/>
        <v>0</v>
      </c>
      <c r="T459" s="30">
        <f t="shared" si="66"/>
        <v>0</v>
      </c>
      <c r="U459" s="30" t="e">
        <f>T459/X459</f>
        <v>#DIV/0!</v>
      </c>
      <c r="V459" s="41" t="e">
        <f>T459/X459</f>
        <v>#DIV/0!</v>
      </c>
      <c r="W459" s="41" t="e">
        <f>V459*AU459</f>
        <v>#DIV/0!</v>
      </c>
      <c r="X459" s="41">
        <f t="shared" si="72"/>
        <v>0</v>
      </c>
      <c r="Y459" s="41">
        <v>0</v>
      </c>
      <c r="Z459" s="41">
        <v>0</v>
      </c>
      <c r="AA459" s="41">
        <v>0</v>
      </c>
      <c r="AB459" s="41"/>
      <c r="AC459" s="41" t="e">
        <f t="shared" si="68"/>
        <v>#DIV/0!</v>
      </c>
      <c r="AD459" s="41"/>
      <c r="AE459" s="41" t="e">
        <f t="shared" si="69"/>
        <v>#DIV/0!</v>
      </c>
      <c r="AF459" s="41" t="e">
        <f>X459/AU459</f>
        <v>#DIV/0!</v>
      </c>
      <c r="AG459" s="41" t="e">
        <f t="shared" si="65"/>
        <v>#DIV/0!</v>
      </c>
      <c r="AH459" s="60">
        <v>45413</v>
      </c>
      <c r="AI459" s="36"/>
      <c r="AJ459" s="36"/>
      <c r="AK459" s="36"/>
      <c r="AL459" s="36"/>
      <c r="AM459" s="46"/>
      <c r="AN459" s="40"/>
      <c r="AO459" s="40"/>
      <c r="AP459" s="40"/>
      <c r="AQ459" s="40"/>
      <c r="AR459" s="48"/>
      <c r="AS459" s="37"/>
      <c r="AT459" s="37"/>
      <c r="AU459" s="47"/>
      <c r="AV459" s="37"/>
      <c r="AW459" s="37">
        <v>10</v>
      </c>
      <c r="AX459" s="30">
        <f>(J459*10)/100</f>
        <v>20097</v>
      </c>
      <c r="AY459" s="40"/>
    </row>
    <row r="460" spans="1:51" ht="42.75" customHeight="1" x14ac:dyDescent="0.25">
      <c r="A460" s="59" t="s">
        <v>2505</v>
      </c>
      <c r="B460" s="60">
        <v>45350</v>
      </c>
      <c r="C460" s="37" t="s">
        <v>2189</v>
      </c>
      <c r="D460" s="35"/>
      <c r="E460" s="39" t="s">
        <v>2506</v>
      </c>
      <c r="F460" s="36"/>
      <c r="G460" s="37"/>
      <c r="H460" s="40"/>
      <c r="I460" s="62" t="s">
        <v>2507</v>
      </c>
      <c r="J460" s="61">
        <v>54850.2</v>
      </c>
      <c r="K460" s="41">
        <v>0</v>
      </c>
      <c r="L460" s="54">
        <v>0</v>
      </c>
      <c r="M460" s="54">
        <v>0</v>
      </c>
      <c r="N460" s="42">
        <f t="shared" si="67"/>
        <v>100</v>
      </c>
      <c r="O460" s="43">
        <f t="shared" si="70"/>
        <v>54850.2</v>
      </c>
      <c r="P460" s="41"/>
      <c r="Q460" s="43">
        <f t="shared" si="71"/>
        <v>54850.2</v>
      </c>
      <c r="R460" s="41">
        <v>0</v>
      </c>
      <c r="S460" s="30">
        <f t="shared" si="66"/>
        <v>0</v>
      </c>
      <c r="T460" s="30">
        <f t="shared" si="66"/>
        <v>0</v>
      </c>
      <c r="U460" s="30" t="e">
        <f>T460/X460</f>
        <v>#DIV/0!</v>
      </c>
      <c r="V460" s="41" t="e">
        <f>T460/X460</f>
        <v>#DIV/0!</v>
      </c>
      <c r="W460" s="41" t="e">
        <f>V460*AU460</f>
        <v>#DIV/0!</v>
      </c>
      <c r="X460" s="41">
        <f t="shared" si="72"/>
        <v>0</v>
      </c>
      <c r="Y460" s="41">
        <v>0</v>
      </c>
      <c r="Z460" s="41">
        <v>0</v>
      </c>
      <c r="AA460" s="41">
        <v>0</v>
      </c>
      <c r="AB460" s="41"/>
      <c r="AC460" s="41" t="e">
        <f t="shared" si="68"/>
        <v>#DIV/0!</v>
      </c>
      <c r="AD460" s="41"/>
      <c r="AE460" s="41" t="e">
        <f t="shared" si="69"/>
        <v>#DIV/0!</v>
      </c>
      <c r="AF460" s="41" t="e">
        <f>X460/AU460</f>
        <v>#DIV/0!</v>
      </c>
      <c r="AG460" s="41" t="e">
        <f t="shared" si="65"/>
        <v>#DIV/0!</v>
      </c>
      <c r="AH460" s="60">
        <v>45413</v>
      </c>
      <c r="AI460" s="36"/>
      <c r="AJ460" s="36"/>
      <c r="AK460" s="36"/>
      <c r="AL460" s="36"/>
      <c r="AM460" s="46"/>
      <c r="AN460" s="40"/>
      <c r="AO460" s="40"/>
      <c r="AP460" s="40"/>
      <c r="AQ460" s="40"/>
      <c r="AR460" s="48"/>
      <c r="AS460" s="37"/>
      <c r="AT460" s="37"/>
      <c r="AU460" s="47"/>
      <c r="AV460" s="37"/>
      <c r="AW460" s="37">
        <v>10</v>
      </c>
      <c r="AX460" s="30">
        <f>(J460*10)/100</f>
        <v>5485.02</v>
      </c>
      <c r="AY460" s="40"/>
    </row>
    <row r="461" spans="1:51" ht="42.75" customHeight="1" x14ac:dyDescent="0.25">
      <c r="A461" s="59" t="s">
        <v>2508</v>
      </c>
      <c r="B461" s="60">
        <v>45350</v>
      </c>
      <c r="C461" s="37" t="s">
        <v>2189</v>
      </c>
      <c r="D461" s="35"/>
      <c r="E461" s="39" t="s">
        <v>2509</v>
      </c>
      <c r="F461" s="36"/>
      <c r="G461" s="37"/>
      <c r="H461" s="40"/>
      <c r="I461" s="62" t="s">
        <v>241</v>
      </c>
      <c r="J461" s="61">
        <v>1387.68</v>
      </c>
      <c r="K461" s="41">
        <v>0</v>
      </c>
      <c r="L461" s="54">
        <v>0</v>
      </c>
      <c r="M461" s="54">
        <v>0</v>
      </c>
      <c r="N461" s="42">
        <f t="shared" si="67"/>
        <v>100</v>
      </c>
      <c r="O461" s="43">
        <f t="shared" si="70"/>
        <v>1387.68</v>
      </c>
      <c r="P461" s="41"/>
      <c r="Q461" s="43">
        <f t="shared" si="71"/>
        <v>1387.68</v>
      </c>
      <c r="R461" s="41">
        <v>0</v>
      </c>
      <c r="S461" s="30">
        <f t="shared" si="66"/>
        <v>0</v>
      </c>
      <c r="T461" s="30">
        <f t="shared" si="66"/>
        <v>0</v>
      </c>
      <c r="U461" s="30" t="e">
        <f>T461/X461</f>
        <v>#DIV/0!</v>
      </c>
      <c r="V461" s="41" t="e">
        <f>T461/X461</f>
        <v>#DIV/0!</v>
      </c>
      <c r="W461" s="41" t="e">
        <f>V461*AU461</f>
        <v>#DIV/0!</v>
      </c>
      <c r="X461" s="41">
        <f t="shared" si="72"/>
        <v>0</v>
      </c>
      <c r="Y461" s="41">
        <v>0</v>
      </c>
      <c r="Z461" s="41">
        <v>0</v>
      </c>
      <c r="AA461" s="41">
        <v>0</v>
      </c>
      <c r="AB461" s="41"/>
      <c r="AC461" s="41" t="e">
        <f t="shared" si="68"/>
        <v>#DIV/0!</v>
      </c>
      <c r="AD461" s="41"/>
      <c r="AE461" s="41" t="e">
        <f t="shared" si="69"/>
        <v>#DIV/0!</v>
      </c>
      <c r="AF461" s="41" t="e">
        <f>X461/AU461</f>
        <v>#DIV/0!</v>
      </c>
      <c r="AG461" s="41" t="e">
        <f t="shared" si="65"/>
        <v>#DIV/0!</v>
      </c>
      <c r="AH461" s="60">
        <v>45413</v>
      </c>
      <c r="AI461" s="36"/>
      <c r="AJ461" s="36"/>
      <c r="AK461" s="36"/>
      <c r="AL461" s="36"/>
      <c r="AM461" s="46"/>
      <c r="AN461" s="40"/>
      <c r="AO461" s="40"/>
      <c r="AP461" s="40"/>
      <c r="AQ461" s="40"/>
      <c r="AR461" s="48"/>
      <c r="AS461" s="37"/>
      <c r="AT461" s="37"/>
      <c r="AU461" s="47"/>
      <c r="AV461" s="37"/>
      <c r="AW461" s="37">
        <v>10</v>
      </c>
      <c r="AX461" s="30">
        <f>(J461*10)/100</f>
        <v>138.768</v>
      </c>
      <c r="AY461" s="40"/>
    </row>
    <row r="462" spans="1:51" ht="42.75" customHeight="1" x14ac:dyDescent="0.25">
      <c r="A462" s="59" t="s">
        <v>2510</v>
      </c>
      <c r="B462" s="60">
        <v>45350</v>
      </c>
      <c r="C462" s="37">
        <v>1512</v>
      </c>
      <c r="D462" s="35"/>
      <c r="E462" s="39" t="s">
        <v>2511</v>
      </c>
      <c r="F462" s="36"/>
      <c r="G462" s="37"/>
      <c r="H462" s="40"/>
      <c r="I462" s="62" t="s">
        <v>2512</v>
      </c>
      <c r="J462" s="61">
        <v>1044138.14</v>
      </c>
      <c r="K462" s="41">
        <v>0</v>
      </c>
      <c r="L462" s="54">
        <v>0</v>
      </c>
      <c r="M462" s="54">
        <v>0</v>
      </c>
      <c r="N462" s="42">
        <f t="shared" si="67"/>
        <v>100</v>
      </c>
      <c r="O462" s="43">
        <f t="shared" si="70"/>
        <v>1044138.14</v>
      </c>
      <c r="P462" s="41"/>
      <c r="Q462" s="43">
        <f t="shared" si="71"/>
        <v>1044138.14</v>
      </c>
      <c r="R462" s="41">
        <v>0</v>
      </c>
      <c r="S462" s="30">
        <f t="shared" si="66"/>
        <v>0</v>
      </c>
      <c r="T462" s="30">
        <f t="shared" si="66"/>
        <v>0</v>
      </c>
      <c r="U462" s="30" t="e">
        <f>T462/X462</f>
        <v>#DIV/0!</v>
      </c>
      <c r="V462" s="41" t="e">
        <f>T462/X462</f>
        <v>#DIV/0!</v>
      </c>
      <c r="W462" s="41" t="e">
        <f>V462*AU462</f>
        <v>#DIV/0!</v>
      </c>
      <c r="X462" s="41">
        <f t="shared" si="72"/>
        <v>0</v>
      </c>
      <c r="Y462" s="41">
        <v>0</v>
      </c>
      <c r="Z462" s="41">
        <v>0</v>
      </c>
      <c r="AA462" s="41">
        <v>0</v>
      </c>
      <c r="AB462" s="41"/>
      <c r="AC462" s="41" t="e">
        <f t="shared" si="68"/>
        <v>#DIV/0!</v>
      </c>
      <c r="AD462" s="41"/>
      <c r="AE462" s="41" t="e">
        <f t="shared" si="69"/>
        <v>#DIV/0!</v>
      </c>
      <c r="AF462" s="41" t="e">
        <f>X462/AU462</f>
        <v>#DIV/0!</v>
      </c>
      <c r="AG462" s="41" t="e">
        <f t="shared" si="65"/>
        <v>#DIV/0!</v>
      </c>
      <c r="AH462" s="60">
        <v>45413</v>
      </c>
      <c r="AI462" s="36"/>
      <c r="AJ462" s="36"/>
      <c r="AK462" s="36"/>
      <c r="AL462" s="36"/>
      <c r="AM462" s="46"/>
      <c r="AN462" s="40"/>
      <c r="AO462" s="40"/>
      <c r="AP462" s="40"/>
      <c r="AQ462" s="40"/>
      <c r="AR462" s="48"/>
      <c r="AS462" s="37"/>
      <c r="AT462" s="37"/>
      <c r="AU462" s="47"/>
      <c r="AV462" s="37"/>
      <c r="AW462" s="37">
        <v>10</v>
      </c>
      <c r="AX462" s="30">
        <f>(J462*10)/100</f>
        <v>104413.814</v>
      </c>
      <c r="AY462" s="40"/>
    </row>
    <row r="463" spans="1:51" ht="42.75" customHeight="1" x14ac:dyDescent="0.25">
      <c r="A463" s="59" t="s">
        <v>2513</v>
      </c>
      <c r="B463" s="60">
        <v>45350</v>
      </c>
      <c r="C463" s="37">
        <v>1512</v>
      </c>
      <c r="D463" s="35"/>
      <c r="E463" s="39" t="s">
        <v>2514</v>
      </c>
      <c r="F463" s="36"/>
      <c r="G463" s="37"/>
      <c r="H463" s="40"/>
      <c r="I463" s="62" t="s">
        <v>2504</v>
      </c>
      <c r="J463" s="61">
        <v>12580200</v>
      </c>
      <c r="K463" s="41">
        <v>0</v>
      </c>
      <c r="L463" s="54">
        <v>0</v>
      </c>
      <c r="M463" s="54">
        <v>0</v>
      </c>
      <c r="N463" s="42">
        <f t="shared" si="67"/>
        <v>100</v>
      </c>
      <c r="O463" s="43">
        <f t="shared" si="70"/>
        <v>12580200</v>
      </c>
      <c r="P463" s="41"/>
      <c r="Q463" s="43">
        <f t="shared" si="71"/>
        <v>12580200</v>
      </c>
      <c r="R463" s="41">
        <v>0</v>
      </c>
      <c r="S463" s="30">
        <f t="shared" si="66"/>
        <v>0</v>
      </c>
      <c r="T463" s="30">
        <f t="shared" si="66"/>
        <v>0</v>
      </c>
      <c r="U463" s="30" t="e">
        <f>T463/X463</f>
        <v>#DIV/0!</v>
      </c>
      <c r="V463" s="41" t="e">
        <f>T463/X463</f>
        <v>#DIV/0!</v>
      </c>
      <c r="W463" s="41" t="e">
        <f>V463*AU463</f>
        <v>#DIV/0!</v>
      </c>
      <c r="X463" s="41">
        <f t="shared" si="72"/>
        <v>0</v>
      </c>
      <c r="Y463" s="41">
        <v>0</v>
      </c>
      <c r="Z463" s="41">
        <v>0</v>
      </c>
      <c r="AA463" s="41">
        <v>0</v>
      </c>
      <c r="AB463" s="41"/>
      <c r="AC463" s="41" t="e">
        <f t="shared" si="68"/>
        <v>#DIV/0!</v>
      </c>
      <c r="AD463" s="41"/>
      <c r="AE463" s="41" t="e">
        <f t="shared" si="69"/>
        <v>#DIV/0!</v>
      </c>
      <c r="AF463" s="41" t="e">
        <f>X463/AU463</f>
        <v>#DIV/0!</v>
      </c>
      <c r="AG463" s="41" t="e">
        <f t="shared" ref="AG463:AG519" si="73">_xlfn.CEILING.MATH(AF463)</f>
        <v>#DIV/0!</v>
      </c>
      <c r="AH463" s="60">
        <v>45413</v>
      </c>
      <c r="AI463" s="36"/>
      <c r="AJ463" s="36"/>
      <c r="AK463" s="36"/>
      <c r="AL463" s="36"/>
      <c r="AM463" s="46"/>
      <c r="AN463" s="40"/>
      <c r="AO463" s="40"/>
      <c r="AP463" s="40"/>
      <c r="AQ463" s="40"/>
      <c r="AR463" s="48"/>
      <c r="AS463" s="37"/>
      <c r="AT463" s="37"/>
      <c r="AU463" s="47"/>
      <c r="AV463" s="37"/>
      <c r="AW463" s="37">
        <v>10</v>
      </c>
      <c r="AX463" s="30">
        <f>(J463*10)/100</f>
        <v>1258020</v>
      </c>
      <c r="AY463" s="40"/>
    </row>
    <row r="464" spans="1:51" ht="42.75" customHeight="1" x14ac:dyDescent="0.25">
      <c r="A464" s="59" t="s">
        <v>2515</v>
      </c>
      <c r="B464" s="60">
        <v>45350</v>
      </c>
      <c r="C464" s="37" t="s">
        <v>2189</v>
      </c>
      <c r="D464" s="35"/>
      <c r="E464" s="39" t="s">
        <v>2516</v>
      </c>
      <c r="F464" s="36"/>
      <c r="G464" s="37"/>
      <c r="H464" s="40"/>
      <c r="I464" s="62" t="s">
        <v>739</v>
      </c>
      <c r="J464" s="61">
        <v>480955.06</v>
      </c>
      <c r="K464" s="41">
        <v>0</v>
      </c>
      <c r="L464" s="54">
        <v>0</v>
      </c>
      <c r="M464" s="54">
        <v>0</v>
      </c>
      <c r="N464" s="42">
        <f t="shared" si="67"/>
        <v>100</v>
      </c>
      <c r="O464" s="43">
        <f t="shared" si="70"/>
        <v>480955.06</v>
      </c>
      <c r="P464" s="41"/>
      <c r="Q464" s="43">
        <f t="shared" si="71"/>
        <v>480955.06</v>
      </c>
      <c r="R464" s="41">
        <v>0</v>
      </c>
      <c r="S464" s="30">
        <f t="shared" si="66"/>
        <v>0</v>
      </c>
      <c r="T464" s="30">
        <f t="shared" si="66"/>
        <v>0</v>
      </c>
      <c r="U464" s="30" t="e">
        <f>T464/X464</f>
        <v>#DIV/0!</v>
      </c>
      <c r="V464" s="41" t="e">
        <f>T464/X464</f>
        <v>#DIV/0!</v>
      </c>
      <c r="W464" s="41" t="e">
        <f>V464*AU464</f>
        <v>#DIV/0!</v>
      </c>
      <c r="X464" s="41">
        <f t="shared" si="72"/>
        <v>0</v>
      </c>
      <c r="Y464" s="41">
        <v>0</v>
      </c>
      <c r="Z464" s="41">
        <v>0</v>
      </c>
      <c r="AA464" s="41">
        <v>0</v>
      </c>
      <c r="AB464" s="41"/>
      <c r="AC464" s="41" t="e">
        <f t="shared" si="68"/>
        <v>#DIV/0!</v>
      </c>
      <c r="AD464" s="41"/>
      <c r="AE464" s="41" t="e">
        <f t="shared" si="69"/>
        <v>#DIV/0!</v>
      </c>
      <c r="AF464" s="41" t="e">
        <f>X464/AU464</f>
        <v>#DIV/0!</v>
      </c>
      <c r="AG464" s="41" t="e">
        <f t="shared" si="73"/>
        <v>#DIV/0!</v>
      </c>
      <c r="AH464" s="60">
        <v>45473</v>
      </c>
      <c r="AI464" s="36"/>
      <c r="AJ464" s="36"/>
      <c r="AK464" s="36"/>
      <c r="AL464" s="36"/>
      <c r="AM464" s="46"/>
      <c r="AN464" s="40"/>
      <c r="AO464" s="40"/>
      <c r="AP464" s="40"/>
      <c r="AQ464" s="40"/>
      <c r="AR464" s="48"/>
      <c r="AS464" s="37"/>
      <c r="AT464" s="37"/>
      <c r="AU464" s="47"/>
      <c r="AV464" s="37"/>
      <c r="AW464" s="37">
        <v>10</v>
      </c>
      <c r="AX464" s="30">
        <f>(J464*10)/100</f>
        <v>48095.505999999994</v>
      </c>
      <c r="AY464" s="40"/>
    </row>
    <row r="465" spans="1:51" ht="42.75" customHeight="1" x14ac:dyDescent="0.25">
      <c r="A465" s="59" t="s">
        <v>2517</v>
      </c>
      <c r="B465" s="60">
        <v>45350</v>
      </c>
      <c r="C465" s="37">
        <v>1416</v>
      </c>
      <c r="D465" s="35"/>
      <c r="E465" s="39" t="s">
        <v>2518</v>
      </c>
      <c r="F465" s="36"/>
      <c r="G465" s="37"/>
      <c r="H465" s="40"/>
      <c r="I465" s="62" t="s">
        <v>739</v>
      </c>
      <c r="J465" s="61">
        <v>56993174.140000001</v>
      </c>
      <c r="K465" s="41">
        <v>0</v>
      </c>
      <c r="L465" s="54">
        <v>0</v>
      </c>
      <c r="M465" s="54">
        <v>0</v>
      </c>
      <c r="N465" s="42">
        <f t="shared" si="67"/>
        <v>100</v>
      </c>
      <c r="O465" s="43">
        <f t="shared" si="70"/>
        <v>56993174.140000001</v>
      </c>
      <c r="P465" s="41"/>
      <c r="Q465" s="43">
        <f t="shared" si="71"/>
        <v>56993174.140000001</v>
      </c>
      <c r="R465" s="41">
        <v>0</v>
      </c>
      <c r="S465" s="30">
        <f t="shared" si="66"/>
        <v>0</v>
      </c>
      <c r="T465" s="30">
        <f t="shared" si="66"/>
        <v>0</v>
      </c>
      <c r="U465" s="30" t="e">
        <f>T465/X465</f>
        <v>#DIV/0!</v>
      </c>
      <c r="V465" s="41" t="e">
        <f>T465/X465</f>
        <v>#DIV/0!</v>
      </c>
      <c r="W465" s="41" t="e">
        <f>V465*AU465</f>
        <v>#DIV/0!</v>
      </c>
      <c r="X465" s="41">
        <f t="shared" si="72"/>
        <v>0</v>
      </c>
      <c r="Y465" s="41">
        <v>0</v>
      </c>
      <c r="Z465" s="41">
        <v>0</v>
      </c>
      <c r="AA465" s="41">
        <v>0</v>
      </c>
      <c r="AB465" s="41"/>
      <c r="AC465" s="41" t="e">
        <f t="shared" si="68"/>
        <v>#DIV/0!</v>
      </c>
      <c r="AD465" s="41"/>
      <c r="AE465" s="41" t="e">
        <f t="shared" si="69"/>
        <v>#DIV/0!</v>
      </c>
      <c r="AF465" s="41" t="e">
        <f>X465/AU465</f>
        <v>#DIV/0!</v>
      </c>
      <c r="AG465" s="41" t="e">
        <f t="shared" si="73"/>
        <v>#DIV/0!</v>
      </c>
      <c r="AH465" s="60">
        <v>45473</v>
      </c>
      <c r="AI465" s="36"/>
      <c r="AJ465" s="36"/>
      <c r="AK465" s="36"/>
      <c r="AL465" s="36"/>
      <c r="AM465" s="46"/>
      <c r="AN465" s="40"/>
      <c r="AO465" s="40"/>
      <c r="AP465" s="40"/>
      <c r="AQ465" s="40"/>
      <c r="AR465" s="48"/>
      <c r="AS465" s="37"/>
      <c r="AT465" s="37"/>
      <c r="AU465" s="47"/>
      <c r="AV465" s="37"/>
      <c r="AW465" s="37">
        <v>10</v>
      </c>
      <c r="AX465" s="30">
        <f>(J465*10)/100</f>
        <v>5699317.4139999999</v>
      </c>
      <c r="AY465" s="40"/>
    </row>
    <row r="466" spans="1:51" ht="43.5" customHeight="1" x14ac:dyDescent="0.25">
      <c r="A466" s="59" t="s">
        <v>2519</v>
      </c>
      <c r="B466" s="60">
        <v>45350</v>
      </c>
      <c r="C466" s="37">
        <v>545</v>
      </c>
      <c r="D466" s="35"/>
      <c r="E466" s="40"/>
      <c r="F466" s="36"/>
      <c r="G466" s="37"/>
      <c r="H466" s="40"/>
      <c r="I466" s="62" t="s">
        <v>2287</v>
      </c>
      <c r="J466" s="61" t="s">
        <v>2520</v>
      </c>
      <c r="K466" s="41">
        <v>0</v>
      </c>
      <c r="L466" s="54">
        <v>0</v>
      </c>
      <c r="M466" s="54">
        <v>0</v>
      </c>
      <c r="N466" s="42" t="e">
        <f t="shared" si="67"/>
        <v>#VALUE!</v>
      </c>
      <c r="O466" s="43" t="e">
        <f t="shared" si="70"/>
        <v>#VALUE!</v>
      </c>
      <c r="P466" s="41"/>
      <c r="Q466" s="43" t="e">
        <f t="shared" si="71"/>
        <v>#VALUE!</v>
      </c>
      <c r="R466" s="41">
        <v>0</v>
      </c>
      <c r="S466" s="30">
        <f t="shared" ref="S466:T519" si="74">R466</f>
        <v>0</v>
      </c>
      <c r="T466" s="30">
        <f t="shared" si="74"/>
        <v>0</v>
      </c>
      <c r="U466" s="30" t="e">
        <f>T466/X466</f>
        <v>#DIV/0!</v>
      </c>
      <c r="V466" s="41" t="e">
        <f>T466/X466</f>
        <v>#DIV/0!</v>
      </c>
      <c r="W466" s="41" t="e">
        <f>V466*AU466</f>
        <v>#DIV/0!</v>
      </c>
      <c r="X466" s="41">
        <f t="shared" si="72"/>
        <v>0</v>
      </c>
      <c r="Y466" s="41">
        <v>0</v>
      </c>
      <c r="Z466" s="41">
        <v>0</v>
      </c>
      <c r="AA466" s="41">
        <v>0</v>
      </c>
      <c r="AB466" s="41"/>
      <c r="AC466" s="41" t="e">
        <f t="shared" si="68"/>
        <v>#DIV/0!</v>
      </c>
      <c r="AD466" s="41"/>
      <c r="AE466" s="41" t="e">
        <f t="shared" si="69"/>
        <v>#DIV/0!</v>
      </c>
      <c r="AF466" s="41" t="e">
        <f>X466/AU466</f>
        <v>#DIV/0!</v>
      </c>
      <c r="AG466" s="41" t="e">
        <f t="shared" si="73"/>
        <v>#DIV/0!</v>
      </c>
      <c r="AH466" s="36">
        <v>45366</v>
      </c>
      <c r="AI466" s="36"/>
      <c r="AJ466" s="36"/>
      <c r="AK466" s="36"/>
      <c r="AL466" s="36"/>
      <c r="AM466" s="46"/>
      <c r="AN466" s="40"/>
      <c r="AO466" s="40"/>
      <c r="AP466" s="40"/>
      <c r="AQ466" s="40"/>
      <c r="AR466" s="48"/>
      <c r="AS466" s="37"/>
      <c r="AT466" s="37"/>
      <c r="AU466" s="47"/>
      <c r="AV466" s="37"/>
      <c r="AW466" s="37">
        <v>10</v>
      </c>
      <c r="AX466" s="30" t="e">
        <f>(J466*10)/100</f>
        <v>#VALUE!</v>
      </c>
      <c r="AY466" s="40"/>
    </row>
    <row r="467" spans="1:51" ht="43.5" customHeight="1" x14ac:dyDescent="0.25">
      <c r="A467" s="59" t="s">
        <v>2521</v>
      </c>
      <c r="B467" s="60">
        <v>45351</v>
      </c>
      <c r="C467" s="37" t="s">
        <v>2522</v>
      </c>
      <c r="D467" s="35"/>
      <c r="E467" s="40"/>
      <c r="F467" s="36"/>
      <c r="G467" s="37"/>
      <c r="H467" s="40"/>
      <c r="I467" s="62" t="s">
        <v>454</v>
      </c>
      <c r="J467" s="61">
        <v>21279</v>
      </c>
      <c r="K467" s="41">
        <v>0</v>
      </c>
      <c r="L467" s="54">
        <v>0</v>
      </c>
      <c r="M467" s="54">
        <v>0</v>
      </c>
      <c r="N467" s="42">
        <f t="shared" si="67"/>
        <v>100</v>
      </c>
      <c r="O467" s="43">
        <f t="shared" si="70"/>
        <v>21279</v>
      </c>
      <c r="P467" s="41"/>
      <c r="Q467" s="43">
        <f t="shared" si="71"/>
        <v>21279</v>
      </c>
      <c r="R467" s="41">
        <v>0</v>
      </c>
      <c r="S467" s="30">
        <f t="shared" si="74"/>
        <v>0</v>
      </c>
      <c r="T467" s="30">
        <f t="shared" si="74"/>
        <v>0</v>
      </c>
      <c r="U467" s="30" t="e">
        <f>T467/X467</f>
        <v>#DIV/0!</v>
      </c>
      <c r="V467" s="41" t="e">
        <f>T467/X467</f>
        <v>#DIV/0!</v>
      </c>
      <c r="W467" s="41" t="e">
        <f>V467*AU467</f>
        <v>#DIV/0!</v>
      </c>
      <c r="X467" s="41">
        <f t="shared" si="72"/>
        <v>0</v>
      </c>
      <c r="Y467" s="41">
        <v>0</v>
      </c>
      <c r="Z467" s="41">
        <v>0</v>
      </c>
      <c r="AA467" s="41">
        <v>0</v>
      </c>
      <c r="AB467" s="41"/>
      <c r="AC467" s="41" t="e">
        <f t="shared" si="68"/>
        <v>#DIV/0!</v>
      </c>
      <c r="AD467" s="41"/>
      <c r="AE467" s="41" t="e">
        <f t="shared" si="69"/>
        <v>#DIV/0!</v>
      </c>
      <c r="AF467" s="41" t="e">
        <f>X467/AU467</f>
        <v>#DIV/0!</v>
      </c>
      <c r="AG467" s="41" t="e">
        <f t="shared" si="73"/>
        <v>#DIV/0!</v>
      </c>
      <c r="AH467" s="36">
        <v>45413</v>
      </c>
      <c r="AI467" s="36"/>
      <c r="AJ467" s="36"/>
      <c r="AK467" s="36"/>
      <c r="AL467" s="36"/>
      <c r="AM467" s="46"/>
      <c r="AN467" s="40"/>
      <c r="AO467" s="40"/>
      <c r="AP467" s="40"/>
      <c r="AQ467" s="40"/>
      <c r="AR467" s="48"/>
      <c r="AS467" s="37"/>
      <c r="AT467" s="37"/>
      <c r="AU467" s="47"/>
      <c r="AV467" s="37"/>
      <c r="AW467" s="37">
        <v>10</v>
      </c>
      <c r="AX467" s="30">
        <f>(J467*10)/100</f>
        <v>2127.9</v>
      </c>
      <c r="AY467" s="40"/>
    </row>
    <row r="468" spans="1:51" ht="43.5" customHeight="1" x14ac:dyDescent="0.25">
      <c r="A468" s="59" t="s">
        <v>2523</v>
      </c>
      <c r="B468" s="60">
        <v>45351</v>
      </c>
      <c r="C468" s="37" t="s">
        <v>2522</v>
      </c>
      <c r="D468" s="35"/>
      <c r="E468" s="40"/>
      <c r="F468" s="36"/>
      <c r="G468" s="37"/>
      <c r="H468" s="40"/>
      <c r="I468" s="62" t="s">
        <v>2524</v>
      </c>
      <c r="J468" s="61">
        <v>20420.400000000001</v>
      </c>
      <c r="K468" s="41">
        <v>0</v>
      </c>
      <c r="L468" s="54">
        <v>0</v>
      </c>
      <c r="M468" s="54">
        <v>0</v>
      </c>
      <c r="N468" s="42">
        <f t="shared" si="67"/>
        <v>100</v>
      </c>
      <c r="O468" s="43">
        <f t="shared" si="70"/>
        <v>20420.400000000001</v>
      </c>
      <c r="P468" s="41"/>
      <c r="Q468" s="43">
        <f t="shared" si="71"/>
        <v>20420.400000000001</v>
      </c>
      <c r="R468" s="41">
        <v>0</v>
      </c>
      <c r="S468" s="30">
        <f t="shared" si="74"/>
        <v>0</v>
      </c>
      <c r="T468" s="30">
        <f t="shared" si="74"/>
        <v>0</v>
      </c>
      <c r="U468" s="30" t="e">
        <f>T468/X468</f>
        <v>#DIV/0!</v>
      </c>
      <c r="V468" s="41" t="e">
        <f>T468/X468</f>
        <v>#DIV/0!</v>
      </c>
      <c r="W468" s="41" t="e">
        <f>V468*AU468</f>
        <v>#DIV/0!</v>
      </c>
      <c r="X468" s="41">
        <f t="shared" si="72"/>
        <v>0</v>
      </c>
      <c r="Y468" s="41">
        <v>0</v>
      </c>
      <c r="Z468" s="41">
        <v>0</v>
      </c>
      <c r="AA468" s="41">
        <v>0</v>
      </c>
      <c r="AB468" s="41"/>
      <c r="AC468" s="41" t="e">
        <f t="shared" si="68"/>
        <v>#DIV/0!</v>
      </c>
      <c r="AD468" s="41"/>
      <c r="AE468" s="41" t="e">
        <f t="shared" si="69"/>
        <v>#DIV/0!</v>
      </c>
      <c r="AF468" s="41" t="e">
        <f>X468/AU468</f>
        <v>#DIV/0!</v>
      </c>
      <c r="AG468" s="41" t="e">
        <f t="shared" si="73"/>
        <v>#DIV/0!</v>
      </c>
      <c r="AH468" s="36">
        <v>45413</v>
      </c>
      <c r="AI468" s="36"/>
      <c r="AJ468" s="36"/>
      <c r="AK468" s="36"/>
      <c r="AL468" s="36"/>
      <c r="AM468" s="46"/>
      <c r="AN468" s="40"/>
      <c r="AO468" s="40"/>
      <c r="AP468" s="40"/>
      <c r="AQ468" s="40"/>
      <c r="AR468" s="48"/>
      <c r="AS468" s="37"/>
      <c r="AT468" s="37"/>
      <c r="AU468" s="47"/>
      <c r="AV468" s="37"/>
      <c r="AW468" s="37">
        <v>10</v>
      </c>
      <c r="AX468" s="30">
        <f>(J468*10)/100</f>
        <v>2042.04</v>
      </c>
      <c r="AY468" s="40"/>
    </row>
    <row r="469" spans="1:51" ht="43.5" customHeight="1" x14ac:dyDescent="0.25">
      <c r="A469" s="59" t="s">
        <v>2525</v>
      </c>
      <c r="B469" s="60">
        <v>45351</v>
      </c>
      <c r="C469" s="37" t="s">
        <v>2522</v>
      </c>
      <c r="D469" s="35"/>
      <c r="E469" s="40"/>
      <c r="F469" s="36"/>
      <c r="G469" s="37"/>
      <c r="H469" s="40"/>
      <c r="I469" s="62" t="s">
        <v>2054</v>
      </c>
      <c r="J469" s="61">
        <v>22915.200000000001</v>
      </c>
      <c r="K469" s="41">
        <v>0</v>
      </c>
      <c r="L469" s="54">
        <v>0</v>
      </c>
      <c r="M469" s="54">
        <v>0</v>
      </c>
      <c r="N469" s="42">
        <f t="shared" si="67"/>
        <v>100</v>
      </c>
      <c r="O469" s="43">
        <f t="shared" si="70"/>
        <v>22915.200000000001</v>
      </c>
      <c r="P469" s="41"/>
      <c r="Q469" s="43">
        <f t="shared" si="71"/>
        <v>22915.200000000001</v>
      </c>
      <c r="R469" s="41">
        <v>0</v>
      </c>
      <c r="S469" s="30">
        <f t="shared" si="74"/>
        <v>0</v>
      </c>
      <c r="T469" s="30">
        <f t="shared" si="74"/>
        <v>0</v>
      </c>
      <c r="U469" s="30" t="e">
        <f>T469/X469</f>
        <v>#DIV/0!</v>
      </c>
      <c r="V469" s="41" t="e">
        <f>T469/X469</f>
        <v>#DIV/0!</v>
      </c>
      <c r="W469" s="41" t="e">
        <f>V469*AU469</f>
        <v>#DIV/0!</v>
      </c>
      <c r="X469" s="41">
        <f t="shared" si="72"/>
        <v>0</v>
      </c>
      <c r="Y469" s="41">
        <v>0</v>
      </c>
      <c r="Z469" s="41">
        <v>0</v>
      </c>
      <c r="AA469" s="41">
        <v>0</v>
      </c>
      <c r="AB469" s="41"/>
      <c r="AC469" s="41" t="e">
        <f t="shared" si="68"/>
        <v>#DIV/0!</v>
      </c>
      <c r="AD469" s="41"/>
      <c r="AE469" s="41" t="e">
        <f t="shared" si="69"/>
        <v>#DIV/0!</v>
      </c>
      <c r="AF469" s="41" t="e">
        <f>X469/AU469</f>
        <v>#DIV/0!</v>
      </c>
      <c r="AG469" s="41" t="e">
        <f t="shared" si="73"/>
        <v>#DIV/0!</v>
      </c>
      <c r="AH469" s="36">
        <v>45413</v>
      </c>
      <c r="AI469" s="36"/>
      <c r="AJ469" s="36"/>
      <c r="AK469" s="36"/>
      <c r="AL469" s="36"/>
      <c r="AM469" s="46"/>
      <c r="AN469" s="40"/>
      <c r="AO469" s="40"/>
      <c r="AP469" s="40"/>
      <c r="AQ469" s="40"/>
      <c r="AR469" s="48"/>
      <c r="AS469" s="37"/>
      <c r="AT469" s="37"/>
      <c r="AU469" s="47"/>
      <c r="AV469" s="37"/>
      <c r="AW469" s="37">
        <v>10</v>
      </c>
      <c r="AX469" s="30">
        <f>(J469*10)/100</f>
        <v>2291.52</v>
      </c>
      <c r="AY469" s="40"/>
    </row>
    <row r="470" spans="1:51" ht="43.5" customHeight="1" x14ac:dyDescent="0.25">
      <c r="A470" s="59" t="s">
        <v>2526</v>
      </c>
      <c r="B470" s="60">
        <v>45352</v>
      </c>
      <c r="C470" s="37">
        <v>545</v>
      </c>
      <c r="D470" s="35"/>
      <c r="E470" s="40"/>
      <c r="F470" s="36"/>
      <c r="G470" s="37"/>
      <c r="H470" s="40"/>
      <c r="I470" s="70" t="s">
        <v>2527</v>
      </c>
      <c r="J470" s="61">
        <v>183077904.24000001</v>
      </c>
      <c r="K470" s="41">
        <v>0</v>
      </c>
      <c r="L470" s="54">
        <v>0</v>
      </c>
      <c r="M470" s="54">
        <v>0</v>
      </c>
      <c r="N470" s="42">
        <f t="shared" si="67"/>
        <v>100</v>
      </c>
      <c r="O470" s="43">
        <f t="shared" si="70"/>
        <v>183077904.24000001</v>
      </c>
      <c r="P470" s="41"/>
      <c r="Q470" s="43">
        <f t="shared" si="71"/>
        <v>183077904.24000001</v>
      </c>
      <c r="R470" s="41">
        <v>0</v>
      </c>
      <c r="S470" s="30">
        <f t="shared" si="74"/>
        <v>0</v>
      </c>
      <c r="T470" s="30">
        <f t="shared" si="74"/>
        <v>0</v>
      </c>
      <c r="U470" s="30" t="e">
        <f>T470/X470</f>
        <v>#DIV/0!</v>
      </c>
      <c r="V470" s="41" t="e">
        <f>T470/X470</f>
        <v>#DIV/0!</v>
      </c>
      <c r="W470" s="41" t="e">
        <f>V470*AU470</f>
        <v>#DIV/0!</v>
      </c>
      <c r="X470" s="41">
        <f t="shared" si="72"/>
        <v>0</v>
      </c>
      <c r="Y470" s="41">
        <v>0</v>
      </c>
      <c r="Z470" s="41">
        <v>0</v>
      </c>
      <c r="AA470" s="41">
        <v>0</v>
      </c>
      <c r="AB470" s="41"/>
      <c r="AC470" s="41" t="e">
        <f t="shared" si="68"/>
        <v>#DIV/0!</v>
      </c>
      <c r="AD470" s="41"/>
      <c r="AE470" s="41" t="e">
        <f t="shared" si="69"/>
        <v>#DIV/0!</v>
      </c>
      <c r="AF470" s="41" t="e">
        <f>X470/AU470</f>
        <v>#DIV/0!</v>
      </c>
      <c r="AG470" s="41" t="e">
        <f t="shared" si="73"/>
        <v>#DIV/0!</v>
      </c>
      <c r="AH470" s="36">
        <v>45412</v>
      </c>
      <c r="AI470" s="36">
        <v>45504</v>
      </c>
      <c r="AJ470" s="36"/>
      <c r="AK470" s="36"/>
      <c r="AL470" s="36"/>
      <c r="AM470" s="46"/>
      <c r="AN470" s="40"/>
      <c r="AO470" s="40"/>
      <c r="AP470" s="40"/>
      <c r="AQ470" s="40"/>
      <c r="AR470" s="48"/>
      <c r="AS470" s="37"/>
      <c r="AT470" s="37"/>
      <c r="AU470" s="47"/>
      <c r="AV470" s="37"/>
      <c r="AW470" s="37">
        <v>10</v>
      </c>
      <c r="AX470" s="30">
        <f>(J470*10)/100</f>
        <v>18307790.424000002</v>
      </c>
      <c r="AY470" s="40"/>
    </row>
    <row r="471" spans="1:51" ht="43.5" customHeight="1" x14ac:dyDescent="0.25">
      <c r="A471" s="59" t="s">
        <v>2528</v>
      </c>
      <c r="B471" s="60">
        <v>45352</v>
      </c>
      <c r="C471" s="37">
        <v>1416</v>
      </c>
      <c r="D471" s="35"/>
      <c r="E471" s="40"/>
      <c r="F471" s="36"/>
      <c r="G471" s="37"/>
      <c r="H471" s="40"/>
      <c r="I471" s="62" t="s">
        <v>2529</v>
      </c>
      <c r="J471" s="61">
        <v>255339696</v>
      </c>
      <c r="K471" s="41">
        <v>0</v>
      </c>
      <c r="L471" s="54">
        <v>0</v>
      </c>
      <c r="M471" s="54">
        <v>0</v>
      </c>
      <c r="N471" s="42">
        <f t="shared" si="67"/>
        <v>100</v>
      </c>
      <c r="O471" s="43">
        <f t="shared" si="70"/>
        <v>255339696</v>
      </c>
      <c r="P471" s="41"/>
      <c r="Q471" s="43">
        <f t="shared" si="71"/>
        <v>255339696</v>
      </c>
      <c r="R471" s="41">
        <v>0</v>
      </c>
      <c r="S471" s="30">
        <f t="shared" si="74"/>
        <v>0</v>
      </c>
      <c r="T471" s="30">
        <f t="shared" si="74"/>
        <v>0</v>
      </c>
      <c r="U471" s="30" t="e">
        <f>T471/X471</f>
        <v>#DIV/0!</v>
      </c>
      <c r="V471" s="41" t="e">
        <f>T471/X471</f>
        <v>#DIV/0!</v>
      </c>
      <c r="W471" s="41" t="e">
        <f>V471*AU471</f>
        <v>#DIV/0!</v>
      </c>
      <c r="X471" s="41">
        <f t="shared" si="72"/>
        <v>0</v>
      </c>
      <c r="Y471" s="41">
        <v>0</v>
      </c>
      <c r="Z471" s="41">
        <v>0</v>
      </c>
      <c r="AA471" s="41">
        <v>0</v>
      </c>
      <c r="AB471" s="41"/>
      <c r="AC471" s="41" t="e">
        <f t="shared" si="68"/>
        <v>#DIV/0!</v>
      </c>
      <c r="AD471" s="41"/>
      <c r="AE471" s="41" t="e">
        <f t="shared" si="69"/>
        <v>#DIV/0!</v>
      </c>
      <c r="AF471" s="41" t="e">
        <f>X471/AU471</f>
        <v>#DIV/0!</v>
      </c>
      <c r="AG471" s="41" t="e">
        <f t="shared" si="73"/>
        <v>#DIV/0!</v>
      </c>
      <c r="AH471" s="36">
        <v>45444</v>
      </c>
      <c r="AI471" s="36"/>
      <c r="AJ471" s="36"/>
      <c r="AK471" s="36"/>
      <c r="AL471" s="36"/>
      <c r="AM471" s="46"/>
      <c r="AN471" s="40"/>
      <c r="AO471" s="40"/>
      <c r="AP471" s="40"/>
      <c r="AQ471" s="40"/>
      <c r="AR471" s="48"/>
      <c r="AS471" s="37"/>
      <c r="AT471" s="37"/>
      <c r="AU471" s="47"/>
      <c r="AV471" s="37"/>
      <c r="AW471" s="37">
        <v>10</v>
      </c>
      <c r="AX471" s="30">
        <f>(J471*10)/100</f>
        <v>25533969.600000001</v>
      </c>
      <c r="AY471" s="40"/>
    </row>
    <row r="472" spans="1:51" ht="43.5" customHeight="1" x14ac:dyDescent="0.25">
      <c r="A472" s="59" t="s">
        <v>2530</v>
      </c>
      <c r="B472" s="60">
        <v>45352</v>
      </c>
      <c r="C472" s="37">
        <v>1416</v>
      </c>
      <c r="D472" s="35"/>
      <c r="E472" s="40"/>
      <c r="F472" s="36"/>
      <c r="G472" s="37"/>
      <c r="H472" s="40"/>
      <c r="I472" s="62" t="s">
        <v>931</v>
      </c>
      <c r="J472" s="61">
        <v>53722536</v>
      </c>
      <c r="K472" s="41">
        <v>0</v>
      </c>
      <c r="L472" s="54">
        <v>0</v>
      </c>
      <c r="M472" s="54">
        <v>0</v>
      </c>
      <c r="N472" s="42">
        <f t="shared" si="67"/>
        <v>100</v>
      </c>
      <c r="O472" s="43">
        <f t="shared" si="70"/>
        <v>53722536</v>
      </c>
      <c r="P472" s="41"/>
      <c r="Q472" s="43">
        <f t="shared" si="71"/>
        <v>53722536</v>
      </c>
      <c r="R472" s="41">
        <v>0</v>
      </c>
      <c r="S472" s="30">
        <f t="shared" si="74"/>
        <v>0</v>
      </c>
      <c r="T472" s="30">
        <f t="shared" si="74"/>
        <v>0</v>
      </c>
      <c r="U472" s="30" t="e">
        <f>T472/X472</f>
        <v>#DIV/0!</v>
      </c>
      <c r="V472" s="41" t="e">
        <f>T472/X472</f>
        <v>#DIV/0!</v>
      </c>
      <c r="W472" s="41" t="e">
        <f>V472*AU472</f>
        <v>#DIV/0!</v>
      </c>
      <c r="X472" s="41">
        <f t="shared" si="72"/>
        <v>0</v>
      </c>
      <c r="Y472" s="41">
        <v>0</v>
      </c>
      <c r="Z472" s="41">
        <v>0</v>
      </c>
      <c r="AA472" s="41">
        <v>0</v>
      </c>
      <c r="AB472" s="41"/>
      <c r="AC472" s="41" t="e">
        <f t="shared" si="68"/>
        <v>#DIV/0!</v>
      </c>
      <c r="AD472" s="41"/>
      <c r="AE472" s="41" t="e">
        <f t="shared" si="69"/>
        <v>#DIV/0!</v>
      </c>
      <c r="AF472" s="41" t="e">
        <f>X472/AU472</f>
        <v>#DIV/0!</v>
      </c>
      <c r="AG472" s="41" t="e">
        <f t="shared" si="73"/>
        <v>#DIV/0!</v>
      </c>
      <c r="AH472" s="36">
        <v>45444</v>
      </c>
      <c r="AI472" s="36"/>
      <c r="AJ472" s="36"/>
      <c r="AK472" s="36"/>
      <c r="AL472" s="36"/>
      <c r="AM472" s="46"/>
      <c r="AN472" s="40"/>
      <c r="AO472" s="40"/>
      <c r="AP472" s="40"/>
      <c r="AQ472" s="40"/>
      <c r="AR472" s="48"/>
      <c r="AS472" s="37"/>
      <c r="AT472" s="37"/>
      <c r="AU472" s="47"/>
      <c r="AV472" s="37"/>
      <c r="AW472" s="37">
        <v>10</v>
      </c>
      <c r="AX472" s="30">
        <f>(J472*10)/100</f>
        <v>5372253.5999999996</v>
      </c>
      <c r="AY472" s="40"/>
    </row>
    <row r="473" spans="1:51" ht="43.5" customHeight="1" x14ac:dyDescent="0.25">
      <c r="A473" s="59" t="s">
        <v>2531</v>
      </c>
      <c r="B473" s="60">
        <v>45352</v>
      </c>
      <c r="C473" s="37">
        <v>1416</v>
      </c>
      <c r="D473" s="35"/>
      <c r="E473" s="40"/>
      <c r="F473" s="36"/>
      <c r="G473" s="37"/>
      <c r="H473" s="40"/>
      <c r="I473" s="62" t="s">
        <v>2532</v>
      </c>
      <c r="J473" s="61">
        <v>1881289.02</v>
      </c>
      <c r="K473" s="41">
        <v>0</v>
      </c>
      <c r="L473" s="54">
        <v>0</v>
      </c>
      <c r="M473" s="54">
        <v>0</v>
      </c>
      <c r="N473" s="42">
        <f t="shared" si="67"/>
        <v>100</v>
      </c>
      <c r="O473" s="43">
        <f t="shared" si="70"/>
        <v>1881289.02</v>
      </c>
      <c r="P473" s="41"/>
      <c r="Q473" s="43">
        <f t="shared" si="71"/>
        <v>1881289.02</v>
      </c>
      <c r="R473" s="41">
        <v>0</v>
      </c>
      <c r="S473" s="30">
        <f t="shared" si="74"/>
        <v>0</v>
      </c>
      <c r="T473" s="30">
        <f t="shared" si="74"/>
        <v>0</v>
      </c>
      <c r="U473" s="30" t="e">
        <f>T473/X473</f>
        <v>#DIV/0!</v>
      </c>
      <c r="V473" s="41" t="e">
        <f>T473/X473</f>
        <v>#DIV/0!</v>
      </c>
      <c r="W473" s="41" t="e">
        <f>V473*AU473</f>
        <v>#DIV/0!</v>
      </c>
      <c r="X473" s="41">
        <f t="shared" si="72"/>
        <v>0</v>
      </c>
      <c r="Y473" s="41">
        <v>0</v>
      </c>
      <c r="Z473" s="41">
        <v>0</v>
      </c>
      <c r="AA473" s="41">
        <v>0</v>
      </c>
      <c r="AB473" s="41"/>
      <c r="AC473" s="41" t="e">
        <f t="shared" si="68"/>
        <v>#DIV/0!</v>
      </c>
      <c r="AD473" s="41"/>
      <c r="AE473" s="41" t="e">
        <f t="shared" si="69"/>
        <v>#DIV/0!</v>
      </c>
      <c r="AF473" s="41" t="e">
        <f>X473/AU473</f>
        <v>#DIV/0!</v>
      </c>
      <c r="AG473" s="41" t="e">
        <f t="shared" si="73"/>
        <v>#DIV/0!</v>
      </c>
      <c r="AH473" s="36">
        <v>45413</v>
      </c>
      <c r="AI473" s="36"/>
      <c r="AJ473" s="36"/>
      <c r="AK473" s="36"/>
      <c r="AL473" s="36"/>
      <c r="AM473" s="46"/>
      <c r="AN473" s="40"/>
      <c r="AO473" s="40"/>
      <c r="AP473" s="40"/>
      <c r="AQ473" s="40"/>
      <c r="AR473" s="48"/>
      <c r="AS473" s="37"/>
      <c r="AT473" s="37"/>
      <c r="AU473" s="47"/>
      <c r="AV473" s="37"/>
      <c r="AW473" s="37">
        <v>10</v>
      </c>
      <c r="AX473" s="30">
        <f>(J473*10)/100</f>
        <v>188128.902</v>
      </c>
      <c r="AY473" s="40"/>
    </row>
    <row r="474" spans="1:51" ht="43.5" customHeight="1" x14ac:dyDescent="0.25">
      <c r="A474" s="59" t="s">
        <v>2533</v>
      </c>
      <c r="B474" s="60">
        <v>45352</v>
      </c>
      <c r="C474" s="37">
        <v>1416</v>
      </c>
      <c r="D474" s="35"/>
      <c r="E474" s="40"/>
      <c r="F474" s="36"/>
      <c r="G474" s="37"/>
      <c r="H474" s="40"/>
      <c r="I474" s="62" t="s">
        <v>2534</v>
      </c>
      <c r="J474" s="61">
        <v>131845280</v>
      </c>
      <c r="K474" s="41">
        <v>0</v>
      </c>
      <c r="L474" s="54">
        <v>0</v>
      </c>
      <c r="M474" s="54">
        <v>0</v>
      </c>
      <c r="N474" s="42">
        <f t="shared" si="67"/>
        <v>100</v>
      </c>
      <c r="O474" s="43">
        <f t="shared" si="70"/>
        <v>131845280</v>
      </c>
      <c r="P474" s="41"/>
      <c r="Q474" s="43">
        <f t="shared" si="71"/>
        <v>131845280</v>
      </c>
      <c r="R474" s="41">
        <v>0</v>
      </c>
      <c r="S474" s="30">
        <f t="shared" si="74"/>
        <v>0</v>
      </c>
      <c r="T474" s="30">
        <f t="shared" si="74"/>
        <v>0</v>
      </c>
      <c r="U474" s="30" t="e">
        <f>T474/X474</f>
        <v>#DIV/0!</v>
      </c>
      <c r="V474" s="41" t="e">
        <f>T474/X474</f>
        <v>#DIV/0!</v>
      </c>
      <c r="W474" s="41" t="e">
        <f>V474*AU474</f>
        <v>#DIV/0!</v>
      </c>
      <c r="X474" s="41">
        <f t="shared" si="72"/>
        <v>0</v>
      </c>
      <c r="Y474" s="41">
        <v>0</v>
      </c>
      <c r="Z474" s="41">
        <v>0</v>
      </c>
      <c r="AA474" s="41">
        <v>0</v>
      </c>
      <c r="AB474" s="41"/>
      <c r="AC474" s="41" t="e">
        <f t="shared" si="68"/>
        <v>#DIV/0!</v>
      </c>
      <c r="AD474" s="41"/>
      <c r="AE474" s="41" t="e">
        <f t="shared" si="69"/>
        <v>#DIV/0!</v>
      </c>
      <c r="AF474" s="41" t="e">
        <f>X474/AU474</f>
        <v>#DIV/0!</v>
      </c>
      <c r="AG474" s="41" t="e">
        <f t="shared" si="73"/>
        <v>#DIV/0!</v>
      </c>
      <c r="AH474" s="36">
        <v>45427</v>
      </c>
      <c r="AI474" s="36"/>
      <c r="AJ474" s="36"/>
      <c r="AK474" s="36"/>
      <c r="AL474" s="36"/>
      <c r="AM474" s="46"/>
      <c r="AN474" s="40"/>
      <c r="AO474" s="40"/>
      <c r="AP474" s="40"/>
      <c r="AQ474" s="40"/>
      <c r="AR474" s="48"/>
      <c r="AS474" s="37"/>
      <c r="AT474" s="37"/>
      <c r="AU474" s="47"/>
      <c r="AV474" s="37"/>
      <c r="AW474" s="37">
        <v>10</v>
      </c>
      <c r="AX474" s="30">
        <f>(J474*10)/100</f>
        <v>13184528</v>
      </c>
      <c r="AY474" s="40"/>
    </row>
    <row r="475" spans="1:51" ht="43.5" customHeight="1" x14ac:dyDescent="0.25">
      <c r="A475" s="59" t="s">
        <v>2535</v>
      </c>
      <c r="B475" s="60">
        <v>45352</v>
      </c>
      <c r="C475" s="37">
        <v>1416</v>
      </c>
      <c r="D475" s="35"/>
      <c r="E475" s="40"/>
      <c r="F475" s="36"/>
      <c r="G475" s="37"/>
      <c r="H475" s="40"/>
      <c r="I475" s="64" t="s">
        <v>805</v>
      </c>
      <c r="J475" s="61">
        <v>54348255.359999999</v>
      </c>
      <c r="K475" s="41">
        <v>0</v>
      </c>
      <c r="L475" s="54">
        <v>0</v>
      </c>
      <c r="M475" s="54">
        <v>0</v>
      </c>
      <c r="N475" s="42">
        <f t="shared" si="67"/>
        <v>100</v>
      </c>
      <c r="O475" s="43">
        <f t="shared" si="70"/>
        <v>54348255.359999999</v>
      </c>
      <c r="P475" s="41"/>
      <c r="Q475" s="43">
        <f t="shared" si="71"/>
        <v>54348255.359999999</v>
      </c>
      <c r="R475" s="41">
        <v>0</v>
      </c>
      <c r="S475" s="30">
        <f t="shared" si="74"/>
        <v>0</v>
      </c>
      <c r="T475" s="30">
        <f t="shared" si="74"/>
        <v>0</v>
      </c>
      <c r="U475" s="30" t="e">
        <f>T475/X475</f>
        <v>#DIV/0!</v>
      </c>
      <c r="V475" s="41" t="e">
        <f>T475/X475</f>
        <v>#DIV/0!</v>
      </c>
      <c r="W475" s="41" t="e">
        <f>V475*AU475</f>
        <v>#DIV/0!</v>
      </c>
      <c r="X475" s="41">
        <f t="shared" si="72"/>
        <v>0</v>
      </c>
      <c r="Y475" s="41">
        <v>0</v>
      </c>
      <c r="Z475" s="41">
        <v>0</v>
      </c>
      <c r="AA475" s="41">
        <v>0</v>
      </c>
      <c r="AB475" s="41"/>
      <c r="AC475" s="41" t="e">
        <f t="shared" si="68"/>
        <v>#DIV/0!</v>
      </c>
      <c r="AD475" s="41"/>
      <c r="AE475" s="41" t="e">
        <f t="shared" si="69"/>
        <v>#DIV/0!</v>
      </c>
      <c r="AF475" s="41" t="e">
        <f>X475/AU475</f>
        <v>#DIV/0!</v>
      </c>
      <c r="AG475" s="41" t="e">
        <f t="shared" si="73"/>
        <v>#DIV/0!</v>
      </c>
      <c r="AH475" s="36">
        <v>45413</v>
      </c>
      <c r="AI475" s="36"/>
      <c r="AJ475" s="36"/>
      <c r="AK475" s="36"/>
      <c r="AL475" s="36"/>
      <c r="AM475" s="46"/>
      <c r="AN475" s="40"/>
      <c r="AO475" s="40"/>
      <c r="AP475" s="40"/>
      <c r="AQ475" s="40"/>
      <c r="AR475" s="48"/>
      <c r="AS475" s="37"/>
      <c r="AT475" s="37"/>
      <c r="AU475" s="47"/>
      <c r="AV475" s="37"/>
      <c r="AW475" s="37">
        <v>10</v>
      </c>
      <c r="AX475" s="30">
        <f>(J475*10)/100</f>
        <v>5434825.5360000003</v>
      </c>
      <c r="AY475" s="40"/>
    </row>
    <row r="476" spans="1:51" ht="43.5" customHeight="1" x14ac:dyDescent="0.25">
      <c r="A476" s="59" t="s">
        <v>2536</v>
      </c>
      <c r="B476" s="60">
        <v>45352</v>
      </c>
      <c r="C476" s="37">
        <v>1416</v>
      </c>
      <c r="D476" s="35"/>
      <c r="E476" s="40"/>
      <c r="F476" s="36"/>
      <c r="G476" s="37"/>
      <c r="H476" s="40"/>
      <c r="I476" s="64" t="s">
        <v>2537</v>
      </c>
      <c r="J476" s="61">
        <v>12981853.08</v>
      </c>
      <c r="K476" s="41">
        <v>0</v>
      </c>
      <c r="L476" s="54">
        <v>0</v>
      </c>
      <c r="M476" s="54">
        <v>0</v>
      </c>
      <c r="N476" s="42">
        <f t="shared" si="67"/>
        <v>100</v>
      </c>
      <c r="O476" s="43">
        <f t="shared" si="70"/>
        <v>12981853.08</v>
      </c>
      <c r="P476" s="41"/>
      <c r="Q476" s="43">
        <f t="shared" si="71"/>
        <v>12981853.08</v>
      </c>
      <c r="R476" s="41">
        <v>0</v>
      </c>
      <c r="S476" s="30">
        <f t="shared" si="74"/>
        <v>0</v>
      </c>
      <c r="T476" s="30">
        <f t="shared" si="74"/>
        <v>0</v>
      </c>
      <c r="U476" s="30" t="e">
        <f>T476/X476</f>
        <v>#DIV/0!</v>
      </c>
      <c r="V476" s="41" t="e">
        <f>T476/X476</f>
        <v>#DIV/0!</v>
      </c>
      <c r="W476" s="41" t="e">
        <f>V476*AU476</f>
        <v>#DIV/0!</v>
      </c>
      <c r="X476" s="41">
        <f t="shared" si="72"/>
        <v>0</v>
      </c>
      <c r="Y476" s="41">
        <v>0</v>
      </c>
      <c r="Z476" s="41">
        <v>0</v>
      </c>
      <c r="AA476" s="41">
        <v>0</v>
      </c>
      <c r="AB476" s="41"/>
      <c r="AC476" s="41" t="e">
        <f t="shared" si="68"/>
        <v>#DIV/0!</v>
      </c>
      <c r="AD476" s="41"/>
      <c r="AE476" s="41" t="e">
        <f t="shared" si="69"/>
        <v>#DIV/0!</v>
      </c>
      <c r="AF476" s="41" t="e">
        <f>X476/AU476</f>
        <v>#DIV/0!</v>
      </c>
      <c r="AG476" s="41" t="e">
        <f t="shared" si="73"/>
        <v>#DIV/0!</v>
      </c>
      <c r="AH476" s="36">
        <v>45413</v>
      </c>
      <c r="AI476" s="36"/>
      <c r="AJ476" s="36"/>
      <c r="AK476" s="36"/>
      <c r="AL476" s="36"/>
      <c r="AM476" s="46"/>
      <c r="AN476" s="40"/>
      <c r="AO476" s="40"/>
      <c r="AP476" s="40"/>
      <c r="AQ476" s="40"/>
      <c r="AR476" s="48"/>
      <c r="AS476" s="37"/>
      <c r="AT476" s="37"/>
      <c r="AU476" s="47"/>
      <c r="AV476" s="37"/>
      <c r="AW476" s="37">
        <v>10</v>
      </c>
      <c r="AX476" s="30">
        <f>(J476*10)/100</f>
        <v>1298185.308</v>
      </c>
      <c r="AY476" s="40"/>
    </row>
    <row r="477" spans="1:51" ht="43.5" customHeight="1" x14ac:dyDescent="0.25">
      <c r="A477" s="59" t="s">
        <v>2538</v>
      </c>
      <c r="B477" s="60">
        <v>45352</v>
      </c>
      <c r="C477" s="37">
        <v>1416</v>
      </c>
      <c r="D477" s="35"/>
      <c r="E477" s="40"/>
      <c r="F477" s="36"/>
      <c r="G477" s="37"/>
      <c r="H477" s="40"/>
      <c r="I477" s="64" t="s">
        <v>2539</v>
      </c>
      <c r="J477" s="61">
        <v>58070806.5</v>
      </c>
      <c r="K477" s="41">
        <v>0</v>
      </c>
      <c r="L477" s="54">
        <v>0</v>
      </c>
      <c r="M477" s="54">
        <v>0</v>
      </c>
      <c r="N477" s="42">
        <f t="shared" si="67"/>
        <v>100</v>
      </c>
      <c r="O477" s="43">
        <f t="shared" si="70"/>
        <v>58070806.5</v>
      </c>
      <c r="P477" s="41"/>
      <c r="Q477" s="43">
        <f t="shared" si="71"/>
        <v>58070806.5</v>
      </c>
      <c r="R477" s="41">
        <v>0</v>
      </c>
      <c r="S477" s="30">
        <f t="shared" si="74"/>
        <v>0</v>
      </c>
      <c r="T477" s="30">
        <f t="shared" si="74"/>
        <v>0</v>
      </c>
      <c r="U477" s="30" t="e">
        <f>T477/X477</f>
        <v>#DIV/0!</v>
      </c>
      <c r="V477" s="41" t="e">
        <f>T477/X477</f>
        <v>#DIV/0!</v>
      </c>
      <c r="W477" s="41" t="e">
        <f>V477*AU477</f>
        <v>#DIV/0!</v>
      </c>
      <c r="X477" s="41">
        <f t="shared" si="72"/>
        <v>0</v>
      </c>
      <c r="Y477" s="41">
        <v>0</v>
      </c>
      <c r="Z477" s="41">
        <v>0</v>
      </c>
      <c r="AA477" s="41">
        <v>0</v>
      </c>
      <c r="AB477" s="41"/>
      <c r="AC477" s="41" t="e">
        <f t="shared" si="68"/>
        <v>#DIV/0!</v>
      </c>
      <c r="AD477" s="41"/>
      <c r="AE477" s="41" t="e">
        <f t="shared" si="69"/>
        <v>#DIV/0!</v>
      </c>
      <c r="AF477" s="41" t="e">
        <f>X477/AU477</f>
        <v>#DIV/0!</v>
      </c>
      <c r="AG477" s="41" t="e">
        <f t="shared" si="73"/>
        <v>#DIV/0!</v>
      </c>
      <c r="AH477" s="36">
        <v>45413</v>
      </c>
      <c r="AI477" s="36"/>
      <c r="AJ477" s="36"/>
      <c r="AK477" s="36"/>
      <c r="AL477" s="36"/>
      <c r="AM477" s="46"/>
      <c r="AN477" s="40"/>
      <c r="AO477" s="40"/>
      <c r="AP477" s="40"/>
      <c r="AQ477" s="40"/>
      <c r="AR477" s="48"/>
      <c r="AS477" s="37"/>
      <c r="AT477" s="37"/>
      <c r="AU477" s="47"/>
      <c r="AV477" s="37"/>
      <c r="AW477" s="37">
        <v>10</v>
      </c>
      <c r="AX477" s="30">
        <f>(J477*10)/100</f>
        <v>5807080.6500000004</v>
      </c>
      <c r="AY477" s="40"/>
    </row>
    <row r="478" spans="1:51" ht="43.5" customHeight="1" x14ac:dyDescent="0.25">
      <c r="A478" s="59" t="s">
        <v>2540</v>
      </c>
      <c r="B478" s="60">
        <v>45352</v>
      </c>
      <c r="C478" s="37">
        <v>1416</v>
      </c>
      <c r="D478" s="35"/>
      <c r="E478" s="40"/>
      <c r="F478" s="36"/>
      <c r="G478" s="37"/>
      <c r="H478" s="40"/>
      <c r="I478" s="62" t="s">
        <v>1398</v>
      </c>
      <c r="J478" s="61">
        <v>2745667</v>
      </c>
      <c r="K478" s="41">
        <v>0</v>
      </c>
      <c r="L478" s="54">
        <v>0</v>
      </c>
      <c r="M478" s="54">
        <v>0</v>
      </c>
      <c r="N478" s="42">
        <f t="shared" si="67"/>
        <v>100</v>
      </c>
      <c r="O478" s="43">
        <f t="shared" si="70"/>
        <v>2745667</v>
      </c>
      <c r="P478" s="41"/>
      <c r="Q478" s="43">
        <f t="shared" si="71"/>
        <v>2745667</v>
      </c>
      <c r="R478" s="41">
        <v>0</v>
      </c>
      <c r="S478" s="30">
        <f t="shared" si="74"/>
        <v>0</v>
      </c>
      <c r="T478" s="30">
        <f t="shared" si="74"/>
        <v>0</v>
      </c>
      <c r="U478" s="30" t="e">
        <f>T478/X478</f>
        <v>#DIV/0!</v>
      </c>
      <c r="V478" s="41" t="e">
        <f>T478/X478</f>
        <v>#DIV/0!</v>
      </c>
      <c r="W478" s="41" t="e">
        <f>V478*AU478</f>
        <v>#DIV/0!</v>
      </c>
      <c r="X478" s="41">
        <f t="shared" si="72"/>
        <v>0</v>
      </c>
      <c r="Y478" s="41">
        <v>0</v>
      </c>
      <c r="Z478" s="41">
        <v>0</v>
      </c>
      <c r="AA478" s="41">
        <v>0</v>
      </c>
      <c r="AB478" s="41"/>
      <c r="AC478" s="41" t="e">
        <f t="shared" si="68"/>
        <v>#DIV/0!</v>
      </c>
      <c r="AD478" s="41"/>
      <c r="AE478" s="41" t="e">
        <f t="shared" si="69"/>
        <v>#DIV/0!</v>
      </c>
      <c r="AF478" s="41" t="e">
        <f>X478/AU478</f>
        <v>#DIV/0!</v>
      </c>
      <c r="AG478" s="41" t="e">
        <f t="shared" si="73"/>
        <v>#DIV/0!</v>
      </c>
      <c r="AH478" s="36">
        <v>45413</v>
      </c>
      <c r="AI478" s="36"/>
      <c r="AJ478" s="36"/>
      <c r="AK478" s="36"/>
      <c r="AL478" s="36"/>
      <c r="AM478" s="46"/>
      <c r="AN478" s="40"/>
      <c r="AO478" s="40"/>
      <c r="AP478" s="40"/>
      <c r="AQ478" s="40"/>
      <c r="AR478" s="48"/>
      <c r="AS478" s="37"/>
      <c r="AT478" s="37"/>
      <c r="AU478" s="47"/>
      <c r="AV478" s="37"/>
      <c r="AW478" s="37">
        <v>10</v>
      </c>
      <c r="AX478" s="30">
        <f>(J478*10)/100</f>
        <v>274566.7</v>
      </c>
      <c r="AY478" s="40"/>
    </row>
    <row r="479" spans="1:51" ht="43.5" customHeight="1" x14ac:dyDescent="0.25">
      <c r="A479" s="59" t="s">
        <v>2541</v>
      </c>
      <c r="B479" s="60">
        <v>45352</v>
      </c>
      <c r="C479" s="37">
        <v>1416</v>
      </c>
      <c r="D479" s="35"/>
      <c r="E479" s="40"/>
      <c r="F479" s="36"/>
      <c r="G479" s="37"/>
      <c r="H479" s="40"/>
      <c r="I479" s="62" t="s">
        <v>2542</v>
      </c>
      <c r="J479" s="61">
        <v>707203973.08000004</v>
      </c>
      <c r="K479" s="41">
        <v>0</v>
      </c>
      <c r="L479" s="54">
        <v>0</v>
      </c>
      <c r="M479" s="54">
        <v>0</v>
      </c>
      <c r="N479" s="42">
        <f t="shared" si="67"/>
        <v>100</v>
      </c>
      <c r="O479" s="43">
        <f t="shared" si="70"/>
        <v>707203973.08000004</v>
      </c>
      <c r="P479" s="41"/>
      <c r="Q479" s="43">
        <f t="shared" si="71"/>
        <v>707203973.08000004</v>
      </c>
      <c r="R479" s="41">
        <v>0</v>
      </c>
      <c r="S479" s="30">
        <f t="shared" si="74"/>
        <v>0</v>
      </c>
      <c r="T479" s="30">
        <f t="shared" si="74"/>
        <v>0</v>
      </c>
      <c r="U479" s="30" t="e">
        <f>T479/X479</f>
        <v>#DIV/0!</v>
      </c>
      <c r="V479" s="41" t="e">
        <f>T479/X479</f>
        <v>#DIV/0!</v>
      </c>
      <c r="W479" s="41" t="e">
        <f>V479*AU479</f>
        <v>#DIV/0!</v>
      </c>
      <c r="X479" s="41">
        <f t="shared" si="72"/>
        <v>0</v>
      </c>
      <c r="Y479" s="41">
        <v>0</v>
      </c>
      <c r="Z479" s="41">
        <v>0</v>
      </c>
      <c r="AA479" s="41">
        <v>0</v>
      </c>
      <c r="AB479" s="41"/>
      <c r="AC479" s="41" t="e">
        <f t="shared" si="68"/>
        <v>#DIV/0!</v>
      </c>
      <c r="AD479" s="41"/>
      <c r="AE479" s="41" t="e">
        <f t="shared" si="69"/>
        <v>#DIV/0!</v>
      </c>
      <c r="AF479" s="41" t="e">
        <f>X479/AU479</f>
        <v>#DIV/0!</v>
      </c>
      <c r="AG479" s="41" t="e">
        <f t="shared" si="73"/>
        <v>#DIV/0!</v>
      </c>
      <c r="AH479" s="36">
        <v>45536</v>
      </c>
      <c r="AI479" s="36"/>
      <c r="AJ479" s="36"/>
      <c r="AK479" s="36"/>
      <c r="AL479" s="36"/>
      <c r="AM479" s="46"/>
      <c r="AN479" s="40"/>
      <c r="AO479" s="40"/>
      <c r="AP479" s="40"/>
      <c r="AQ479" s="40"/>
      <c r="AR479" s="48"/>
      <c r="AS479" s="37"/>
      <c r="AT479" s="37"/>
      <c r="AU479" s="47"/>
      <c r="AV479" s="37"/>
      <c r="AW479" s="37">
        <v>10</v>
      </c>
      <c r="AX479" s="30">
        <f>(J479*10)/100</f>
        <v>70720397.307999998</v>
      </c>
      <c r="AY479" s="40"/>
    </row>
    <row r="480" spans="1:51" ht="43.5" customHeight="1" x14ac:dyDescent="0.25">
      <c r="A480" s="59" t="s">
        <v>2543</v>
      </c>
      <c r="B480" s="60">
        <v>45352</v>
      </c>
      <c r="C480" s="37">
        <v>1416</v>
      </c>
      <c r="D480" s="35"/>
      <c r="E480" s="40"/>
      <c r="F480" s="36"/>
      <c r="G480" s="37"/>
      <c r="H480" s="40"/>
      <c r="I480" s="64" t="s">
        <v>2544</v>
      </c>
      <c r="J480" s="61">
        <v>745766028</v>
      </c>
      <c r="K480" s="41">
        <v>0</v>
      </c>
      <c r="L480" s="54">
        <v>0</v>
      </c>
      <c r="M480" s="54">
        <v>0</v>
      </c>
      <c r="N480" s="42">
        <f t="shared" ref="N480:N519" si="75">((J480-P480)/J480)*100</f>
        <v>100</v>
      </c>
      <c r="O480" s="43">
        <f t="shared" si="70"/>
        <v>745766028</v>
      </c>
      <c r="P480" s="41"/>
      <c r="Q480" s="43">
        <f t="shared" si="71"/>
        <v>745766028</v>
      </c>
      <c r="R480" s="41">
        <v>0</v>
      </c>
      <c r="S480" s="30">
        <f t="shared" si="74"/>
        <v>0</v>
      </c>
      <c r="T480" s="30">
        <f t="shared" si="74"/>
        <v>0</v>
      </c>
      <c r="U480" s="30" t="e">
        <f>T480/X480</f>
        <v>#DIV/0!</v>
      </c>
      <c r="V480" s="41" t="e">
        <f>T480/X480</f>
        <v>#DIV/0!</v>
      </c>
      <c r="W480" s="41" t="e">
        <f>V480*AU480</f>
        <v>#DIV/0!</v>
      </c>
      <c r="X480" s="41">
        <f t="shared" si="72"/>
        <v>0</v>
      </c>
      <c r="Y480" s="41">
        <v>0</v>
      </c>
      <c r="Z480" s="41">
        <v>0</v>
      </c>
      <c r="AA480" s="41">
        <v>0</v>
      </c>
      <c r="AB480" s="41"/>
      <c r="AC480" s="41" t="e">
        <f t="shared" si="68"/>
        <v>#DIV/0!</v>
      </c>
      <c r="AD480" s="41"/>
      <c r="AE480" s="41" t="e">
        <f t="shared" si="69"/>
        <v>#DIV/0!</v>
      </c>
      <c r="AF480" s="41" t="e">
        <f>X480/AU480</f>
        <v>#DIV/0!</v>
      </c>
      <c r="AG480" s="41" t="e">
        <f t="shared" si="73"/>
        <v>#DIV/0!</v>
      </c>
      <c r="AH480" s="36">
        <v>45413</v>
      </c>
      <c r="AI480" s="36"/>
      <c r="AJ480" s="36"/>
      <c r="AK480" s="36"/>
      <c r="AL480" s="36"/>
      <c r="AM480" s="46"/>
      <c r="AN480" s="40"/>
      <c r="AO480" s="40"/>
      <c r="AP480" s="40"/>
      <c r="AQ480" s="40"/>
      <c r="AR480" s="48"/>
      <c r="AS480" s="37"/>
      <c r="AT480" s="37"/>
      <c r="AU480" s="47"/>
      <c r="AV480" s="37"/>
      <c r="AW480" s="37">
        <v>10</v>
      </c>
      <c r="AX480" s="30">
        <f>(J480*10)/100</f>
        <v>74576602.799999997</v>
      </c>
      <c r="AY480" s="40"/>
    </row>
    <row r="481" spans="1:51" ht="43.5" customHeight="1" x14ac:dyDescent="0.25">
      <c r="A481" s="59" t="s">
        <v>2545</v>
      </c>
      <c r="B481" s="60">
        <v>45352</v>
      </c>
      <c r="C481" s="37">
        <v>1688</v>
      </c>
      <c r="D481" s="35"/>
      <c r="E481" s="40"/>
      <c r="F481" s="36"/>
      <c r="G481" s="37"/>
      <c r="H481" s="40"/>
      <c r="I481" s="62" t="s">
        <v>2546</v>
      </c>
      <c r="J481" s="61">
        <v>1539268903.2</v>
      </c>
      <c r="K481" s="41">
        <v>0</v>
      </c>
      <c r="L481" s="54">
        <v>0</v>
      </c>
      <c r="M481" s="54">
        <v>0</v>
      </c>
      <c r="N481" s="42">
        <f t="shared" si="75"/>
        <v>100</v>
      </c>
      <c r="O481" s="43">
        <f t="shared" si="70"/>
        <v>1539268903.2</v>
      </c>
      <c r="P481" s="41"/>
      <c r="Q481" s="43">
        <f t="shared" si="71"/>
        <v>1539268903.2</v>
      </c>
      <c r="R481" s="41">
        <v>0</v>
      </c>
      <c r="S481" s="30">
        <f t="shared" si="74"/>
        <v>0</v>
      </c>
      <c r="T481" s="30">
        <f t="shared" si="74"/>
        <v>0</v>
      </c>
      <c r="U481" s="30" t="e">
        <f>T481/X481</f>
        <v>#DIV/0!</v>
      </c>
      <c r="V481" s="41" t="e">
        <f>T481/X481</f>
        <v>#DIV/0!</v>
      </c>
      <c r="W481" s="41" t="e">
        <f>V481*AU481</f>
        <v>#DIV/0!</v>
      </c>
      <c r="X481" s="41">
        <f t="shared" si="72"/>
        <v>0</v>
      </c>
      <c r="Y481" s="41">
        <v>0</v>
      </c>
      <c r="Z481" s="41">
        <v>0</v>
      </c>
      <c r="AA481" s="41">
        <v>0</v>
      </c>
      <c r="AB481" s="41"/>
      <c r="AC481" s="41" t="e">
        <f t="shared" si="68"/>
        <v>#DIV/0!</v>
      </c>
      <c r="AD481" s="41"/>
      <c r="AE481" s="41" t="e">
        <f t="shared" si="69"/>
        <v>#DIV/0!</v>
      </c>
      <c r="AF481" s="41" t="e">
        <f>X481/AU481</f>
        <v>#DIV/0!</v>
      </c>
      <c r="AG481" s="41" t="e">
        <f t="shared" si="73"/>
        <v>#DIV/0!</v>
      </c>
      <c r="AH481" s="36">
        <v>45427</v>
      </c>
      <c r="AI481" s="36"/>
      <c r="AJ481" s="36"/>
      <c r="AK481" s="36"/>
      <c r="AL481" s="36"/>
      <c r="AM481" s="46"/>
      <c r="AN481" s="40"/>
      <c r="AO481" s="40"/>
      <c r="AP481" s="40"/>
      <c r="AQ481" s="40"/>
      <c r="AR481" s="48"/>
      <c r="AS481" s="37"/>
      <c r="AT481" s="37"/>
      <c r="AU481" s="47"/>
      <c r="AV481" s="37"/>
      <c r="AW481" s="37">
        <v>10</v>
      </c>
      <c r="AX481" s="30">
        <f>(J481*10)/100</f>
        <v>153926890.31999999</v>
      </c>
      <c r="AY481" s="40"/>
    </row>
    <row r="482" spans="1:51" ht="43.5" customHeight="1" x14ac:dyDescent="0.25">
      <c r="A482" s="59" t="s">
        <v>2547</v>
      </c>
      <c r="B482" s="60">
        <v>45352</v>
      </c>
      <c r="C482" s="37" t="s">
        <v>2522</v>
      </c>
      <c r="D482" s="35"/>
      <c r="E482" s="40"/>
      <c r="F482" s="36"/>
      <c r="G482" s="37"/>
      <c r="H482" s="40"/>
      <c r="I482" s="62" t="s">
        <v>2548</v>
      </c>
      <c r="J482" s="61">
        <v>171708.52</v>
      </c>
      <c r="K482" s="41">
        <v>0</v>
      </c>
      <c r="L482" s="54">
        <v>0</v>
      </c>
      <c r="M482" s="54">
        <v>0</v>
      </c>
      <c r="N482" s="42">
        <f t="shared" si="75"/>
        <v>100</v>
      </c>
      <c r="O482" s="43">
        <f t="shared" si="70"/>
        <v>171708.52</v>
      </c>
      <c r="P482" s="41"/>
      <c r="Q482" s="43">
        <f t="shared" si="71"/>
        <v>171708.52</v>
      </c>
      <c r="R482" s="41">
        <v>0</v>
      </c>
      <c r="S482" s="30">
        <f t="shared" si="74"/>
        <v>0</v>
      </c>
      <c r="T482" s="30">
        <f t="shared" si="74"/>
        <v>0</v>
      </c>
      <c r="U482" s="30" t="e">
        <f>T482/X482</f>
        <v>#DIV/0!</v>
      </c>
      <c r="V482" s="41" t="e">
        <f>T482/X482</f>
        <v>#DIV/0!</v>
      </c>
      <c r="W482" s="41" t="e">
        <f>V482*AU482</f>
        <v>#DIV/0!</v>
      </c>
      <c r="X482" s="41">
        <f t="shared" si="72"/>
        <v>0</v>
      </c>
      <c r="Y482" s="41">
        <v>0</v>
      </c>
      <c r="Z482" s="41">
        <v>0</v>
      </c>
      <c r="AA482" s="41">
        <v>0</v>
      </c>
      <c r="AB482" s="41"/>
      <c r="AC482" s="41" t="e">
        <f t="shared" si="68"/>
        <v>#DIV/0!</v>
      </c>
      <c r="AD482" s="41"/>
      <c r="AE482" s="41" t="e">
        <f t="shared" si="69"/>
        <v>#DIV/0!</v>
      </c>
      <c r="AF482" s="41" t="e">
        <f>X482/AU482</f>
        <v>#DIV/0!</v>
      </c>
      <c r="AG482" s="41" t="e">
        <f t="shared" si="73"/>
        <v>#DIV/0!</v>
      </c>
      <c r="AH482" s="36">
        <v>45413</v>
      </c>
      <c r="AI482" s="36"/>
      <c r="AJ482" s="36"/>
      <c r="AK482" s="36"/>
      <c r="AL482" s="36"/>
      <c r="AM482" s="46"/>
      <c r="AN482" s="40"/>
      <c r="AO482" s="40"/>
      <c r="AP482" s="40"/>
      <c r="AQ482" s="40"/>
      <c r="AR482" s="48"/>
      <c r="AS482" s="37"/>
      <c r="AT482" s="37"/>
      <c r="AU482" s="47"/>
      <c r="AV482" s="37"/>
      <c r="AW482" s="37">
        <v>10</v>
      </c>
      <c r="AX482" s="30">
        <f>(J482*10)/100</f>
        <v>17170.851999999999</v>
      </c>
      <c r="AY482" s="40"/>
    </row>
    <row r="483" spans="1:51" ht="43.5" customHeight="1" x14ac:dyDescent="0.25">
      <c r="A483" s="59" t="s">
        <v>2549</v>
      </c>
      <c r="B483" s="60">
        <v>45352</v>
      </c>
      <c r="C483" s="37" t="s">
        <v>2522</v>
      </c>
      <c r="D483" s="35"/>
      <c r="E483" s="40"/>
      <c r="F483" s="36"/>
      <c r="G483" s="37"/>
      <c r="H483" s="40"/>
      <c r="I483" s="64" t="s">
        <v>225</v>
      </c>
      <c r="J483" s="61">
        <v>210777.84</v>
      </c>
      <c r="K483" s="41">
        <v>0</v>
      </c>
      <c r="L483" s="54">
        <v>0</v>
      </c>
      <c r="M483" s="54">
        <v>0</v>
      </c>
      <c r="N483" s="42">
        <f t="shared" si="75"/>
        <v>100</v>
      </c>
      <c r="O483" s="43">
        <f t="shared" si="70"/>
        <v>210777.84</v>
      </c>
      <c r="P483" s="41"/>
      <c r="Q483" s="43">
        <f t="shared" si="71"/>
        <v>210777.84</v>
      </c>
      <c r="R483" s="41">
        <v>0</v>
      </c>
      <c r="S483" s="30">
        <f t="shared" si="74"/>
        <v>0</v>
      </c>
      <c r="T483" s="30">
        <f t="shared" si="74"/>
        <v>0</v>
      </c>
      <c r="U483" s="30" t="e">
        <f>T483/X483</f>
        <v>#DIV/0!</v>
      </c>
      <c r="V483" s="41" t="e">
        <f>T483/X483</f>
        <v>#DIV/0!</v>
      </c>
      <c r="W483" s="41" t="e">
        <f>V483*AU483</f>
        <v>#DIV/0!</v>
      </c>
      <c r="X483" s="41">
        <f t="shared" si="72"/>
        <v>0</v>
      </c>
      <c r="Y483" s="41">
        <v>0</v>
      </c>
      <c r="Z483" s="41">
        <v>0</v>
      </c>
      <c r="AA483" s="41">
        <v>0</v>
      </c>
      <c r="AB483" s="41"/>
      <c r="AC483" s="41" t="e">
        <f t="shared" si="68"/>
        <v>#DIV/0!</v>
      </c>
      <c r="AD483" s="41"/>
      <c r="AE483" s="41" t="e">
        <f t="shared" si="69"/>
        <v>#DIV/0!</v>
      </c>
      <c r="AF483" s="41" t="e">
        <f>X483/AU483</f>
        <v>#DIV/0!</v>
      </c>
      <c r="AG483" s="41" t="e">
        <f t="shared" si="73"/>
        <v>#DIV/0!</v>
      </c>
      <c r="AH483" s="36">
        <v>45413</v>
      </c>
      <c r="AI483" s="36"/>
      <c r="AJ483" s="36"/>
      <c r="AK483" s="36"/>
      <c r="AL483" s="36"/>
      <c r="AM483" s="46"/>
      <c r="AN483" s="40"/>
      <c r="AO483" s="40"/>
      <c r="AP483" s="40"/>
      <c r="AQ483" s="40"/>
      <c r="AR483" s="48"/>
      <c r="AS483" s="37"/>
      <c r="AT483" s="37"/>
      <c r="AU483" s="47"/>
      <c r="AV483" s="37"/>
      <c r="AW483" s="37">
        <v>10</v>
      </c>
      <c r="AX483" s="30">
        <f>(J483*10)/100</f>
        <v>21077.784</v>
      </c>
      <c r="AY483" s="40"/>
    </row>
    <row r="484" spans="1:51" ht="43.5" customHeight="1" x14ac:dyDescent="0.25">
      <c r="A484" s="59" t="s">
        <v>2550</v>
      </c>
      <c r="B484" s="60">
        <v>45355</v>
      </c>
      <c r="C484" s="37" t="s">
        <v>2189</v>
      </c>
      <c r="D484" s="35"/>
      <c r="E484" s="40"/>
      <c r="F484" s="36"/>
      <c r="G484" s="37"/>
      <c r="H484" s="40"/>
      <c r="I484" s="62" t="s">
        <v>1305</v>
      </c>
      <c r="J484" s="61">
        <v>4436099.76</v>
      </c>
      <c r="K484" s="41">
        <v>0</v>
      </c>
      <c r="L484" s="54">
        <v>0</v>
      </c>
      <c r="M484" s="54">
        <v>0</v>
      </c>
      <c r="N484" s="42">
        <f t="shared" si="75"/>
        <v>100</v>
      </c>
      <c r="O484" s="43">
        <f t="shared" si="70"/>
        <v>4436099.76</v>
      </c>
      <c r="P484" s="41"/>
      <c r="Q484" s="43">
        <f t="shared" si="71"/>
        <v>4436099.76</v>
      </c>
      <c r="R484" s="41">
        <v>0</v>
      </c>
      <c r="S484" s="30">
        <f t="shared" si="74"/>
        <v>0</v>
      </c>
      <c r="T484" s="30">
        <f t="shared" si="74"/>
        <v>0</v>
      </c>
      <c r="U484" s="30" t="e">
        <f>T484/X484</f>
        <v>#DIV/0!</v>
      </c>
      <c r="V484" s="41" t="e">
        <f>T484/X484</f>
        <v>#DIV/0!</v>
      </c>
      <c r="W484" s="41" t="e">
        <f>V484*AU484</f>
        <v>#DIV/0!</v>
      </c>
      <c r="X484" s="41">
        <f t="shared" si="72"/>
        <v>0</v>
      </c>
      <c r="Y484" s="41">
        <v>0</v>
      </c>
      <c r="Z484" s="41">
        <v>0</v>
      </c>
      <c r="AA484" s="41">
        <v>0</v>
      </c>
      <c r="AB484" s="41"/>
      <c r="AC484" s="41" t="e">
        <f t="shared" si="68"/>
        <v>#DIV/0!</v>
      </c>
      <c r="AD484" s="41"/>
      <c r="AE484" s="41" t="e">
        <f t="shared" si="69"/>
        <v>#DIV/0!</v>
      </c>
      <c r="AF484" s="41" t="e">
        <f>X484/AU484</f>
        <v>#DIV/0!</v>
      </c>
      <c r="AG484" s="41" t="e">
        <f t="shared" si="73"/>
        <v>#DIV/0!</v>
      </c>
      <c r="AH484" s="36">
        <v>45413</v>
      </c>
      <c r="AI484" s="36"/>
      <c r="AJ484" s="36"/>
      <c r="AK484" s="36"/>
      <c r="AL484" s="36"/>
      <c r="AM484" s="46"/>
      <c r="AN484" s="40"/>
      <c r="AO484" s="40"/>
      <c r="AP484" s="40"/>
      <c r="AQ484" s="40"/>
      <c r="AR484" s="48"/>
      <c r="AS484" s="37"/>
      <c r="AT484" s="37"/>
      <c r="AU484" s="47"/>
      <c r="AV484" s="37"/>
      <c r="AW484" s="37">
        <v>10</v>
      </c>
      <c r="AX484" s="30">
        <f>(J484*10)/100</f>
        <v>443609.97599999997</v>
      </c>
      <c r="AY484" s="40"/>
    </row>
    <row r="485" spans="1:51" ht="43.5" customHeight="1" x14ac:dyDescent="0.25">
      <c r="A485" s="59" t="s">
        <v>2551</v>
      </c>
      <c r="B485" s="60">
        <v>45355</v>
      </c>
      <c r="C485" s="37" t="s">
        <v>2189</v>
      </c>
      <c r="D485" s="35"/>
      <c r="E485" s="40"/>
      <c r="F485" s="36"/>
      <c r="G485" s="37"/>
      <c r="H485" s="40"/>
      <c r="I485" s="62" t="s">
        <v>1154</v>
      </c>
      <c r="J485" s="61">
        <v>1237850</v>
      </c>
      <c r="K485" s="41">
        <v>0</v>
      </c>
      <c r="L485" s="54">
        <v>0</v>
      </c>
      <c r="M485" s="54">
        <v>0</v>
      </c>
      <c r="N485" s="42">
        <f t="shared" si="75"/>
        <v>100</v>
      </c>
      <c r="O485" s="43">
        <f t="shared" si="70"/>
        <v>1237850</v>
      </c>
      <c r="P485" s="41"/>
      <c r="Q485" s="43">
        <f t="shared" si="71"/>
        <v>1237850</v>
      </c>
      <c r="R485" s="41">
        <v>0</v>
      </c>
      <c r="S485" s="30">
        <f t="shared" si="74"/>
        <v>0</v>
      </c>
      <c r="T485" s="30">
        <f t="shared" si="74"/>
        <v>0</v>
      </c>
      <c r="U485" s="30" t="e">
        <f>T485/X485</f>
        <v>#DIV/0!</v>
      </c>
      <c r="V485" s="41" t="e">
        <f>T485/X485</f>
        <v>#DIV/0!</v>
      </c>
      <c r="W485" s="41" t="e">
        <f>V485*AU485</f>
        <v>#DIV/0!</v>
      </c>
      <c r="X485" s="41">
        <f t="shared" si="72"/>
        <v>0</v>
      </c>
      <c r="Y485" s="41">
        <v>0</v>
      </c>
      <c r="Z485" s="41">
        <v>0</v>
      </c>
      <c r="AA485" s="41">
        <v>0</v>
      </c>
      <c r="AB485" s="41"/>
      <c r="AC485" s="41" t="e">
        <f t="shared" si="68"/>
        <v>#DIV/0!</v>
      </c>
      <c r="AD485" s="41"/>
      <c r="AE485" s="41" t="e">
        <f t="shared" si="69"/>
        <v>#DIV/0!</v>
      </c>
      <c r="AF485" s="41" t="e">
        <f>X485/AU485</f>
        <v>#DIV/0!</v>
      </c>
      <c r="AG485" s="41" t="e">
        <f t="shared" si="73"/>
        <v>#DIV/0!</v>
      </c>
      <c r="AH485" s="36">
        <v>45413</v>
      </c>
      <c r="AI485" s="36"/>
      <c r="AJ485" s="36"/>
      <c r="AK485" s="36"/>
      <c r="AL485" s="36"/>
      <c r="AM485" s="46"/>
      <c r="AN485" s="40"/>
      <c r="AO485" s="40"/>
      <c r="AP485" s="40"/>
      <c r="AQ485" s="40"/>
      <c r="AR485" s="48"/>
      <c r="AS485" s="37"/>
      <c r="AT485" s="37"/>
      <c r="AU485" s="47"/>
      <c r="AV485" s="37"/>
      <c r="AW485" s="37">
        <v>10</v>
      </c>
      <c r="AX485" s="30">
        <f>(J485*10)/100</f>
        <v>123785</v>
      </c>
      <c r="AY485" s="40"/>
    </row>
    <row r="486" spans="1:51" ht="43.5" customHeight="1" x14ac:dyDescent="0.25">
      <c r="A486" s="59" t="s">
        <v>2552</v>
      </c>
      <c r="B486" s="60">
        <v>45355</v>
      </c>
      <c r="C486" s="37" t="s">
        <v>2189</v>
      </c>
      <c r="D486" s="35"/>
      <c r="E486" s="40"/>
      <c r="F486" s="36"/>
      <c r="G486" s="37"/>
      <c r="H486" s="40"/>
      <c r="I486" s="62" t="s">
        <v>2553</v>
      </c>
      <c r="J486" s="61">
        <v>31007.4</v>
      </c>
      <c r="K486" s="41">
        <v>0</v>
      </c>
      <c r="L486" s="54">
        <v>0</v>
      </c>
      <c r="M486" s="54">
        <v>0</v>
      </c>
      <c r="N486" s="42">
        <f t="shared" si="75"/>
        <v>100</v>
      </c>
      <c r="O486" s="43">
        <f t="shared" si="70"/>
        <v>31007.4</v>
      </c>
      <c r="P486" s="41"/>
      <c r="Q486" s="43">
        <f t="shared" si="71"/>
        <v>31007.4</v>
      </c>
      <c r="R486" s="41">
        <v>0</v>
      </c>
      <c r="S486" s="30">
        <f t="shared" si="74"/>
        <v>0</v>
      </c>
      <c r="T486" s="30">
        <f t="shared" si="74"/>
        <v>0</v>
      </c>
      <c r="U486" s="30" t="e">
        <f>T486/X486</f>
        <v>#DIV/0!</v>
      </c>
      <c r="V486" s="41" t="e">
        <f>T486/X486</f>
        <v>#DIV/0!</v>
      </c>
      <c r="W486" s="41" t="e">
        <f>V486*AU486</f>
        <v>#DIV/0!</v>
      </c>
      <c r="X486" s="41">
        <f t="shared" si="72"/>
        <v>0</v>
      </c>
      <c r="Y486" s="41">
        <v>0</v>
      </c>
      <c r="Z486" s="41">
        <v>0</v>
      </c>
      <c r="AA486" s="41">
        <v>0</v>
      </c>
      <c r="AB486" s="41"/>
      <c r="AC486" s="41" t="e">
        <f t="shared" si="68"/>
        <v>#DIV/0!</v>
      </c>
      <c r="AD486" s="41"/>
      <c r="AE486" s="41" t="e">
        <f t="shared" si="69"/>
        <v>#DIV/0!</v>
      </c>
      <c r="AF486" s="41" t="e">
        <f>X486/AU486</f>
        <v>#DIV/0!</v>
      </c>
      <c r="AG486" s="41" t="e">
        <f t="shared" si="73"/>
        <v>#DIV/0!</v>
      </c>
      <c r="AH486" s="36">
        <v>45413</v>
      </c>
      <c r="AI486" s="36"/>
      <c r="AJ486" s="36"/>
      <c r="AK486" s="36"/>
      <c r="AL486" s="36"/>
      <c r="AM486" s="46"/>
      <c r="AN486" s="40"/>
      <c r="AO486" s="40"/>
      <c r="AP486" s="40"/>
      <c r="AQ486" s="40"/>
      <c r="AR486" s="48"/>
      <c r="AS486" s="37"/>
      <c r="AT486" s="37"/>
      <c r="AU486" s="47"/>
      <c r="AV486" s="37"/>
      <c r="AW486" s="37">
        <v>10</v>
      </c>
      <c r="AX486" s="30">
        <f>(J486*10)/100</f>
        <v>3100.74</v>
      </c>
      <c r="AY486" s="40"/>
    </row>
    <row r="487" spans="1:51" ht="43.5" customHeight="1" x14ac:dyDescent="0.25">
      <c r="A487" s="59" t="s">
        <v>2554</v>
      </c>
      <c r="B487" s="60">
        <v>45355</v>
      </c>
      <c r="C487" s="37" t="s">
        <v>2465</v>
      </c>
      <c r="D487" s="35"/>
      <c r="E487" s="40"/>
      <c r="F487" s="36"/>
      <c r="G487" s="37"/>
      <c r="H487" s="40"/>
      <c r="I487" s="62" t="s">
        <v>1519</v>
      </c>
      <c r="J487" s="61">
        <v>25872</v>
      </c>
      <c r="K487" s="41">
        <v>0</v>
      </c>
      <c r="L487" s="54">
        <v>0</v>
      </c>
      <c r="M487" s="54">
        <v>0</v>
      </c>
      <c r="N487" s="42">
        <f t="shared" si="75"/>
        <v>100</v>
      </c>
      <c r="O487" s="43">
        <f t="shared" si="70"/>
        <v>25872</v>
      </c>
      <c r="P487" s="41"/>
      <c r="Q487" s="43">
        <f t="shared" si="71"/>
        <v>25872</v>
      </c>
      <c r="R487" s="41">
        <v>0</v>
      </c>
      <c r="S487" s="30">
        <f t="shared" si="74"/>
        <v>0</v>
      </c>
      <c r="T487" s="30">
        <f t="shared" si="74"/>
        <v>0</v>
      </c>
      <c r="U487" s="30" t="e">
        <f>T487/X487</f>
        <v>#DIV/0!</v>
      </c>
      <c r="V487" s="41" t="e">
        <f>T487/X487</f>
        <v>#DIV/0!</v>
      </c>
      <c r="W487" s="41" t="e">
        <f>V487*AU487</f>
        <v>#DIV/0!</v>
      </c>
      <c r="X487" s="41">
        <f t="shared" si="72"/>
        <v>0</v>
      </c>
      <c r="Y487" s="41">
        <v>0</v>
      </c>
      <c r="Z487" s="41">
        <v>0</v>
      </c>
      <c r="AA487" s="41">
        <v>0</v>
      </c>
      <c r="AB487" s="41"/>
      <c r="AC487" s="41" t="e">
        <f t="shared" si="68"/>
        <v>#DIV/0!</v>
      </c>
      <c r="AD487" s="41"/>
      <c r="AE487" s="41" t="e">
        <f t="shared" si="69"/>
        <v>#DIV/0!</v>
      </c>
      <c r="AF487" s="41" t="e">
        <f>X487/AU487</f>
        <v>#DIV/0!</v>
      </c>
      <c r="AG487" s="41" t="e">
        <f t="shared" si="73"/>
        <v>#DIV/0!</v>
      </c>
      <c r="AH487" s="36">
        <v>45413</v>
      </c>
      <c r="AI487" s="36"/>
      <c r="AJ487" s="36"/>
      <c r="AK487" s="36"/>
      <c r="AL487" s="36"/>
      <c r="AM487" s="46"/>
      <c r="AN487" s="40"/>
      <c r="AO487" s="40"/>
      <c r="AP487" s="40"/>
      <c r="AQ487" s="40"/>
      <c r="AR487" s="48"/>
      <c r="AS487" s="37"/>
      <c r="AT487" s="37"/>
      <c r="AU487" s="47"/>
      <c r="AV487" s="37"/>
      <c r="AW487" s="37">
        <v>10</v>
      </c>
      <c r="AX487" s="30">
        <f>(J487*10)/100</f>
        <v>2587.1999999999998</v>
      </c>
      <c r="AY487" s="40"/>
    </row>
    <row r="488" spans="1:51" ht="43.5" customHeight="1" x14ac:dyDescent="0.25">
      <c r="A488" s="59" t="s">
        <v>2555</v>
      </c>
      <c r="B488" s="60">
        <v>45355</v>
      </c>
      <c r="C488" s="37" t="s">
        <v>2465</v>
      </c>
      <c r="D488" s="35"/>
      <c r="E488" s="40"/>
      <c r="F488" s="36"/>
      <c r="G488" s="37"/>
      <c r="H488" s="40"/>
      <c r="I488" s="62" t="s">
        <v>1683</v>
      </c>
      <c r="J488" s="61">
        <v>28663.8</v>
      </c>
      <c r="K488" s="41">
        <v>0</v>
      </c>
      <c r="L488" s="54">
        <v>0</v>
      </c>
      <c r="M488" s="54">
        <v>0</v>
      </c>
      <c r="N488" s="42">
        <f t="shared" si="75"/>
        <v>100</v>
      </c>
      <c r="O488" s="43">
        <f t="shared" si="70"/>
        <v>28663.8</v>
      </c>
      <c r="P488" s="41"/>
      <c r="Q488" s="43">
        <f t="shared" si="71"/>
        <v>28663.8</v>
      </c>
      <c r="R488" s="41">
        <v>0</v>
      </c>
      <c r="S488" s="30">
        <f t="shared" si="74"/>
        <v>0</v>
      </c>
      <c r="T488" s="30">
        <f t="shared" si="74"/>
        <v>0</v>
      </c>
      <c r="U488" s="30" t="e">
        <f>T488/X488</f>
        <v>#DIV/0!</v>
      </c>
      <c r="V488" s="41" t="e">
        <f>T488/X488</f>
        <v>#DIV/0!</v>
      </c>
      <c r="W488" s="41" t="e">
        <f>V488*AU488</f>
        <v>#DIV/0!</v>
      </c>
      <c r="X488" s="41">
        <f t="shared" si="72"/>
        <v>0</v>
      </c>
      <c r="Y488" s="41">
        <v>0</v>
      </c>
      <c r="Z488" s="41">
        <v>0</v>
      </c>
      <c r="AA488" s="41">
        <v>0</v>
      </c>
      <c r="AB488" s="41"/>
      <c r="AC488" s="41" t="e">
        <f t="shared" si="68"/>
        <v>#DIV/0!</v>
      </c>
      <c r="AD488" s="41"/>
      <c r="AE488" s="41" t="e">
        <f t="shared" si="69"/>
        <v>#DIV/0!</v>
      </c>
      <c r="AF488" s="41" t="e">
        <f>X488/AU488</f>
        <v>#DIV/0!</v>
      </c>
      <c r="AG488" s="41" t="e">
        <f t="shared" si="73"/>
        <v>#DIV/0!</v>
      </c>
      <c r="AH488" s="36">
        <v>45413</v>
      </c>
      <c r="AI488" s="36"/>
      <c r="AJ488" s="36"/>
      <c r="AK488" s="36"/>
      <c r="AL488" s="36"/>
      <c r="AM488" s="46"/>
      <c r="AN488" s="40"/>
      <c r="AO488" s="40"/>
      <c r="AP488" s="40"/>
      <c r="AQ488" s="40"/>
      <c r="AR488" s="48"/>
      <c r="AS488" s="37"/>
      <c r="AT488" s="37"/>
      <c r="AU488" s="47"/>
      <c r="AV488" s="37"/>
      <c r="AW488" s="37">
        <v>10</v>
      </c>
      <c r="AX488" s="30">
        <f>(J488*10)/100</f>
        <v>2866.38</v>
      </c>
      <c r="AY488" s="40"/>
    </row>
    <row r="489" spans="1:51" ht="43.5" customHeight="1" x14ac:dyDescent="0.25">
      <c r="A489" s="59" t="s">
        <v>2556</v>
      </c>
      <c r="B489" s="60">
        <v>45355</v>
      </c>
      <c r="C489" s="37" t="s">
        <v>2465</v>
      </c>
      <c r="D489" s="35"/>
      <c r="E489" s="40"/>
      <c r="F489" s="36"/>
      <c r="G489" s="37"/>
      <c r="H489" s="40"/>
      <c r="I489" s="62" t="s">
        <v>1618</v>
      </c>
      <c r="J489" s="61">
        <v>82966.8</v>
      </c>
      <c r="K489" s="41">
        <v>0</v>
      </c>
      <c r="L489" s="54">
        <v>0</v>
      </c>
      <c r="M489" s="54">
        <v>0</v>
      </c>
      <c r="N489" s="42">
        <f t="shared" si="75"/>
        <v>100</v>
      </c>
      <c r="O489" s="43">
        <f t="shared" si="70"/>
        <v>82966.8</v>
      </c>
      <c r="P489" s="41"/>
      <c r="Q489" s="43">
        <f t="shared" si="71"/>
        <v>82966.8</v>
      </c>
      <c r="R489" s="41">
        <v>0</v>
      </c>
      <c r="S489" s="30">
        <f t="shared" si="74"/>
        <v>0</v>
      </c>
      <c r="T489" s="30">
        <f t="shared" si="74"/>
        <v>0</v>
      </c>
      <c r="U489" s="30" t="e">
        <f>T489/X489</f>
        <v>#DIV/0!</v>
      </c>
      <c r="V489" s="41" t="e">
        <f>T489/X489</f>
        <v>#DIV/0!</v>
      </c>
      <c r="W489" s="41" t="e">
        <f>V489*AU489</f>
        <v>#DIV/0!</v>
      </c>
      <c r="X489" s="41">
        <f t="shared" si="72"/>
        <v>0</v>
      </c>
      <c r="Y489" s="41">
        <v>0</v>
      </c>
      <c r="Z489" s="41">
        <v>0</v>
      </c>
      <c r="AA489" s="41">
        <v>0</v>
      </c>
      <c r="AB489" s="41"/>
      <c r="AC489" s="41" t="e">
        <f t="shared" si="68"/>
        <v>#DIV/0!</v>
      </c>
      <c r="AD489" s="41"/>
      <c r="AE489" s="41" t="e">
        <f t="shared" si="69"/>
        <v>#DIV/0!</v>
      </c>
      <c r="AF489" s="41" t="e">
        <f>X489/AU489</f>
        <v>#DIV/0!</v>
      </c>
      <c r="AG489" s="41" t="e">
        <f t="shared" si="73"/>
        <v>#DIV/0!</v>
      </c>
      <c r="AH489" s="36">
        <v>45444</v>
      </c>
      <c r="AI489" s="36"/>
      <c r="AJ489" s="36"/>
      <c r="AK489" s="36"/>
      <c r="AL489" s="36"/>
      <c r="AM489" s="46"/>
      <c r="AN489" s="40"/>
      <c r="AO489" s="40"/>
      <c r="AP489" s="40"/>
      <c r="AQ489" s="40"/>
      <c r="AR489" s="48"/>
      <c r="AS489" s="37"/>
      <c r="AT489" s="37"/>
      <c r="AU489" s="47"/>
      <c r="AV489" s="37"/>
      <c r="AW489" s="37">
        <v>10</v>
      </c>
      <c r="AX489" s="30">
        <f>(J489*10)/100</f>
        <v>8296.68</v>
      </c>
      <c r="AY489" s="40"/>
    </row>
    <row r="490" spans="1:51" ht="43.5" customHeight="1" x14ac:dyDescent="0.25">
      <c r="A490" s="59" t="s">
        <v>2557</v>
      </c>
      <c r="B490" s="60">
        <v>45355</v>
      </c>
      <c r="C490" s="37">
        <v>1416</v>
      </c>
      <c r="D490" s="35"/>
      <c r="E490" s="40"/>
      <c r="F490" s="36"/>
      <c r="G490" s="37"/>
      <c r="H490" s="40"/>
      <c r="I490" s="62" t="s">
        <v>2553</v>
      </c>
      <c r="J490" s="61">
        <v>111288659.34</v>
      </c>
      <c r="K490" s="41">
        <v>0</v>
      </c>
      <c r="L490" s="54">
        <v>0</v>
      </c>
      <c r="M490" s="54">
        <v>0</v>
      </c>
      <c r="N490" s="42">
        <f t="shared" si="75"/>
        <v>100</v>
      </c>
      <c r="O490" s="43">
        <f t="shared" si="70"/>
        <v>111288659.34</v>
      </c>
      <c r="P490" s="41"/>
      <c r="Q490" s="43">
        <f t="shared" si="71"/>
        <v>111288659.34</v>
      </c>
      <c r="R490" s="41">
        <v>0</v>
      </c>
      <c r="S490" s="30">
        <f t="shared" si="74"/>
        <v>0</v>
      </c>
      <c r="T490" s="30">
        <f t="shared" si="74"/>
        <v>0</v>
      </c>
      <c r="U490" s="30" t="e">
        <f>T490/X490</f>
        <v>#DIV/0!</v>
      </c>
      <c r="V490" s="41" t="e">
        <f>T490/X490</f>
        <v>#DIV/0!</v>
      </c>
      <c r="W490" s="41" t="e">
        <f>V490*AU490</f>
        <v>#DIV/0!</v>
      </c>
      <c r="X490" s="41">
        <f t="shared" si="72"/>
        <v>0</v>
      </c>
      <c r="Y490" s="41">
        <v>0</v>
      </c>
      <c r="Z490" s="41">
        <v>0</v>
      </c>
      <c r="AA490" s="41">
        <v>0</v>
      </c>
      <c r="AB490" s="41"/>
      <c r="AC490" s="41" t="e">
        <f t="shared" si="68"/>
        <v>#DIV/0!</v>
      </c>
      <c r="AD490" s="41"/>
      <c r="AE490" s="41" t="e">
        <f t="shared" si="69"/>
        <v>#DIV/0!</v>
      </c>
      <c r="AF490" s="41" t="e">
        <f>X490/AU490</f>
        <v>#DIV/0!</v>
      </c>
      <c r="AG490" s="41" t="e">
        <f t="shared" si="73"/>
        <v>#DIV/0!</v>
      </c>
      <c r="AH490" s="36">
        <v>45413</v>
      </c>
      <c r="AI490" s="36"/>
      <c r="AJ490" s="36"/>
      <c r="AK490" s="36"/>
      <c r="AL490" s="36"/>
      <c r="AM490" s="46"/>
      <c r="AN490" s="40"/>
      <c r="AO490" s="40"/>
      <c r="AP490" s="40"/>
      <c r="AQ490" s="40"/>
      <c r="AR490" s="48"/>
      <c r="AS490" s="37"/>
      <c r="AT490" s="37"/>
      <c r="AU490" s="47"/>
      <c r="AV490" s="37"/>
      <c r="AW490" s="37">
        <v>10</v>
      </c>
      <c r="AX490" s="30">
        <f>(J490*10)/100</f>
        <v>11128865.934</v>
      </c>
      <c r="AY490" s="40"/>
    </row>
    <row r="491" spans="1:51" ht="43.5" customHeight="1" x14ac:dyDescent="0.25">
      <c r="A491" s="59" t="s">
        <v>2558</v>
      </c>
      <c r="B491" s="60">
        <v>45355</v>
      </c>
      <c r="C491" s="37" t="s">
        <v>2465</v>
      </c>
      <c r="D491" s="35"/>
      <c r="E491" s="40"/>
      <c r="F491" s="36"/>
      <c r="G491" s="37"/>
      <c r="H491" s="40"/>
      <c r="I491" s="62" t="s">
        <v>1533</v>
      </c>
      <c r="J491" s="61">
        <v>6564393</v>
      </c>
      <c r="K491" s="41">
        <v>0</v>
      </c>
      <c r="L491" s="54">
        <v>0</v>
      </c>
      <c r="M491" s="54">
        <v>0</v>
      </c>
      <c r="N491" s="42">
        <f t="shared" si="75"/>
        <v>100</v>
      </c>
      <c r="O491" s="43">
        <f t="shared" si="70"/>
        <v>6564393</v>
      </c>
      <c r="P491" s="41"/>
      <c r="Q491" s="43">
        <f t="shared" si="71"/>
        <v>6564393</v>
      </c>
      <c r="R491" s="41">
        <v>0</v>
      </c>
      <c r="S491" s="30">
        <f t="shared" si="74"/>
        <v>0</v>
      </c>
      <c r="T491" s="30">
        <f t="shared" si="74"/>
        <v>0</v>
      </c>
      <c r="U491" s="30" t="e">
        <f>T491/X491</f>
        <v>#DIV/0!</v>
      </c>
      <c r="V491" s="41" t="e">
        <f>T491/X491</f>
        <v>#DIV/0!</v>
      </c>
      <c r="W491" s="41" t="e">
        <f>V491*AU491</f>
        <v>#DIV/0!</v>
      </c>
      <c r="X491" s="41">
        <f t="shared" si="72"/>
        <v>0</v>
      </c>
      <c r="Y491" s="41">
        <v>0</v>
      </c>
      <c r="Z491" s="41">
        <v>0</v>
      </c>
      <c r="AA491" s="41">
        <v>0</v>
      </c>
      <c r="AB491" s="41"/>
      <c r="AC491" s="41" t="e">
        <f t="shared" si="68"/>
        <v>#DIV/0!</v>
      </c>
      <c r="AD491" s="41"/>
      <c r="AE491" s="41" t="e">
        <f t="shared" si="69"/>
        <v>#DIV/0!</v>
      </c>
      <c r="AF491" s="41" t="e">
        <f>X491/AU491</f>
        <v>#DIV/0!</v>
      </c>
      <c r="AG491" s="41" t="e">
        <f t="shared" si="73"/>
        <v>#DIV/0!</v>
      </c>
      <c r="AH491" s="36">
        <v>45413</v>
      </c>
      <c r="AI491" s="36"/>
      <c r="AJ491" s="36"/>
      <c r="AK491" s="36"/>
      <c r="AL491" s="36"/>
      <c r="AM491" s="46"/>
      <c r="AN491" s="40"/>
      <c r="AO491" s="40"/>
      <c r="AP491" s="40"/>
      <c r="AQ491" s="40"/>
      <c r="AR491" s="48"/>
      <c r="AS491" s="37"/>
      <c r="AT491" s="37"/>
      <c r="AU491" s="47"/>
      <c r="AV491" s="37"/>
      <c r="AW491" s="37">
        <v>10</v>
      </c>
      <c r="AX491" s="30">
        <f>(J491*10)/100</f>
        <v>656439.30000000005</v>
      </c>
      <c r="AY491" s="40"/>
    </row>
    <row r="492" spans="1:51" ht="43.5" customHeight="1" x14ac:dyDescent="0.25">
      <c r="A492" s="59" t="s">
        <v>2559</v>
      </c>
      <c r="B492" s="60">
        <v>45355</v>
      </c>
      <c r="C492" s="37" t="s">
        <v>2465</v>
      </c>
      <c r="D492" s="35"/>
      <c r="E492" s="40"/>
      <c r="F492" s="36"/>
      <c r="G492" s="37"/>
      <c r="H492" s="40"/>
      <c r="I492" s="62" t="s">
        <v>2560</v>
      </c>
      <c r="J492" s="61">
        <v>4577910.4800000004</v>
      </c>
      <c r="K492" s="41">
        <v>0</v>
      </c>
      <c r="L492" s="54">
        <v>0</v>
      </c>
      <c r="M492" s="54">
        <v>0</v>
      </c>
      <c r="N492" s="42">
        <f t="shared" si="75"/>
        <v>100</v>
      </c>
      <c r="O492" s="43">
        <f t="shared" si="70"/>
        <v>4577910.4800000004</v>
      </c>
      <c r="P492" s="41"/>
      <c r="Q492" s="43">
        <f t="shared" si="71"/>
        <v>4577910.4800000004</v>
      </c>
      <c r="R492" s="41">
        <v>0</v>
      </c>
      <c r="S492" s="30">
        <f t="shared" si="74"/>
        <v>0</v>
      </c>
      <c r="T492" s="30">
        <f t="shared" si="74"/>
        <v>0</v>
      </c>
      <c r="U492" s="30" t="e">
        <f>T492/X492</f>
        <v>#DIV/0!</v>
      </c>
      <c r="V492" s="41" t="e">
        <f>T492/X492</f>
        <v>#DIV/0!</v>
      </c>
      <c r="W492" s="41" t="e">
        <f>V492*AU492</f>
        <v>#DIV/0!</v>
      </c>
      <c r="X492" s="41">
        <f t="shared" si="72"/>
        <v>0</v>
      </c>
      <c r="Y492" s="41">
        <v>0</v>
      </c>
      <c r="Z492" s="41">
        <v>0</v>
      </c>
      <c r="AA492" s="41">
        <v>0</v>
      </c>
      <c r="AB492" s="41"/>
      <c r="AC492" s="41" t="e">
        <f t="shared" si="68"/>
        <v>#DIV/0!</v>
      </c>
      <c r="AD492" s="41"/>
      <c r="AE492" s="41" t="e">
        <f t="shared" si="69"/>
        <v>#DIV/0!</v>
      </c>
      <c r="AF492" s="41" t="e">
        <f>X492/AU492</f>
        <v>#DIV/0!</v>
      </c>
      <c r="AG492" s="41" t="e">
        <f t="shared" si="73"/>
        <v>#DIV/0!</v>
      </c>
      <c r="AH492" s="36">
        <v>45413</v>
      </c>
      <c r="AI492" s="36"/>
      <c r="AJ492" s="36"/>
      <c r="AK492" s="36"/>
      <c r="AL492" s="36"/>
      <c r="AM492" s="46"/>
      <c r="AN492" s="40"/>
      <c r="AO492" s="40"/>
      <c r="AP492" s="40"/>
      <c r="AQ492" s="40"/>
      <c r="AR492" s="48"/>
      <c r="AS492" s="37"/>
      <c r="AT492" s="37"/>
      <c r="AU492" s="47"/>
      <c r="AV492" s="37"/>
      <c r="AW492" s="37">
        <v>10</v>
      </c>
      <c r="AX492" s="30">
        <f>(J492*10)/100</f>
        <v>457791.04800000007</v>
      </c>
      <c r="AY492" s="40"/>
    </row>
    <row r="493" spans="1:51" ht="43.5" customHeight="1" x14ac:dyDescent="0.25">
      <c r="A493" s="59" t="s">
        <v>2561</v>
      </c>
      <c r="B493" s="60">
        <v>45355</v>
      </c>
      <c r="C493" s="37" t="s">
        <v>2465</v>
      </c>
      <c r="D493" s="35"/>
      <c r="E493" s="40"/>
      <c r="F493" s="36"/>
      <c r="G493" s="37"/>
      <c r="H493" s="40"/>
      <c r="I493" s="64" t="s">
        <v>1503</v>
      </c>
      <c r="J493" s="61">
        <v>151357.79999999999</v>
      </c>
      <c r="K493" s="41">
        <v>0</v>
      </c>
      <c r="L493" s="54">
        <v>0</v>
      </c>
      <c r="M493" s="54">
        <v>0</v>
      </c>
      <c r="N493" s="42">
        <f t="shared" si="75"/>
        <v>100</v>
      </c>
      <c r="O493" s="43">
        <f t="shared" si="70"/>
        <v>151357.79999999999</v>
      </c>
      <c r="P493" s="41"/>
      <c r="Q493" s="43">
        <f t="shared" si="71"/>
        <v>151357.79999999999</v>
      </c>
      <c r="R493" s="41">
        <v>0</v>
      </c>
      <c r="S493" s="30">
        <f t="shared" si="74"/>
        <v>0</v>
      </c>
      <c r="T493" s="30">
        <f t="shared" si="74"/>
        <v>0</v>
      </c>
      <c r="U493" s="30" t="e">
        <f>T493/X493</f>
        <v>#DIV/0!</v>
      </c>
      <c r="V493" s="41" t="e">
        <f>T493/X493</f>
        <v>#DIV/0!</v>
      </c>
      <c r="W493" s="41" t="e">
        <f>V493*AU493</f>
        <v>#DIV/0!</v>
      </c>
      <c r="X493" s="41">
        <f t="shared" si="72"/>
        <v>0</v>
      </c>
      <c r="Y493" s="41">
        <v>0</v>
      </c>
      <c r="Z493" s="41">
        <v>0</v>
      </c>
      <c r="AA493" s="41">
        <v>0</v>
      </c>
      <c r="AB493" s="41"/>
      <c r="AC493" s="41" t="e">
        <f t="shared" si="68"/>
        <v>#DIV/0!</v>
      </c>
      <c r="AD493" s="41"/>
      <c r="AE493" s="41" t="e">
        <f t="shared" si="69"/>
        <v>#DIV/0!</v>
      </c>
      <c r="AF493" s="41" t="e">
        <f>X493/AU493</f>
        <v>#DIV/0!</v>
      </c>
      <c r="AG493" s="41" t="e">
        <f t="shared" si="73"/>
        <v>#DIV/0!</v>
      </c>
      <c r="AH493" s="36">
        <v>45413</v>
      </c>
      <c r="AI493" s="36"/>
      <c r="AJ493" s="36"/>
      <c r="AK493" s="36"/>
      <c r="AL493" s="36"/>
      <c r="AM493" s="46"/>
      <c r="AN493" s="40"/>
      <c r="AO493" s="40"/>
      <c r="AP493" s="40"/>
      <c r="AQ493" s="40"/>
      <c r="AR493" s="48"/>
      <c r="AS493" s="37"/>
      <c r="AT493" s="37"/>
      <c r="AU493" s="47"/>
      <c r="AV493" s="37"/>
      <c r="AW493" s="37">
        <v>10</v>
      </c>
      <c r="AX493" s="30">
        <f>(J493*10)/100</f>
        <v>15135.78</v>
      </c>
      <c r="AY493" s="40"/>
    </row>
    <row r="494" spans="1:51" ht="43.5" customHeight="1" x14ac:dyDescent="0.25">
      <c r="A494" s="59" t="s">
        <v>2562</v>
      </c>
      <c r="B494" s="60">
        <v>45355</v>
      </c>
      <c r="C494" s="37">
        <v>1416</v>
      </c>
      <c r="D494" s="35"/>
      <c r="E494" s="40"/>
      <c r="F494" s="36"/>
      <c r="G494" s="37"/>
      <c r="H494" s="40"/>
      <c r="I494" s="62" t="s">
        <v>2563</v>
      </c>
      <c r="J494" s="61">
        <v>319463760</v>
      </c>
      <c r="K494" s="41">
        <v>0</v>
      </c>
      <c r="L494" s="54">
        <v>0</v>
      </c>
      <c r="M494" s="54">
        <v>0</v>
      </c>
      <c r="N494" s="42">
        <f t="shared" si="75"/>
        <v>100</v>
      </c>
      <c r="O494" s="43">
        <f t="shared" si="70"/>
        <v>319463760</v>
      </c>
      <c r="P494" s="41"/>
      <c r="Q494" s="43">
        <f t="shared" si="71"/>
        <v>319463760</v>
      </c>
      <c r="R494" s="41">
        <v>0</v>
      </c>
      <c r="S494" s="30">
        <f t="shared" si="74"/>
        <v>0</v>
      </c>
      <c r="T494" s="30">
        <f t="shared" si="74"/>
        <v>0</v>
      </c>
      <c r="U494" s="30" t="e">
        <f>T494/X494</f>
        <v>#DIV/0!</v>
      </c>
      <c r="V494" s="41" t="e">
        <f>T494/X494</f>
        <v>#DIV/0!</v>
      </c>
      <c r="W494" s="41" t="e">
        <f>V494*AU494</f>
        <v>#DIV/0!</v>
      </c>
      <c r="X494" s="41">
        <f t="shared" si="72"/>
        <v>0</v>
      </c>
      <c r="Y494" s="41">
        <v>0</v>
      </c>
      <c r="Z494" s="41">
        <v>0</v>
      </c>
      <c r="AA494" s="41">
        <v>0</v>
      </c>
      <c r="AB494" s="41"/>
      <c r="AC494" s="41" t="e">
        <f t="shared" si="68"/>
        <v>#DIV/0!</v>
      </c>
      <c r="AD494" s="41"/>
      <c r="AE494" s="41" t="e">
        <f t="shared" si="69"/>
        <v>#DIV/0!</v>
      </c>
      <c r="AF494" s="41" t="e">
        <f>X494/AU494</f>
        <v>#DIV/0!</v>
      </c>
      <c r="AG494" s="41" t="e">
        <f t="shared" si="73"/>
        <v>#DIV/0!</v>
      </c>
      <c r="AH494" s="36">
        <v>45444</v>
      </c>
      <c r="AI494" s="36"/>
      <c r="AJ494" s="36"/>
      <c r="AK494" s="36"/>
      <c r="AL494" s="36"/>
      <c r="AM494" s="46"/>
      <c r="AN494" s="40"/>
      <c r="AO494" s="40"/>
      <c r="AP494" s="40"/>
      <c r="AQ494" s="40"/>
      <c r="AR494" s="48"/>
      <c r="AS494" s="37"/>
      <c r="AT494" s="37"/>
      <c r="AU494" s="47"/>
      <c r="AV494" s="37"/>
      <c r="AW494" s="37">
        <v>10</v>
      </c>
      <c r="AX494" s="30">
        <f>(J494*10)/100</f>
        <v>31946376</v>
      </c>
      <c r="AY494" s="40"/>
    </row>
    <row r="495" spans="1:51" ht="43.5" customHeight="1" x14ac:dyDescent="0.25">
      <c r="A495" s="59" t="s">
        <v>2564</v>
      </c>
      <c r="B495" s="60">
        <v>45355</v>
      </c>
      <c r="C495" s="37">
        <v>1512</v>
      </c>
      <c r="D495" s="35"/>
      <c r="E495" s="40"/>
      <c r="F495" s="36"/>
      <c r="G495" s="37"/>
      <c r="H495" s="40"/>
      <c r="I495" s="62" t="s">
        <v>2565</v>
      </c>
      <c r="J495" s="61">
        <v>1751468.04</v>
      </c>
      <c r="K495" s="41">
        <v>0</v>
      </c>
      <c r="L495" s="54">
        <v>0</v>
      </c>
      <c r="M495" s="54">
        <v>0</v>
      </c>
      <c r="N495" s="42">
        <f t="shared" si="75"/>
        <v>100</v>
      </c>
      <c r="O495" s="43">
        <f t="shared" si="70"/>
        <v>1751468.04</v>
      </c>
      <c r="P495" s="41"/>
      <c r="Q495" s="43">
        <f t="shared" si="71"/>
        <v>1751468.04</v>
      </c>
      <c r="R495" s="41">
        <v>0</v>
      </c>
      <c r="S495" s="30">
        <f t="shared" si="74"/>
        <v>0</v>
      </c>
      <c r="T495" s="30">
        <f t="shared" si="74"/>
        <v>0</v>
      </c>
      <c r="U495" s="30" t="e">
        <f>T495/X495</f>
        <v>#DIV/0!</v>
      </c>
      <c r="V495" s="41" t="e">
        <f>T495/X495</f>
        <v>#DIV/0!</v>
      </c>
      <c r="W495" s="41" t="e">
        <f>V495*AU495</f>
        <v>#DIV/0!</v>
      </c>
      <c r="X495" s="41">
        <f t="shared" si="72"/>
        <v>0</v>
      </c>
      <c r="Y495" s="41">
        <v>0</v>
      </c>
      <c r="Z495" s="41">
        <v>0</v>
      </c>
      <c r="AA495" s="41">
        <v>0</v>
      </c>
      <c r="AB495" s="41"/>
      <c r="AC495" s="41" t="e">
        <f t="shared" si="68"/>
        <v>#DIV/0!</v>
      </c>
      <c r="AD495" s="41"/>
      <c r="AE495" s="41" t="e">
        <f t="shared" si="69"/>
        <v>#DIV/0!</v>
      </c>
      <c r="AF495" s="41" t="e">
        <f>X495/AU495</f>
        <v>#DIV/0!</v>
      </c>
      <c r="AG495" s="41" t="e">
        <f t="shared" si="73"/>
        <v>#DIV/0!</v>
      </c>
      <c r="AH495" s="36">
        <v>45413</v>
      </c>
      <c r="AI495" s="36"/>
      <c r="AJ495" s="36"/>
      <c r="AK495" s="36"/>
      <c r="AL495" s="36"/>
      <c r="AM495" s="46"/>
      <c r="AN495" s="40"/>
      <c r="AO495" s="40"/>
      <c r="AP495" s="40"/>
      <c r="AQ495" s="40"/>
      <c r="AR495" s="48"/>
      <c r="AS495" s="37"/>
      <c r="AT495" s="37"/>
      <c r="AU495" s="47"/>
      <c r="AV495" s="37"/>
      <c r="AW495" s="37">
        <v>10</v>
      </c>
      <c r="AX495" s="30">
        <f>(J495*10)/100</f>
        <v>175146.80399999997</v>
      </c>
      <c r="AY495" s="40"/>
    </row>
    <row r="496" spans="1:51" ht="43.5" customHeight="1" x14ac:dyDescent="0.25">
      <c r="A496" s="59" t="s">
        <v>2566</v>
      </c>
      <c r="B496" s="60">
        <v>45355</v>
      </c>
      <c r="C496" s="37">
        <v>1416</v>
      </c>
      <c r="D496" s="35"/>
      <c r="E496" s="40"/>
      <c r="F496" s="36"/>
      <c r="G496" s="37"/>
      <c r="H496" s="40"/>
      <c r="I496" s="62" t="s">
        <v>1305</v>
      </c>
      <c r="J496" s="61">
        <v>560057594.70000005</v>
      </c>
      <c r="K496" s="41">
        <v>0</v>
      </c>
      <c r="L496" s="54">
        <v>0</v>
      </c>
      <c r="M496" s="54">
        <v>0</v>
      </c>
      <c r="N496" s="42">
        <f t="shared" si="75"/>
        <v>100</v>
      </c>
      <c r="O496" s="43">
        <f t="shared" si="70"/>
        <v>560057594.70000005</v>
      </c>
      <c r="P496" s="41"/>
      <c r="Q496" s="43">
        <f t="shared" si="71"/>
        <v>560057594.70000005</v>
      </c>
      <c r="R496" s="41">
        <v>0</v>
      </c>
      <c r="S496" s="30">
        <f t="shared" si="74"/>
        <v>0</v>
      </c>
      <c r="T496" s="30">
        <f t="shared" si="74"/>
        <v>0</v>
      </c>
      <c r="U496" s="30" t="e">
        <f>T496/X496</f>
        <v>#DIV/0!</v>
      </c>
      <c r="V496" s="41" t="e">
        <f>T496/X496</f>
        <v>#DIV/0!</v>
      </c>
      <c r="W496" s="41" t="e">
        <f>V496*AU496</f>
        <v>#DIV/0!</v>
      </c>
      <c r="X496" s="41">
        <f t="shared" si="72"/>
        <v>0</v>
      </c>
      <c r="Y496" s="41">
        <v>0</v>
      </c>
      <c r="Z496" s="41">
        <v>0</v>
      </c>
      <c r="AA496" s="41">
        <v>0</v>
      </c>
      <c r="AB496" s="41"/>
      <c r="AC496" s="41" t="e">
        <f t="shared" si="68"/>
        <v>#DIV/0!</v>
      </c>
      <c r="AD496" s="41"/>
      <c r="AE496" s="41" t="e">
        <f t="shared" si="69"/>
        <v>#DIV/0!</v>
      </c>
      <c r="AF496" s="41" t="e">
        <f>X496/AU496</f>
        <v>#DIV/0!</v>
      </c>
      <c r="AG496" s="41" t="e">
        <f t="shared" si="73"/>
        <v>#DIV/0!</v>
      </c>
      <c r="AH496" s="36">
        <v>45413</v>
      </c>
      <c r="AI496" s="36"/>
      <c r="AJ496" s="36"/>
      <c r="AK496" s="36"/>
      <c r="AL496" s="36"/>
      <c r="AM496" s="46"/>
      <c r="AN496" s="40"/>
      <c r="AO496" s="40"/>
      <c r="AP496" s="40"/>
      <c r="AQ496" s="40"/>
      <c r="AR496" s="48"/>
      <c r="AS496" s="37"/>
      <c r="AT496" s="37"/>
      <c r="AU496" s="47"/>
      <c r="AV496" s="37"/>
      <c r="AW496" s="37">
        <v>10</v>
      </c>
      <c r="AX496" s="30">
        <f>(J496*10)/100</f>
        <v>56005759.469999999</v>
      </c>
      <c r="AY496" s="40"/>
    </row>
    <row r="497" spans="1:51" ht="43.5" customHeight="1" x14ac:dyDescent="0.25">
      <c r="A497" s="59" t="s">
        <v>2567</v>
      </c>
      <c r="B497" s="60">
        <v>45355</v>
      </c>
      <c r="C497" s="37">
        <v>1416</v>
      </c>
      <c r="D497" s="35"/>
      <c r="E497" s="40"/>
      <c r="F497" s="36"/>
      <c r="G497" s="37"/>
      <c r="H497" s="40"/>
      <c r="I497" s="64" t="s">
        <v>845</v>
      </c>
      <c r="J497" s="61">
        <v>3015008.64</v>
      </c>
      <c r="K497" s="41">
        <v>0</v>
      </c>
      <c r="L497" s="54">
        <v>0</v>
      </c>
      <c r="M497" s="54">
        <v>0</v>
      </c>
      <c r="N497" s="42">
        <f t="shared" si="75"/>
        <v>100</v>
      </c>
      <c r="O497" s="43">
        <f t="shared" si="70"/>
        <v>3015008.64</v>
      </c>
      <c r="P497" s="41"/>
      <c r="Q497" s="43">
        <f t="shared" si="71"/>
        <v>3015008.64</v>
      </c>
      <c r="R497" s="41">
        <v>0</v>
      </c>
      <c r="S497" s="30">
        <f t="shared" si="74"/>
        <v>0</v>
      </c>
      <c r="T497" s="30">
        <f t="shared" si="74"/>
        <v>0</v>
      </c>
      <c r="U497" s="30" t="e">
        <f>T497/X497</f>
        <v>#DIV/0!</v>
      </c>
      <c r="V497" s="41" t="e">
        <f>T497/X497</f>
        <v>#DIV/0!</v>
      </c>
      <c r="W497" s="41" t="e">
        <f>V497*AU497</f>
        <v>#DIV/0!</v>
      </c>
      <c r="X497" s="41">
        <f t="shared" si="72"/>
        <v>0</v>
      </c>
      <c r="Y497" s="41">
        <v>0</v>
      </c>
      <c r="Z497" s="41">
        <v>0</v>
      </c>
      <c r="AA497" s="41">
        <v>0</v>
      </c>
      <c r="AB497" s="41"/>
      <c r="AC497" s="41" t="e">
        <f t="shared" si="68"/>
        <v>#DIV/0!</v>
      </c>
      <c r="AD497" s="41"/>
      <c r="AE497" s="41" t="e">
        <f t="shared" si="69"/>
        <v>#DIV/0!</v>
      </c>
      <c r="AF497" s="41" t="e">
        <f>X497/AU497</f>
        <v>#DIV/0!</v>
      </c>
      <c r="AG497" s="41" t="e">
        <f t="shared" si="73"/>
        <v>#DIV/0!</v>
      </c>
      <c r="AH497" s="36">
        <v>45413</v>
      </c>
      <c r="AI497" s="36"/>
      <c r="AJ497" s="36"/>
      <c r="AK497" s="36"/>
      <c r="AL497" s="36"/>
      <c r="AM497" s="46"/>
      <c r="AN497" s="40"/>
      <c r="AO497" s="40"/>
      <c r="AP497" s="40"/>
      <c r="AQ497" s="40"/>
      <c r="AR497" s="48"/>
      <c r="AS497" s="37"/>
      <c r="AT497" s="37"/>
      <c r="AU497" s="47"/>
      <c r="AV497" s="37"/>
      <c r="AW497" s="37">
        <v>10</v>
      </c>
      <c r="AX497" s="30">
        <f>(J497*10)/100</f>
        <v>301500.864</v>
      </c>
      <c r="AY497" s="40"/>
    </row>
    <row r="498" spans="1:51" ht="43.5" customHeight="1" x14ac:dyDescent="0.25">
      <c r="A498" s="59" t="s">
        <v>2568</v>
      </c>
      <c r="B498" s="60">
        <v>45355</v>
      </c>
      <c r="C498" s="37" t="s">
        <v>1847</v>
      </c>
      <c r="D498" s="35"/>
      <c r="E498" s="40"/>
      <c r="F498" s="36"/>
      <c r="G498" s="37"/>
      <c r="H498" s="40"/>
      <c r="I498" s="62" t="s">
        <v>2569</v>
      </c>
      <c r="J498" s="61">
        <v>3677355</v>
      </c>
      <c r="K498" s="41">
        <v>0</v>
      </c>
      <c r="L498" s="54">
        <v>0</v>
      </c>
      <c r="M498" s="54">
        <v>0</v>
      </c>
      <c r="N498" s="42">
        <f t="shared" si="75"/>
        <v>100</v>
      </c>
      <c r="O498" s="43">
        <f t="shared" si="70"/>
        <v>3677355</v>
      </c>
      <c r="P498" s="41"/>
      <c r="Q498" s="43">
        <f t="shared" si="71"/>
        <v>3677355</v>
      </c>
      <c r="R498" s="41">
        <v>0</v>
      </c>
      <c r="S498" s="30">
        <f t="shared" si="74"/>
        <v>0</v>
      </c>
      <c r="T498" s="30">
        <f t="shared" si="74"/>
        <v>0</v>
      </c>
      <c r="U498" s="30" t="e">
        <f>T498/X498</f>
        <v>#DIV/0!</v>
      </c>
      <c r="V498" s="41" t="e">
        <f>T498/X498</f>
        <v>#DIV/0!</v>
      </c>
      <c r="W498" s="41" t="e">
        <f>V498*AU498</f>
        <v>#DIV/0!</v>
      </c>
      <c r="X498" s="41">
        <f t="shared" si="72"/>
        <v>0</v>
      </c>
      <c r="Y498" s="41">
        <v>0</v>
      </c>
      <c r="Z498" s="41">
        <v>0</v>
      </c>
      <c r="AA498" s="41">
        <v>0</v>
      </c>
      <c r="AB498" s="41"/>
      <c r="AC498" s="41" t="e">
        <f t="shared" si="68"/>
        <v>#DIV/0!</v>
      </c>
      <c r="AD498" s="41"/>
      <c r="AE498" s="41" t="e">
        <f t="shared" si="69"/>
        <v>#DIV/0!</v>
      </c>
      <c r="AF498" s="41" t="e">
        <f>X498/AU498</f>
        <v>#DIV/0!</v>
      </c>
      <c r="AG498" s="41" t="e">
        <f t="shared" si="73"/>
        <v>#DIV/0!</v>
      </c>
      <c r="AH498" s="36">
        <v>45383</v>
      </c>
      <c r="AI498" s="36"/>
      <c r="AJ498" s="36"/>
      <c r="AK498" s="36"/>
      <c r="AL498" s="36"/>
      <c r="AM498" s="46"/>
      <c r="AN498" s="40"/>
      <c r="AO498" s="40"/>
      <c r="AP498" s="40"/>
      <c r="AQ498" s="40"/>
      <c r="AR498" s="48"/>
      <c r="AS498" s="37"/>
      <c r="AT498" s="37"/>
      <c r="AU498" s="47"/>
      <c r="AV498" s="37"/>
      <c r="AW498" s="37">
        <v>10</v>
      </c>
      <c r="AX498" s="30">
        <f>(J498*10)/100</f>
        <v>367735.5</v>
      </c>
      <c r="AY498" s="40"/>
    </row>
    <row r="499" spans="1:51" ht="43.5" customHeight="1" x14ac:dyDescent="0.25">
      <c r="A499" s="59" t="s">
        <v>2570</v>
      </c>
      <c r="B499" s="60">
        <v>45355</v>
      </c>
      <c r="C499" s="37" t="s">
        <v>1847</v>
      </c>
      <c r="D499" s="35"/>
      <c r="E499" s="40"/>
      <c r="F499" s="36"/>
      <c r="G499" s="37"/>
      <c r="H499" s="40"/>
      <c r="I499" s="62" t="s">
        <v>2571</v>
      </c>
      <c r="J499" s="61">
        <v>22449571.199999999</v>
      </c>
      <c r="K499" s="41">
        <v>0</v>
      </c>
      <c r="L499" s="54">
        <v>0</v>
      </c>
      <c r="M499" s="54">
        <v>0</v>
      </c>
      <c r="N499" s="42">
        <f t="shared" si="75"/>
        <v>100</v>
      </c>
      <c r="O499" s="43">
        <f t="shared" si="70"/>
        <v>22449571.199999999</v>
      </c>
      <c r="P499" s="41"/>
      <c r="Q499" s="43">
        <f t="shared" si="71"/>
        <v>22449571.199999999</v>
      </c>
      <c r="R499" s="41">
        <v>0</v>
      </c>
      <c r="S499" s="30">
        <f t="shared" si="74"/>
        <v>0</v>
      </c>
      <c r="T499" s="30">
        <f t="shared" si="74"/>
        <v>0</v>
      </c>
      <c r="U499" s="30" t="e">
        <f>T499/X499</f>
        <v>#DIV/0!</v>
      </c>
      <c r="V499" s="41" t="e">
        <f>T499/X499</f>
        <v>#DIV/0!</v>
      </c>
      <c r="W499" s="41" t="e">
        <f>V499*AU499</f>
        <v>#DIV/0!</v>
      </c>
      <c r="X499" s="41">
        <f t="shared" si="72"/>
        <v>0</v>
      </c>
      <c r="Y499" s="41">
        <v>0</v>
      </c>
      <c r="Z499" s="41">
        <v>0</v>
      </c>
      <c r="AA499" s="41">
        <v>0</v>
      </c>
      <c r="AB499" s="41"/>
      <c r="AC499" s="41" t="e">
        <f t="shared" si="68"/>
        <v>#DIV/0!</v>
      </c>
      <c r="AD499" s="41"/>
      <c r="AE499" s="41" t="e">
        <f t="shared" si="69"/>
        <v>#DIV/0!</v>
      </c>
      <c r="AF499" s="41" t="e">
        <f>X499/AU499</f>
        <v>#DIV/0!</v>
      </c>
      <c r="AG499" s="41" t="e">
        <f t="shared" si="73"/>
        <v>#DIV/0!</v>
      </c>
      <c r="AH499" s="36">
        <v>45383</v>
      </c>
      <c r="AI499" s="36"/>
      <c r="AJ499" s="36"/>
      <c r="AK499" s="36"/>
      <c r="AL499" s="36"/>
      <c r="AM499" s="46"/>
      <c r="AN499" s="40"/>
      <c r="AO499" s="40"/>
      <c r="AP499" s="40"/>
      <c r="AQ499" s="40"/>
      <c r="AR499" s="48"/>
      <c r="AS499" s="37"/>
      <c r="AT499" s="37"/>
      <c r="AU499" s="47"/>
      <c r="AV499" s="37"/>
      <c r="AW499" s="37">
        <v>10</v>
      </c>
      <c r="AX499" s="30">
        <f>(J499*10)/100</f>
        <v>2244957.12</v>
      </c>
      <c r="AY499" s="40"/>
    </row>
    <row r="500" spans="1:51" ht="43.5" customHeight="1" x14ac:dyDescent="0.25">
      <c r="A500" s="59" t="s">
        <v>2572</v>
      </c>
      <c r="B500" s="60">
        <v>45357</v>
      </c>
      <c r="C500" s="37">
        <v>545</v>
      </c>
      <c r="D500" s="35"/>
      <c r="E500" s="40"/>
      <c r="F500" s="36"/>
      <c r="G500" s="37"/>
      <c r="H500" s="40"/>
      <c r="I500" s="64" t="s">
        <v>2573</v>
      </c>
      <c r="J500" s="61">
        <v>13553495.1</v>
      </c>
      <c r="K500" s="41">
        <v>0</v>
      </c>
      <c r="L500" s="54">
        <v>0</v>
      </c>
      <c r="M500" s="54">
        <v>0</v>
      </c>
      <c r="N500" s="42">
        <f t="shared" si="75"/>
        <v>100</v>
      </c>
      <c r="O500" s="43">
        <f t="shared" si="70"/>
        <v>13553495.1</v>
      </c>
      <c r="P500" s="41"/>
      <c r="Q500" s="43">
        <f t="shared" si="71"/>
        <v>13553495.1</v>
      </c>
      <c r="R500" s="41">
        <v>0</v>
      </c>
      <c r="S500" s="30">
        <f t="shared" si="74"/>
        <v>0</v>
      </c>
      <c r="T500" s="30">
        <f t="shared" si="74"/>
        <v>0</v>
      </c>
      <c r="U500" s="30" t="e">
        <f>T500/X500</f>
        <v>#DIV/0!</v>
      </c>
      <c r="V500" s="41" t="e">
        <f>T500/X500</f>
        <v>#DIV/0!</v>
      </c>
      <c r="W500" s="41" t="e">
        <f>V500*AU500</f>
        <v>#DIV/0!</v>
      </c>
      <c r="X500" s="41">
        <f t="shared" si="72"/>
        <v>0</v>
      </c>
      <c r="Y500" s="41">
        <v>0</v>
      </c>
      <c r="Z500" s="41">
        <v>0</v>
      </c>
      <c r="AA500" s="41">
        <v>0</v>
      </c>
      <c r="AB500" s="41"/>
      <c r="AC500" s="41" t="e">
        <f t="shared" si="68"/>
        <v>#DIV/0!</v>
      </c>
      <c r="AD500" s="41"/>
      <c r="AE500" s="41" t="e">
        <f t="shared" si="69"/>
        <v>#DIV/0!</v>
      </c>
      <c r="AF500" s="41" t="e">
        <f>X500/AU500</f>
        <v>#DIV/0!</v>
      </c>
      <c r="AG500" s="41" t="e">
        <f t="shared" si="73"/>
        <v>#DIV/0!</v>
      </c>
      <c r="AH500" s="36">
        <v>45397</v>
      </c>
      <c r="AI500" s="36"/>
      <c r="AJ500" s="36"/>
      <c r="AK500" s="36"/>
      <c r="AL500" s="36"/>
      <c r="AM500" s="46"/>
      <c r="AN500" s="40"/>
      <c r="AO500" s="40"/>
      <c r="AP500" s="40"/>
      <c r="AQ500" s="40"/>
      <c r="AR500" s="48"/>
      <c r="AS500" s="37"/>
      <c r="AT500" s="37"/>
      <c r="AU500" s="47"/>
      <c r="AV500" s="37"/>
      <c r="AW500" s="37">
        <v>10</v>
      </c>
      <c r="AX500" s="30">
        <f>(J500*10)/100</f>
        <v>1355349.51</v>
      </c>
      <c r="AY500" s="40"/>
    </row>
    <row r="501" spans="1:51" ht="43.5" customHeight="1" x14ac:dyDescent="0.25">
      <c r="A501" s="59" t="s">
        <v>2574</v>
      </c>
      <c r="B501" s="60">
        <v>45357</v>
      </c>
      <c r="C501" s="37">
        <v>1416</v>
      </c>
      <c r="D501" s="35"/>
      <c r="E501" s="40"/>
      <c r="F501" s="36"/>
      <c r="G501" s="37"/>
      <c r="H501" s="40"/>
      <c r="I501" s="62" t="s">
        <v>1107</v>
      </c>
      <c r="J501" s="61">
        <v>484654854.60000002</v>
      </c>
      <c r="K501" s="41">
        <v>0</v>
      </c>
      <c r="L501" s="54">
        <v>0</v>
      </c>
      <c r="M501" s="54">
        <v>0</v>
      </c>
      <c r="N501" s="42">
        <f t="shared" si="75"/>
        <v>100</v>
      </c>
      <c r="O501" s="43">
        <f t="shared" si="70"/>
        <v>484654854.60000002</v>
      </c>
      <c r="P501" s="41"/>
      <c r="Q501" s="43">
        <f t="shared" si="71"/>
        <v>484654854.60000002</v>
      </c>
      <c r="R501" s="41">
        <v>0</v>
      </c>
      <c r="S501" s="30">
        <f t="shared" si="74"/>
        <v>0</v>
      </c>
      <c r="T501" s="30">
        <f t="shared" si="74"/>
        <v>0</v>
      </c>
      <c r="U501" s="30" t="e">
        <f>T501/X501</f>
        <v>#DIV/0!</v>
      </c>
      <c r="V501" s="41" t="e">
        <f>T501/X501</f>
        <v>#DIV/0!</v>
      </c>
      <c r="W501" s="41" t="e">
        <f>V501*AU501</f>
        <v>#DIV/0!</v>
      </c>
      <c r="X501" s="41">
        <f t="shared" si="72"/>
        <v>0</v>
      </c>
      <c r="Y501" s="41">
        <v>0</v>
      </c>
      <c r="Z501" s="41">
        <v>0</v>
      </c>
      <c r="AA501" s="41">
        <v>0</v>
      </c>
      <c r="AB501" s="41"/>
      <c r="AC501" s="41" t="e">
        <f t="shared" si="68"/>
        <v>#DIV/0!</v>
      </c>
      <c r="AD501" s="41"/>
      <c r="AE501" s="41" t="e">
        <f t="shared" si="69"/>
        <v>#DIV/0!</v>
      </c>
      <c r="AF501" s="41" t="e">
        <f>X501/AU501</f>
        <v>#DIV/0!</v>
      </c>
      <c r="AG501" s="41" t="e">
        <f t="shared" si="73"/>
        <v>#DIV/0!</v>
      </c>
      <c r="AH501" s="36">
        <v>45505</v>
      </c>
      <c r="AI501" s="36"/>
      <c r="AJ501" s="36"/>
      <c r="AK501" s="36"/>
      <c r="AL501" s="36"/>
      <c r="AM501" s="46"/>
      <c r="AN501" s="40"/>
      <c r="AO501" s="40"/>
      <c r="AP501" s="40"/>
      <c r="AQ501" s="40"/>
      <c r="AR501" s="48"/>
      <c r="AS501" s="37"/>
      <c r="AT501" s="37"/>
      <c r="AU501" s="47"/>
      <c r="AV501" s="37"/>
      <c r="AW501" s="37">
        <v>10</v>
      </c>
      <c r="AX501" s="30">
        <f>(J501*10)/100</f>
        <v>48465485.460000001</v>
      </c>
      <c r="AY501" s="40"/>
    </row>
    <row r="502" spans="1:51" ht="43.5" customHeight="1" x14ac:dyDescent="0.25">
      <c r="A502" s="59" t="s">
        <v>2575</v>
      </c>
      <c r="B502" s="60">
        <v>45357</v>
      </c>
      <c r="C502" s="37" t="s">
        <v>2189</v>
      </c>
      <c r="D502" s="35"/>
      <c r="E502" s="40"/>
      <c r="F502" s="36"/>
      <c r="G502" s="37"/>
      <c r="H502" s="40"/>
      <c r="I502" s="62" t="s">
        <v>1956</v>
      </c>
      <c r="J502" s="61">
        <v>35612.5</v>
      </c>
      <c r="K502" s="41">
        <v>0</v>
      </c>
      <c r="L502" s="54">
        <v>0</v>
      </c>
      <c r="M502" s="54">
        <v>0</v>
      </c>
      <c r="N502" s="42">
        <f t="shared" si="75"/>
        <v>100</v>
      </c>
      <c r="O502" s="43">
        <f t="shared" si="70"/>
        <v>35612.5</v>
      </c>
      <c r="P502" s="41"/>
      <c r="Q502" s="43">
        <f t="shared" si="71"/>
        <v>35612.5</v>
      </c>
      <c r="R502" s="41">
        <v>0</v>
      </c>
      <c r="S502" s="30">
        <f t="shared" si="74"/>
        <v>0</v>
      </c>
      <c r="T502" s="30">
        <f t="shared" si="74"/>
        <v>0</v>
      </c>
      <c r="U502" s="30" t="e">
        <f>T502/X502</f>
        <v>#DIV/0!</v>
      </c>
      <c r="V502" s="41" t="e">
        <f>T502/X502</f>
        <v>#DIV/0!</v>
      </c>
      <c r="W502" s="41" t="e">
        <f>V502*AU502</f>
        <v>#DIV/0!</v>
      </c>
      <c r="X502" s="41">
        <f t="shared" si="72"/>
        <v>0</v>
      </c>
      <c r="Y502" s="41">
        <v>0</v>
      </c>
      <c r="Z502" s="41">
        <v>0</v>
      </c>
      <c r="AA502" s="41">
        <v>0</v>
      </c>
      <c r="AB502" s="41"/>
      <c r="AC502" s="41" t="e">
        <f t="shared" si="68"/>
        <v>#DIV/0!</v>
      </c>
      <c r="AD502" s="41"/>
      <c r="AE502" s="41" t="e">
        <f t="shared" si="69"/>
        <v>#DIV/0!</v>
      </c>
      <c r="AF502" s="41" t="e">
        <f>X502/AU502</f>
        <v>#DIV/0!</v>
      </c>
      <c r="AG502" s="41" t="e">
        <f t="shared" si="73"/>
        <v>#DIV/0!</v>
      </c>
      <c r="AH502" s="36">
        <v>45413</v>
      </c>
      <c r="AI502" s="36"/>
      <c r="AJ502" s="36"/>
      <c r="AK502" s="36"/>
      <c r="AL502" s="36"/>
      <c r="AM502" s="46"/>
      <c r="AN502" s="40"/>
      <c r="AO502" s="40"/>
      <c r="AP502" s="40"/>
      <c r="AQ502" s="40"/>
      <c r="AR502" s="48"/>
      <c r="AS502" s="37"/>
      <c r="AT502" s="37"/>
      <c r="AU502" s="47"/>
      <c r="AV502" s="37"/>
      <c r="AW502" s="37">
        <v>10</v>
      </c>
      <c r="AX502" s="30">
        <f>(J502*10)/100</f>
        <v>3561.25</v>
      </c>
      <c r="AY502" s="40"/>
    </row>
    <row r="503" spans="1:51" ht="43.5" customHeight="1" x14ac:dyDescent="0.25">
      <c r="A503" s="59" t="s">
        <v>2576</v>
      </c>
      <c r="B503" s="60">
        <v>45357</v>
      </c>
      <c r="C503" s="37" t="s">
        <v>2189</v>
      </c>
      <c r="D503" s="35"/>
      <c r="E503" s="40"/>
      <c r="F503" s="36"/>
      <c r="G503" s="37"/>
      <c r="H503" s="40"/>
      <c r="I503" s="62" t="s">
        <v>2577</v>
      </c>
      <c r="J503" s="61">
        <v>2034306.6</v>
      </c>
      <c r="K503" s="41">
        <v>0</v>
      </c>
      <c r="L503" s="54">
        <v>0</v>
      </c>
      <c r="M503" s="54">
        <v>0</v>
      </c>
      <c r="N503" s="42">
        <f t="shared" si="75"/>
        <v>100</v>
      </c>
      <c r="O503" s="43">
        <f t="shared" si="70"/>
        <v>2034306.6</v>
      </c>
      <c r="P503" s="41"/>
      <c r="Q503" s="43">
        <f t="shared" si="71"/>
        <v>2034306.6</v>
      </c>
      <c r="R503" s="41">
        <v>0</v>
      </c>
      <c r="S503" s="30">
        <f t="shared" si="74"/>
        <v>0</v>
      </c>
      <c r="T503" s="30">
        <f t="shared" si="74"/>
        <v>0</v>
      </c>
      <c r="U503" s="30" t="e">
        <f>T503/X503</f>
        <v>#DIV/0!</v>
      </c>
      <c r="V503" s="41" t="e">
        <f>T503/X503</f>
        <v>#DIV/0!</v>
      </c>
      <c r="W503" s="41" t="e">
        <f>V503*AU503</f>
        <v>#DIV/0!</v>
      </c>
      <c r="X503" s="41">
        <f t="shared" si="72"/>
        <v>0</v>
      </c>
      <c r="Y503" s="41">
        <v>0</v>
      </c>
      <c r="Z503" s="41">
        <v>0</v>
      </c>
      <c r="AA503" s="41">
        <v>0</v>
      </c>
      <c r="AB503" s="41"/>
      <c r="AC503" s="41" t="e">
        <f t="shared" si="68"/>
        <v>#DIV/0!</v>
      </c>
      <c r="AD503" s="41"/>
      <c r="AE503" s="41" t="e">
        <f t="shared" si="69"/>
        <v>#DIV/0!</v>
      </c>
      <c r="AF503" s="41" t="e">
        <f>X503/AU503</f>
        <v>#DIV/0!</v>
      </c>
      <c r="AG503" s="41" t="e">
        <f t="shared" si="73"/>
        <v>#DIV/0!</v>
      </c>
      <c r="AH503" s="36">
        <v>45413</v>
      </c>
      <c r="AI503" s="36"/>
      <c r="AJ503" s="36"/>
      <c r="AK503" s="36"/>
      <c r="AL503" s="36"/>
      <c r="AM503" s="46"/>
      <c r="AN503" s="40"/>
      <c r="AO503" s="40"/>
      <c r="AP503" s="40"/>
      <c r="AQ503" s="40"/>
      <c r="AR503" s="48"/>
      <c r="AS503" s="37"/>
      <c r="AT503" s="37"/>
      <c r="AU503" s="47"/>
      <c r="AV503" s="37"/>
      <c r="AW503" s="37">
        <v>10</v>
      </c>
      <c r="AX503" s="30">
        <f>(J503*10)/100</f>
        <v>203430.66</v>
      </c>
      <c r="AY503" s="40"/>
    </row>
    <row r="504" spans="1:51" ht="43.5" customHeight="1" x14ac:dyDescent="0.25">
      <c r="A504" s="59" t="s">
        <v>2578</v>
      </c>
      <c r="B504" s="60">
        <v>45357</v>
      </c>
      <c r="C504" s="37" t="s">
        <v>2189</v>
      </c>
      <c r="D504" s="35"/>
      <c r="E504" s="40"/>
      <c r="F504" s="36"/>
      <c r="G504" s="37"/>
      <c r="H504" s="40"/>
      <c r="I504" s="62" t="s">
        <v>1462</v>
      </c>
      <c r="J504" s="61">
        <v>252945</v>
      </c>
      <c r="K504" s="41">
        <v>0</v>
      </c>
      <c r="L504" s="54">
        <v>0</v>
      </c>
      <c r="M504" s="54">
        <v>0</v>
      </c>
      <c r="N504" s="42">
        <f t="shared" si="75"/>
        <v>100</v>
      </c>
      <c r="O504" s="43">
        <f t="shared" si="70"/>
        <v>252945</v>
      </c>
      <c r="P504" s="41"/>
      <c r="Q504" s="43">
        <f t="shared" si="71"/>
        <v>252945</v>
      </c>
      <c r="R504" s="41">
        <v>0</v>
      </c>
      <c r="S504" s="30">
        <f t="shared" si="74"/>
        <v>0</v>
      </c>
      <c r="T504" s="30">
        <f t="shared" si="74"/>
        <v>0</v>
      </c>
      <c r="U504" s="30" t="e">
        <f>T504/X504</f>
        <v>#DIV/0!</v>
      </c>
      <c r="V504" s="41" t="e">
        <f>T504/X504</f>
        <v>#DIV/0!</v>
      </c>
      <c r="W504" s="41" t="e">
        <f>V504*AU504</f>
        <v>#DIV/0!</v>
      </c>
      <c r="X504" s="41">
        <f t="shared" si="72"/>
        <v>0</v>
      </c>
      <c r="Y504" s="41">
        <v>0</v>
      </c>
      <c r="Z504" s="41">
        <v>0</v>
      </c>
      <c r="AA504" s="41">
        <v>0</v>
      </c>
      <c r="AB504" s="41"/>
      <c r="AC504" s="41" t="e">
        <f t="shared" si="68"/>
        <v>#DIV/0!</v>
      </c>
      <c r="AD504" s="41"/>
      <c r="AE504" s="41" t="e">
        <f t="shared" si="69"/>
        <v>#DIV/0!</v>
      </c>
      <c r="AF504" s="41" t="e">
        <f>X504/AU504</f>
        <v>#DIV/0!</v>
      </c>
      <c r="AG504" s="41" t="e">
        <f t="shared" si="73"/>
        <v>#DIV/0!</v>
      </c>
      <c r="AH504" s="36">
        <v>45413</v>
      </c>
      <c r="AI504" s="36"/>
      <c r="AJ504" s="36"/>
      <c r="AK504" s="36"/>
      <c r="AL504" s="36"/>
      <c r="AM504" s="46"/>
      <c r="AN504" s="40"/>
      <c r="AO504" s="40"/>
      <c r="AP504" s="40"/>
      <c r="AQ504" s="40"/>
      <c r="AR504" s="48"/>
      <c r="AS504" s="37"/>
      <c r="AT504" s="37"/>
      <c r="AU504" s="47"/>
      <c r="AV504" s="37"/>
      <c r="AW504" s="37">
        <v>10</v>
      </c>
      <c r="AX504" s="30">
        <f>(J504*10)/100</f>
        <v>25294.5</v>
      </c>
      <c r="AY504" s="40"/>
    </row>
    <row r="505" spans="1:51" ht="43.5" customHeight="1" x14ac:dyDescent="0.25">
      <c r="A505" s="59" t="s">
        <v>2579</v>
      </c>
      <c r="B505" s="60">
        <v>45357</v>
      </c>
      <c r="C505" s="37" t="s">
        <v>2189</v>
      </c>
      <c r="D505" s="35"/>
      <c r="E505" s="40"/>
      <c r="F505" s="36"/>
      <c r="G505" s="37"/>
      <c r="H505" s="40"/>
      <c r="I505" s="62" t="s">
        <v>2580</v>
      </c>
      <c r="J505" s="61">
        <v>1731600</v>
      </c>
      <c r="K505" s="41">
        <v>0</v>
      </c>
      <c r="L505" s="54">
        <v>0</v>
      </c>
      <c r="M505" s="54">
        <v>0</v>
      </c>
      <c r="N505" s="42">
        <f t="shared" si="75"/>
        <v>100</v>
      </c>
      <c r="O505" s="43">
        <f t="shared" si="70"/>
        <v>1731600</v>
      </c>
      <c r="P505" s="41"/>
      <c r="Q505" s="43">
        <f t="shared" si="71"/>
        <v>1731600</v>
      </c>
      <c r="R505" s="41">
        <v>0</v>
      </c>
      <c r="S505" s="30">
        <f t="shared" si="74"/>
        <v>0</v>
      </c>
      <c r="T505" s="30">
        <f t="shared" si="74"/>
        <v>0</v>
      </c>
      <c r="U505" s="30" t="e">
        <f>T505/X505</f>
        <v>#DIV/0!</v>
      </c>
      <c r="V505" s="41" t="e">
        <f>T505/X505</f>
        <v>#DIV/0!</v>
      </c>
      <c r="W505" s="41" t="e">
        <f>V505*AU505</f>
        <v>#DIV/0!</v>
      </c>
      <c r="X505" s="41">
        <f t="shared" si="72"/>
        <v>0</v>
      </c>
      <c r="Y505" s="41">
        <v>0</v>
      </c>
      <c r="Z505" s="41">
        <v>0</v>
      </c>
      <c r="AA505" s="41">
        <v>0</v>
      </c>
      <c r="AB505" s="41"/>
      <c r="AC505" s="41" t="e">
        <f t="shared" si="68"/>
        <v>#DIV/0!</v>
      </c>
      <c r="AD505" s="41"/>
      <c r="AE505" s="41" t="e">
        <f t="shared" si="69"/>
        <v>#DIV/0!</v>
      </c>
      <c r="AF505" s="41" t="e">
        <f>X505/AU505</f>
        <v>#DIV/0!</v>
      </c>
      <c r="AG505" s="41" t="e">
        <f t="shared" si="73"/>
        <v>#DIV/0!</v>
      </c>
      <c r="AH505" s="36">
        <v>45413</v>
      </c>
      <c r="AI505" s="36"/>
      <c r="AJ505" s="36"/>
      <c r="AK505" s="36"/>
      <c r="AL505" s="36"/>
      <c r="AM505" s="46"/>
      <c r="AN505" s="40"/>
      <c r="AO505" s="40"/>
      <c r="AP505" s="40"/>
      <c r="AQ505" s="40"/>
      <c r="AR505" s="48"/>
      <c r="AS505" s="37"/>
      <c r="AT505" s="37"/>
      <c r="AU505" s="47"/>
      <c r="AV505" s="37"/>
      <c r="AW505" s="37">
        <v>10</v>
      </c>
      <c r="AX505" s="30">
        <f>(J505*10)/100</f>
        <v>173160</v>
      </c>
      <c r="AY505" s="40"/>
    </row>
    <row r="506" spans="1:51" ht="43.5" customHeight="1" x14ac:dyDescent="0.25">
      <c r="A506" s="59" t="s">
        <v>2581</v>
      </c>
      <c r="B506" s="60">
        <v>45357</v>
      </c>
      <c r="C506" s="37" t="s">
        <v>2189</v>
      </c>
      <c r="D506" s="35"/>
      <c r="E506" s="40"/>
      <c r="F506" s="36"/>
      <c r="G506" s="37"/>
      <c r="H506" s="40"/>
      <c r="I506" s="62" t="s">
        <v>2582</v>
      </c>
      <c r="J506" s="61">
        <v>5162483.6100000003</v>
      </c>
      <c r="K506" s="41">
        <v>0</v>
      </c>
      <c r="L506" s="54">
        <v>0</v>
      </c>
      <c r="M506" s="54">
        <v>0</v>
      </c>
      <c r="N506" s="42">
        <f t="shared" si="75"/>
        <v>100</v>
      </c>
      <c r="O506" s="43">
        <f t="shared" si="70"/>
        <v>5162483.6100000003</v>
      </c>
      <c r="P506" s="41"/>
      <c r="Q506" s="43">
        <f t="shared" si="71"/>
        <v>5162483.6100000003</v>
      </c>
      <c r="R506" s="41">
        <v>0</v>
      </c>
      <c r="S506" s="30">
        <f t="shared" si="74"/>
        <v>0</v>
      </c>
      <c r="T506" s="30">
        <f t="shared" si="74"/>
        <v>0</v>
      </c>
      <c r="U506" s="30" t="e">
        <f>T506/X506</f>
        <v>#DIV/0!</v>
      </c>
      <c r="V506" s="41" t="e">
        <f>T506/X506</f>
        <v>#DIV/0!</v>
      </c>
      <c r="W506" s="41" t="e">
        <f>V506*AU506</f>
        <v>#DIV/0!</v>
      </c>
      <c r="X506" s="41">
        <f t="shared" si="72"/>
        <v>0</v>
      </c>
      <c r="Y506" s="41">
        <v>0</v>
      </c>
      <c r="Z506" s="41">
        <v>0</v>
      </c>
      <c r="AA506" s="41">
        <v>0</v>
      </c>
      <c r="AB506" s="41"/>
      <c r="AC506" s="41" t="e">
        <f t="shared" si="68"/>
        <v>#DIV/0!</v>
      </c>
      <c r="AD506" s="41"/>
      <c r="AE506" s="41" t="e">
        <f t="shared" si="69"/>
        <v>#DIV/0!</v>
      </c>
      <c r="AF506" s="41" t="e">
        <f>X506/AU506</f>
        <v>#DIV/0!</v>
      </c>
      <c r="AG506" s="41" t="e">
        <f t="shared" si="73"/>
        <v>#DIV/0!</v>
      </c>
      <c r="AH506" s="36">
        <v>45413</v>
      </c>
      <c r="AI506" s="36"/>
      <c r="AJ506" s="36"/>
      <c r="AK506" s="36"/>
      <c r="AL506" s="36"/>
      <c r="AM506" s="46"/>
      <c r="AN506" s="40"/>
      <c r="AO506" s="40"/>
      <c r="AP506" s="40"/>
      <c r="AQ506" s="40"/>
      <c r="AR506" s="48"/>
      <c r="AS506" s="37"/>
      <c r="AT506" s="37"/>
      <c r="AU506" s="47"/>
      <c r="AV506" s="37"/>
      <c r="AW506" s="37">
        <v>10</v>
      </c>
      <c r="AX506" s="30">
        <f>(J506*10)/100</f>
        <v>516248.36100000003</v>
      </c>
      <c r="AY506" s="40"/>
    </row>
    <row r="507" spans="1:51" ht="43.5" customHeight="1" x14ac:dyDescent="0.25">
      <c r="A507" s="59" t="s">
        <v>2583</v>
      </c>
      <c r="B507" s="60">
        <v>45357</v>
      </c>
      <c r="C507" s="37">
        <v>1416</v>
      </c>
      <c r="D507" s="35"/>
      <c r="E507" s="40"/>
      <c r="F507" s="36"/>
      <c r="G507" s="37"/>
      <c r="H507" s="40"/>
      <c r="I507" s="62" t="s">
        <v>2584</v>
      </c>
      <c r="J507" s="61">
        <v>1180416.6399999999</v>
      </c>
      <c r="K507" s="41">
        <v>0</v>
      </c>
      <c r="L507" s="54">
        <v>0</v>
      </c>
      <c r="M507" s="54">
        <v>0</v>
      </c>
      <c r="N507" s="42">
        <f t="shared" si="75"/>
        <v>100</v>
      </c>
      <c r="O507" s="43">
        <f t="shared" si="70"/>
        <v>1180416.6399999999</v>
      </c>
      <c r="P507" s="41"/>
      <c r="Q507" s="43">
        <f t="shared" si="71"/>
        <v>1180416.6399999999</v>
      </c>
      <c r="R507" s="41">
        <v>0</v>
      </c>
      <c r="S507" s="30">
        <f t="shared" si="74"/>
        <v>0</v>
      </c>
      <c r="T507" s="30">
        <f t="shared" si="74"/>
        <v>0</v>
      </c>
      <c r="U507" s="30" t="e">
        <f>T507/X507</f>
        <v>#DIV/0!</v>
      </c>
      <c r="V507" s="41" t="e">
        <f>T507/X507</f>
        <v>#DIV/0!</v>
      </c>
      <c r="W507" s="41" t="e">
        <f>V507*AU507</f>
        <v>#DIV/0!</v>
      </c>
      <c r="X507" s="41">
        <f t="shared" si="72"/>
        <v>0</v>
      </c>
      <c r="Y507" s="41">
        <v>0</v>
      </c>
      <c r="Z507" s="41">
        <v>0</v>
      </c>
      <c r="AA507" s="41">
        <v>0</v>
      </c>
      <c r="AB507" s="41"/>
      <c r="AC507" s="41" t="e">
        <f t="shared" si="68"/>
        <v>#DIV/0!</v>
      </c>
      <c r="AD507" s="41"/>
      <c r="AE507" s="41" t="e">
        <f t="shared" si="69"/>
        <v>#DIV/0!</v>
      </c>
      <c r="AF507" s="41" t="e">
        <f>X507/AU507</f>
        <v>#DIV/0!</v>
      </c>
      <c r="AG507" s="41" t="e">
        <f t="shared" si="73"/>
        <v>#DIV/0!</v>
      </c>
      <c r="AH507" s="36">
        <v>45413</v>
      </c>
      <c r="AI507" s="36"/>
      <c r="AJ507" s="36"/>
      <c r="AK507" s="36"/>
      <c r="AL507" s="36"/>
      <c r="AM507" s="46"/>
      <c r="AN507" s="40"/>
      <c r="AO507" s="40"/>
      <c r="AP507" s="40"/>
      <c r="AQ507" s="40"/>
      <c r="AR507" s="48"/>
      <c r="AS507" s="37"/>
      <c r="AT507" s="37"/>
      <c r="AU507" s="47"/>
      <c r="AV507" s="37"/>
      <c r="AW507" s="37">
        <v>10</v>
      </c>
      <c r="AX507" s="30">
        <f>(J507*10)/100</f>
        <v>118041.66399999999</v>
      </c>
      <c r="AY507" s="40"/>
    </row>
    <row r="508" spans="1:51" ht="43.5" customHeight="1" x14ac:dyDescent="0.25">
      <c r="A508" s="59" t="s">
        <v>2585</v>
      </c>
      <c r="B508" s="60">
        <v>45357</v>
      </c>
      <c r="C508" s="37">
        <v>1416</v>
      </c>
      <c r="D508" s="35"/>
      <c r="E508" s="40"/>
      <c r="F508" s="36"/>
      <c r="G508" s="37"/>
      <c r="H508" s="40"/>
      <c r="I508" s="62" t="s">
        <v>2586</v>
      </c>
      <c r="J508" s="61">
        <v>4763072.16</v>
      </c>
      <c r="K508" s="41">
        <v>0</v>
      </c>
      <c r="L508" s="54">
        <v>0</v>
      </c>
      <c r="M508" s="54">
        <v>0</v>
      </c>
      <c r="N508" s="42">
        <f t="shared" si="75"/>
        <v>100</v>
      </c>
      <c r="O508" s="43">
        <f t="shared" si="70"/>
        <v>4763072.16</v>
      </c>
      <c r="P508" s="41"/>
      <c r="Q508" s="43">
        <f t="shared" si="71"/>
        <v>4763072.16</v>
      </c>
      <c r="R508" s="41">
        <v>0</v>
      </c>
      <c r="S508" s="30">
        <f t="shared" si="74"/>
        <v>0</v>
      </c>
      <c r="T508" s="30">
        <f t="shared" si="74"/>
        <v>0</v>
      </c>
      <c r="U508" s="30" t="e">
        <f>T508/X508</f>
        <v>#DIV/0!</v>
      </c>
      <c r="V508" s="41" t="e">
        <f>T508/X508</f>
        <v>#DIV/0!</v>
      </c>
      <c r="W508" s="41" t="e">
        <f>V508*AU508</f>
        <v>#DIV/0!</v>
      </c>
      <c r="X508" s="41">
        <f t="shared" si="72"/>
        <v>0</v>
      </c>
      <c r="Y508" s="41">
        <v>0</v>
      </c>
      <c r="Z508" s="41">
        <v>0</v>
      </c>
      <c r="AA508" s="41">
        <v>0</v>
      </c>
      <c r="AB508" s="41"/>
      <c r="AC508" s="41" t="e">
        <f t="shared" si="68"/>
        <v>#DIV/0!</v>
      </c>
      <c r="AD508" s="41"/>
      <c r="AE508" s="41" t="e">
        <f t="shared" si="69"/>
        <v>#DIV/0!</v>
      </c>
      <c r="AF508" s="41" t="e">
        <f>X508/AU508</f>
        <v>#DIV/0!</v>
      </c>
      <c r="AG508" s="41" t="e">
        <f t="shared" si="73"/>
        <v>#DIV/0!</v>
      </c>
      <c r="AH508" s="36">
        <v>45413</v>
      </c>
      <c r="AI508" s="36"/>
      <c r="AJ508" s="36"/>
      <c r="AK508" s="36"/>
      <c r="AL508" s="36"/>
      <c r="AM508" s="46"/>
      <c r="AN508" s="40"/>
      <c r="AO508" s="40"/>
      <c r="AP508" s="40"/>
      <c r="AQ508" s="40"/>
      <c r="AR508" s="48"/>
      <c r="AS508" s="37"/>
      <c r="AT508" s="37"/>
      <c r="AU508" s="47"/>
      <c r="AV508" s="37"/>
      <c r="AW508" s="37">
        <v>10</v>
      </c>
      <c r="AX508" s="30">
        <f>(J508*10)/100</f>
        <v>476307.21600000001</v>
      </c>
      <c r="AY508" s="40"/>
    </row>
    <row r="509" spans="1:51" ht="43.5" customHeight="1" x14ac:dyDescent="0.25">
      <c r="A509" s="59" t="s">
        <v>2587</v>
      </c>
      <c r="B509" s="60">
        <v>45357</v>
      </c>
      <c r="C509" s="37">
        <v>1416</v>
      </c>
      <c r="D509" s="35"/>
      <c r="E509" s="40"/>
      <c r="F509" s="36"/>
      <c r="G509" s="37"/>
      <c r="H509" s="40"/>
      <c r="I509" s="62" t="s">
        <v>2588</v>
      </c>
      <c r="J509" s="61">
        <v>109606640</v>
      </c>
      <c r="K509" s="41">
        <v>0</v>
      </c>
      <c r="L509" s="54">
        <v>0</v>
      </c>
      <c r="M509" s="54">
        <v>0</v>
      </c>
      <c r="N509" s="42">
        <f t="shared" si="75"/>
        <v>100</v>
      </c>
      <c r="O509" s="43">
        <f t="shared" si="70"/>
        <v>109606640</v>
      </c>
      <c r="P509" s="41"/>
      <c r="Q509" s="43">
        <f t="shared" si="71"/>
        <v>109606640</v>
      </c>
      <c r="R509" s="41">
        <v>0</v>
      </c>
      <c r="S509" s="30">
        <f t="shared" si="74"/>
        <v>0</v>
      </c>
      <c r="T509" s="30">
        <f t="shared" si="74"/>
        <v>0</v>
      </c>
      <c r="U509" s="30" t="e">
        <f>T509/X509</f>
        <v>#DIV/0!</v>
      </c>
      <c r="V509" s="41" t="e">
        <f>T509/X509</f>
        <v>#DIV/0!</v>
      </c>
      <c r="W509" s="41" t="e">
        <f>V509*AU509</f>
        <v>#DIV/0!</v>
      </c>
      <c r="X509" s="41">
        <f t="shared" si="72"/>
        <v>0</v>
      </c>
      <c r="Y509" s="41">
        <v>0</v>
      </c>
      <c r="Z509" s="41">
        <v>0</v>
      </c>
      <c r="AA509" s="41">
        <v>0</v>
      </c>
      <c r="AB509" s="41"/>
      <c r="AC509" s="41" t="e">
        <f t="shared" si="68"/>
        <v>#DIV/0!</v>
      </c>
      <c r="AD509" s="41"/>
      <c r="AE509" s="41" t="e">
        <f t="shared" si="69"/>
        <v>#DIV/0!</v>
      </c>
      <c r="AF509" s="41" t="e">
        <f>X509/AU509</f>
        <v>#DIV/0!</v>
      </c>
      <c r="AG509" s="41" t="e">
        <f t="shared" si="73"/>
        <v>#DIV/0!</v>
      </c>
      <c r="AH509" s="36">
        <v>45413</v>
      </c>
      <c r="AI509" s="36"/>
      <c r="AJ509" s="36"/>
      <c r="AK509" s="36"/>
      <c r="AL509" s="36"/>
      <c r="AM509" s="46"/>
      <c r="AN509" s="40"/>
      <c r="AO509" s="40"/>
      <c r="AP509" s="40"/>
      <c r="AQ509" s="40"/>
      <c r="AR509" s="48"/>
      <c r="AS509" s="37"/>
      <c r="AT509" s="37"/>
      <c r="AU509" s="47"/>
      <c r="AV509" s="37"/>
      <c r="AW509" s="37">
        <v>10</v>
      </c>
      <c r="AX509" s="30">
        <f>(J509*10)/100</f>
        <v>10960664</v>
      </c>
      <c r="AY509" s="40"/>
    </row>
    <row r="510" spans="1:51" ht="43.5" customHeight="1" x14ac:dyDescent="0.25">
      <c r="A510" s="59" t="s">
        <v>2589</v>
      </c>
      <c r="B510" s="60">
        <v>45357</v>
      </c>
      <c r="C510" s="37">
        <v>1416</v>
      </c>
      <c r="D510" s="35"/>
      <c r="E510" s="40"/>
      <c r="F510" s="36"/>
      <c r="G510" s="37"/>
      <c r="H510" s="40"/>
      <c r="I510" s="62" t="s">
        <v>2582</v>
      </c>
      <c r="J510" s="61">
        <v>45327146.670000002</v>
      </c>
      <c r="K510" s="41">
        <v>0</v>
      </c>
      <c r="L510" s="54">
        <v>0</v>
      </c>
      <c r="M510" s="54">
        <v>0</v>
      </c>
      <c r="N510" s="42">
        <f t="shared" si="75"/>
        <v>100</v>
      </c>
      <c r="O510" s="43">
        <f t="shared" si="70"/>
        <v>45327146.670000002</v>
      </c>
      <c r="P510" s="41"/>
      <c r="Q510" s="43">
        <f t="shared" si="71"/>
        <v>45327146.670000002</v>
      </c>
      <c r="R510" s="41">
        <v>0</v>
      </c>
      <c r="S510" s="30">
        <f t="shared" si="74"/>
        <v>0</v>
      </c>
      <c r="T510" s="30">
        <f t="shared" si="74"/>
        <v>0</v>
      </c>
      <c r="U510" s="30" t="e">
        <f>T510/X510</f>
        <v>#DIV/0!</v>
      </c>
      <c r="V510" s="41" t="e">
        <f>T510/X510</f>
        <v>#DIV/0!</v>
      </c>
      <c r="W510" s="41" t="e">
        <f>V510*AU510</f>
        <v>#DIV/0!</v>
      </c>
      <c r="X510" s="41">
        <f t="shared" si="72"/>
        <v>0</v>
      </c>
      <c r="Y510" s="41">
        <v>0</v>
      </c>
      <c r="Z510" s="41">
        <v>0</v>
      </c>
      <c r="AA510" s="41">
        <v>0</v>
      </c>
      <c r="AB510" s="41"/>
      <c r="AC510" s="41" t="e">
        <f t="shared" si="68"/>
        <v>#DIV/0!</v>
      </c>
      <c r="AD510" s="41"/>
      <c r="AE510" s="41" t="e">
        <f t="shared" si="69"/>
        <v>#DIV/0!</v>
      </c>
      <c r="AF510" s="41" t="e">
        <f>X510/AU510</f>
        <v>#DIV/0!</v>
      </c>
      <c r="AG510" s="41" t="e">
        <f t="shared" si="73"/>
        <v>#DIV/0!</v>
      </c>
      <c r="AH510" s="36">
        <v>45413</v>
      </c>
      <c r="AI510" s="36"/>
      <c r="AJ510" s="36"/>
      <c r="AK510" s="36"/>
      <c r="AL510" s="36"/>
      <c r="AM510" s="46"/>
      <c r="AN510" s="40"/>
      <c r="AO510" s="40"/>
      <c r="AP510" s="40"/>
      <c r="AQ510" s="40"/>
      <c r="AR510" s="48"/>
      <c r="AS510" s="37"/>
      <c r="AT510" s="37"/>
      <c r="AU510" s="47"/>
      <c r="AV510" s="37"/>
      <c r="AW510" s="37">
        <v>10</v>
      </c>
      <c r="AX510" s="30">
        <f>(J510*10)/100</f>
        <v>4532714.6670000004</v>
      </c>
      <c r="AY510" s="40"/>
    </row>
    <row r="511" spans="1:51" ht="43.5" customHeight="1" x14ac:dyDescent="0.25">
      <c r="A511" s="59" t="s">
        <v>2590</v>
      </c>
      <c r="B511" s="60">
        <v>45358</v>
      </c>
      <c r="C511" s="37" t="s">
        <v>2189</v>
      </c>
      <c r="D511" s="35"/>
      <c r="E511" s="40"/>
      <c r="F511" s="36"/>
      <c r="G511" s="37"/>
      <c r="H511" s="40"/>
      <c r="I511" s="62" t="s">
        <v>2591</v>
      </c>
      <c r="J511" s="61">
        <v>5410926.4000000004</v>
      </c>
      <c r="K511" s="41">
        <v>0</v>
      </c>
      <c r="L511" s="54">
        <v>0</v>
      </c>
      <c r="M511" s="54">
        <v>0</v>
      </c>
      <c r="N511" s="42">
        <f t="shared" si="75"/>
        <v>100</v>
      </c>
      <c r="O511" s="43">
        <f t="shared" si="70"/>
        <v>5410926.4000000004</v>
      </c>
      <c r="P511" s="41"/>
      <c r="Q511" s="43">
        <f t="shared" si="71"/>
        <v>5410926.4000000004</v>
      </c>
      <c r="R511" s="41">
        <v>0</v>
      </c>
      <c r="S511" s="30">
        <f t="shared" si="74"/>
        <v>0</v>
      </c>
      <c r="T511" s="30">
        <f t="shared" si="74"/>
        <v>0</v>
      </c>
      <c r="U511" s="30" t="e">
        <f>T511/X511</f>
        <v>#DIV/0!</v>
      </c>
      <c r="V511" s="41" t="e">
        <f>T511/X511</f>
        <v>#DIV/0!</v>
      </c>
      <c r="W511" s="41" t="e">
        <f>V511*AU511</f>
        <v>#DIV/0!</v>
      </c>
      <c r="X511" s="41">
        <f t="shared" si="72"/>
        <v>0</v>
      </c>
      <c r="Y511" s="41">
        <v>0</v>
      </c>
      <c r="Z511" s="41">
        <v>0</v>
      </c>
      <c r="AA511" s="41">
        <v>0</v>
      </c>
      <c r="AB511" s="41"/>
      <c r="AC511" s="41" t="e">
        <f t="shared" si="68"/>
        <v>#DIV/0!</v>
      </c>
      <c r="AD511" s="41"/>
      <c r="AE511" s="41" t="e">
        <f t="shared" si="69"/>
        <v>#DIV/0!</v>
      </c>
      <c r="AF511" s="41" t="e">
        <f>X511/AU511</f>
        <v>#DIV/0!</v>
      </c>
      <c r="AG511" s="41" t="e">
        <f t="shared" si="73"/>
        <v>#DIV/0!</v>
      </c>
      <c r="AH511" s="36"/>
      <c r="AI511" s="36"/>
      <c r="AJ511" s="36"/>
      <c r="AK511" s="36"/>
      <c r="AL511" s="36"/>
      <c r="AM511" s="46"/>
      <c r="AN511" s="40"/>
      <c r="AO511" s="40"/>
      <c r="AP511" s="40"/>
      <c r="AQ511" s="40"/>
      <c r="AR511" s="48"/>
      <c r="AS511" s="37"/>
      <c r="AT511" s="37"/>
      <c r="AU511" s="47"/>
      <c r="AV511" s="37"/>
      <c r="AW511" s="37">
        <v>10</v>
      </c>
      <c r="AX511" s="30">
        <f>(J511*10)/100</f>
        <v>541092.64</v>
      </c>
      <c r="AY511" s="40"/>
    </row>
    <row r="512" spans="1:51" ht="15.75" customHeight="1" x14ac:dyDescent="0.25">
      <c r="A512" s="59" t="s">
        <v>2592</v>
      </c>
      <c r="B512" s="60">
        <v>45358</v>
      </c>
      <c r="C512" s="37">
        <v>1416</v>
      </c>
      <c r="D512" s="35"/>
      <c r="E512" s="40"/>
      <c r="F512" s="36"/>
      <c r="G512" s="37"/>
      <c r="H512" s="40"/>
      <c r="I512" s="64" t="s">
        <v>900</v>
      </c>
      <c r="J512" s="61">
        <v>2621621.31</v>
      </c>
      <c r="K512" s="41">
        <v>0</v>
      </c>
      <c r="L512" s="54">
        <v>0</v>
      </c>
      <c r="M512" s="54">
        <v>0</v>
      </c>
      <c r="N512" s="42">
        <f t="shared" si="75"/>
        <v>100</v>
      </c>
      <c r="O512" s="43">
        <f t="shared" si="70"/>
        <v>2621621.31</v>
      </c>
      <c r="P512" s="41"/>
      <c r="Q512" s="43">
        <f t="shared" si="71"/>
        <v>2621621.31</v>
      </c>
      <c r="R512" s="41">
        <v>0</v>
      </c>
      <c r="S512" s="30">
        <f t="shared" si="74"/>
        <v>0</v>
      </c>
      <c r="T512" s="30">
        <f t="shared" si="74"/>
        <v>0</v>
      </c>
      <c r="U512" s="30" t="e">
        <f>T512/X512</f>
        <v>#DIV/0!</v>
      </c>
      <c r="V512" s="41" t="e">
        <f>T512/X512</f>
        <v>#DIV/0!</v>
      </c>
      <c r="W512" s="41" t="e">
        <f>V512*AU512</f>
        <v>#DIV/0!</v>
      </c>
      <c r="X512" s="41">
        <f t="shared" si="72"/>
        <v>0</v>
      </c>
      <c r="Y512" s="41">
        <v>0</v>
      </c>
      <c r="Z512" s="41">
        <v>0</v>
      </c>
      <c r="AA512" s="41">
        <v>0</v>
      </c>
      <c r="AB512" s="41"/>
      <c r="AC512" s="41" t="e">
        <f t="shared" si="68"/>
        <v>#DIV/0!</v>
      </c>
      <c r="AD512" s="41"/>
      <c r="AE512" s="41" t="e">
        <f t="shared" si="69"/>
        <v>#DIV/0!</v>
      </c>
      <c r="AF512" s="41" t="e">
        <f>X512/AU512</f>
        <v>#DIV/0!</v>
      </c>
      <c r="AG512" s="41" t="e">
        <f t="shared" si="73"/>
        <v>#DIV/0!</v>
      </c>
      <c r="AH512" s="36"/>
      <c r="AI512" s="36"/>
      <c r="AJ512" s="36"/>
      <c r="AK512" s="36"/>
      <c r="AL512" s="36"/>
      <c r="AM512" s="46"/>
      <c r="AN512" s="40"/>
      <c r="AO512" s="40"/>
      <c r="AP512" s="40"/>
      <c r="AQ512" s="40"/>
      <c r="AR512" s="48"/>
      <c r="AS512" s="37"/>
      <c r="AT512" s="37"/>
      <c r="AU512" s="47"/>
      <c r="AV512" s="37"/>
      <c r="AW512" s="37">
        <v>10</v>
      </c>
      <c r="AX512" s="30">
        <f>(J512*10)/100</f>
        <v>262162.13099999999</v>
      </c>
      <c r="AY512" s="40"/>
    </row>
    <row r="513" spans="1:51" ht="15.75" customHeight="1" x14ac:dyDescent="0.25">
      <c r="A513" s="59" t="s">
        <v>2593</v>
      </c>
      <c r="B513" s="60">
        <v>45358</v>
      </c>
      <c r="C513" s="37">
        <v>1416</v>
      </c>
      <c r="D513" s="35"/>
      <c r="E513" s="40"/>
      <c r="F513" s="36"/>
      <c r="G513" s="37"/>
      <c r="H513" s="40"/>
      <c r="I513" s="62" t="s">
        <v>2591</v>
      </c>
      <c r="J513" s="61">
        <v>3312554902.8000002</v>
      </c>
      <c r="K513" s="41">
        <v>0</v>
      </c>
      <c r="L513" s="54">
        <v>0</v>
      </c>
      <c r="M513" s="54">
        <v>0</v>
      </c>
      <c r="N513" s="42">
        <f t="shared" si="75"/>
        <v>100</v>
      </c>
      <c r="O513" s="43">
        <f t="shared" si="70"/>
        <v>3312554902.8000002</v>
      </c>
      <c r="P513" s="41"/>
      <c r="Q513" s="43">
        <f t="shared" si="71"/>
        <v>3312554902.8000002</v>
      </c>
      <c r="R513" s="41">
        <v>0</v>
      </c>
      <c r="S513" s="30">
        <f t="shared" si="74"/>
        <v>0</v>
      </c>
      <c r="T513" s="30">
        <f t="shared" si="74"/>
        <v>0</v>
      </c>
      <c r="U513" s="30" t="e">
        <f>T513/X513</f>
        <v>#DIV/0!</v>
      </c>
      <c r="V513" s="41" t="e">
        <f>T513/X513</f>
        <v>#DIV/0!</v>
      </c>
      <c r="W513" s="41" t="e">
        <f>V513*AU513</f>
        <v>#DIV/0!</v>
      </c>
      <c r="X513" s="41">
        <f t="shared" si="72"/>
        <v>0</v>
      </c>
      <c r="Y513" s="41">
        <v>0</v>
      </c>
      <c r="Z513" s="41">
        <v>0</v>
      </c>
      <c r="AA513" s="41">
        <v>0</v>
      </c>
      <c r="AB513" s="41"/>
      <c r="AC513" s="41" t="e">
        <f t="shared" si="68"/>
        <v>#DIV/0!</v>
      </c>
      <c r="AD513" s="41"/>
      <c r="AE513" s="41" t="e">
        <f t="shared" si="69"/>
        <v>#DIV/0!</v>
      </c>
      <c r="AF513" s="41" t="e">
        <f>X513/AU513</f>
        <v>#DIV/0!</v>
      </c>
      <c r="AG513" s="41" t="e">
        <f t="shared" si="73"/>
        <v>#DIV/0!</v>
      </c>
      <c r="AH513" s="36"/>
      <c r="AI513" s="36"/>
      <c r="AJ513" s="36"/>
      <c r="AK513" s="36"/>
      <c r="AL513" s="36"/>
      <c r="AM513" s="46"/>
      <c r="AN513" s="40"/>
      <c r="AO513" s="40"/>
      <c r="AP513" s="40"/>
      <c r="AQ513" s="40"/>
      <c r="AR513" s="48"/>
      <c r="AS513" s="37"/>
      <c r="AT513" s="37"/>
      <c r="AU513" s="47"/>
      <c r="AV513" s="37"/>
      <c r="AW513" s="37">
        <v>10</v>
      </c>
      <c r="AX513" s="30">
        <f>(J513*10)/100</f>
        <v>331255490.27999997</v>
      </c>
      <c r="AY513" s="40"/>
    </row>
    <row r="514" spans="1:51" ht="15.75" customHeight="1" x14ac:dyDescent="0.25">
      <c r="A514" s="59" t="s">
        <v>2594</v>
      </c>
      <c r="B514" s="60">
        <v>45358</v>
      </c>
      <c r="C514" s="37">
        <v>545</v>
      </c>
      <c r="D514" s="35"/>
      <c r="E514" s="40"/>
      <c r="F514" s="36"/>
      <c r="G514" s="37"/>
      <c r="H514" s="40"/>
      <c r="I514" s="62" t="s">
        <v>2595</v>
      </c>
      <c r="J514" s="61">
        <v>652199634.24000001</v>
      </c>
      <c r="K514" s="41">
        <v>0</v>
      </c>
      <c r="L514" s="54">
        <v>0</v>
      </c>
      <c r="M514" s="54">
        <v>0</v>
      </c>
      <c r="N514" s="42">
        <f t="shared" si="75"/>
        <v>100</v>
      </c>
      <c r="O514" s="43">
        <f t="shared" si="70"/>
        <v>652199634.24000001</v>
      </c>
      <c r="P514" s="41"/>
      <c r="Q514" s="43">
        <f t="shared" si="71"/>
        <v>652199634.24000001</v>
      </c>
      <c r="R514" s="41">
        <v>0</v>
      </c>
      <c r="S514" s="30">
        <f t="shared" si="74"/>
        <v>0</v>
      </c>
      <c r="T514" s="30">
        <f t="shared" si="74"/>
        <v>0</v>
      </c>
      <c r="U514" s="30" t="e">
        <f>T514/X514</f>
        <v>#DIV/0!</v>
      </c>
      <c r="V514" s="41" t="e">
        <f>T514/X514</f>
        <v>#DIV/0!</v>
      </c>
      <c r="W514" s="41" t="e">
        <f>V514*AU514</f>
        <v>#DIV/0!</v>
      </c>
      <c r="X514" s="41">
        <f t="shared" si="72"/>
        <v>0</v>
      </c>
      <c r="Y514" s="41">
        <v>0</v>
      </c>
      <c r="Z514" s="41">
        <v>0</v>
      </c>
      <c r="AA514" s="41">
        <v>0</v>
      </c>
      <c r="AB514" s="41"/>
      <c r="AC514" s="41" t="e">
        <f t="shared" si="68"/>
        <v>#DIV/0!</v>
      </c>
      <c r="AD514" s="41"/>
      <c r="AE514" s="41" t="e">
        <f t="shared" si="69"/>
        <v>#DIV/0!</v>
      </c>
      <c r="AF514" s="41" t="e">
        <f>X514/AU514</f>
        <v>#DIV/0!</v>
      </c>
      <c r="AG514" s="41" t="e">
        <f t="shared" si="73"/>
        <v>#DIV/0!</v>
      </c>
      <c r="AH514" s="36"/>
      <c r="AI514" s="36"/>
      <c r="AJ514" s="36"/>
      <c r="AK514" s="36"/>
      <c r="AL514" s="36"/>
      <c r="AM514" s="46"/>
      <c r="AN514" s="40"/>
      <c r="AO514" s="40"/>
      <c r="AP514" s="40"/>
      <c r="AQ514" s="40"/>
      <c r="AR514" s="48"/>
      <c r="AS514" s="37"/>
      <c r="AT514" s="37"/>
      <c r="AU514" s="47"/>
      <c r="AV514" s="37"/>
      <c r="AW514" s="37">
        <v>10</v>
      </c>
      <c r="AX514" s="30">
        <f>(J514*10)/100</f>
        <v>65219963.423999995</v>
      </c>
      <c r="AY514" s="40"/>
    </row>
    <row r="515" spans="1:51" ht="15.75" customHeight="1" x14ac:dyDescent="0.25">
      <c r="A515" s="59" t="s">
        <v>2596</v>
      </c>
      <c r="B515" s="60">
        <v>45358</v>
      </c>
      <c r="C515" s="37" t="s">
        <v>1847</v>
      </c>
      <c r="D515" s="35"/>
      <c r="E515" s="40"/>
      <c r="F515" s="36"/>
      <c r="G515" s="37"/>
      <c r="H515" s="40"/>
      <c r="I515" s="62" t="s">
        <v>2597</v>
      </c>
      <c r="J515" s="61">
        <v>8200492</v>
      </c>
      <c r="K515" s="41">
        <v>0</v>
      </c>
      <c r="L515" s="54">
        <v>0</v>
      </c>
      <c r="M515" s="54">
        <v>0</v>
      </c>
      <c r="N515" s="42">
        <f t="shared" si="75"/>
        <v>100</v>
      </c>
      <c r="O515" s="43">
        <f t="shared" si="70"/>
        <v>8200492</v>
      </c>
      <c r="P515" s="41"/>
      <c r="Q515" s="43">
        <f t="shared" si="71"/>
        <v>8200492</v>
      </c>
      <c r="R515" s="41">
        <v>0</v>
      </c>
      <c r="S515" s="30">
        <f t="shared" si="74"/>
        <v>0</v>
      </c>
      <c r="T515" s="30">
        <f t="shared" si="74"/>
        <v>0</v>
      </c>
      <c r="U515" s="30" t="e">
        <f>T515/X515</f>
        <v>#DIV/0!</v>
      </c>
      <c r="V515" s="41" t="e">
        <f>T515/X515</f>
        <v>#DIV/0!</v>
      </c>
      <c r="W515" s="41" t="e">
        <f>V515*AU515</f>
        <v>#DIV/0!</v>
      </c>
      <c r="X515" s="41">
        <f t="shared" si="72"/>
        <v>0</v>
      </c>
      <c r="Y515" s="41">
        <v>0</v>
      </c>
      <c r="Z515" s="41">
        <v>0</v>
      </c>
      <c r="AA515" s="41">
        <v>0</v>
      </c>
      <c r="AB515" s="41"/>
      <c r="AC515" s="41" t="e">
        <f t="shared" si="68"/>
        <v>#DIV/0!</v>
      </c>
      <c r="AD515" s="41"/>
      <c r="AE515" s="41" t="e">
        <f t="shared" si="69"/>
        <v>#DIV/0!</v>
      </c>
      <c r="AF515" s="41" t="e">
        <f>X515/AU515</f>
        <v>#DIV/0!</v>
      </c>
      <c r="AG515" s="41" t="e">
        <f t="shared" si="73"/>
        <v>#DIV/0!</v>
      </c>
      <c r="AH515" s="36"/>
      <c r="AI515" s="36"/>
      <c r="AJ515" s="36"/>
      <c r="AK515" s="36"/>
      <c r="AL515" s="36"/>
      <c r="AM515" s="46"/>
      <c r="AN515" s="40"/>
      <c r="AO515" s="40"/>
      <c r="AP515" s="40"/>
      <c r="AQ515" s="40"/>
      <c r="AR515" s="48"/>
      <c r="AS515" s="37"/>
      <c r="AT515" s="37"/>
      <c r="AU515" s="47"/>
      <c r="AV515" s="37"/>
      <c r="AW515" s="37">
        <v>10</v>
      </c>
      <c r="AX515" s="30">
        <f>(J515*10)/100</f>
        <v>820049.2</v>
      </c>
      <c r="AY515" s="40"/>
    </row>
    <row r="516" spans="1:51" ht="15.75" customHeight="1" x14ac:dyDescent="0.25">
      <c r="A516" s="44"/>
      <c r="B516" s="36"/>
      <c r="C516" s="37"/>
      <c r="D516" s="35"/>
      <c r="E516" s="40"/>
      <c r="F516" s="36"/>
      <c r="G516" s="37"/>
      <c r="H516" s="40"/>
      <c r="I516" s="40"/>
      <c r="J516" s="41">
        <v>0</v>
      </c>
      <c r="K516" s="41">
        <v>0</v>
      </c>
      <c r="L516" s="54">
        <v>0</v>
      </c>
      <c r="M516" s="54">
        <v>0</v>
      </c>
      <c r="N516" s="42" t="e">
        <f t="shared" si="75"/>
        <v>#DIV/0!</v>
      </c>
      <c r="O516" s="43">
        <f t="shared" si="70"/>
        <v>0</v>
      </c>
      <c r="P516" s="41"/>
      <c r="Q516" s="43">
        <f t="shared" si="71"/>
        <v>0</v>
      </c>
      <c r="R516" s="41">
        <v>0</v>
      </c>
      <c r="S516" s="30">
        <f t="shared" si="74"/>
        <v>0</v>
      </c>
      <c r="T516" s="30">
        <f t="shared" si="74"/>
        <v>0</v>
      </c>
      <c r="U516" s="30" t="e">
        <f>T516/X516</f>
        <v>#DIV/0!</v>
      </c>
      <c r="V516" s="41" t="e">
        <f>T516/X516</f>
        <v>#DIV/0!</v>
      </c>
      <c r="W516" s="41" t="e">
        <f>V516*AU516</f>
        <v>#DIV/0!</v>
      </c>
      <c r="X516" s="41">
        <f t="shared" si="72"/>
        <v>0</v>
      </c>
      <c r="Y516" s="41">
        <v>0</v>
      </c>
      <c r="Z516" s="41">
        <v>0</v>
      </c>
      <c r="AA516" s="41">
        <v>0</v>
      </c>
      <c r="AB516" s="41"/>
      <c r="AC516" s="41" t="e">
        <f t="shared" ref="AC516:AC527" si="76">AB516*V516</f>
        <v>#DIV/0!</v>
      </c>
      <c r="AD516" s="41"/>
      <c r="AE516" s="41" t="e">
        <f t="shared" ref="AE516:AE579" si="77">AD516*V516</f>
        <v>#DIV/0!</v>
      </c>
      <c r="AF516" s="41" t="e">
        <f>X516/AU516</f>
        <v>#DIV/0!</v>
      </c>
      <c r="AG516" s="41" t="e">
        <f t="shared" si="73"/>
        <v>#DIV/0!</v>
      </c>
      <c r="AH516" s="36"/>
      <c r="AI516" s="36"/>
      <c r="AJ516" s="36"/>
      <c r="AK516" s="36"/>
      <c r="AL516" s="36"/>
      <c r="AM516" s="46"/>
      <c r="AN516" s="40"/>
      <c r="AO516" s="40"/>
      <c r="AP516" s="40"/>
      <c r="AQ516" s="40"/>
      <c r="AR516" s="48"/>
      <c r="AS516" s="37"/>
      <c r="AT516" s="37"/>
      <c r="AU516" s="47"/>
      <c r="AV516" s="37"/>
      <c r="AW516" s="37">
        <v>10</v>
      </c>
      <c r="AX516" s="30">
        <f>(J516*10)/100</f>
        <v>0</v>
      </c>
      <c r="AY516" s="40"/>
    </row>
    <row r="517" spans="1:51" ht="15.75" customHeight="1" x14ac:dyDescent="0.25">
      <c r="A517" s="44"/>
      <c r="B517" s="36"/>
      <c r="C517" s="37"/>
      <c r="D517" s="35"/>
      <c r="E517" s="40"/>
      <c r="F517" s="36"/>
      <c r="G517" s="37"/>
      <c r="H517" s="40"/>
      <c r="I517" s="40"/>
      <c r="J517" s="41">
        <v>0</v>
      </c>
      <c r="K517" s="41">
        <v>0</v>
      </c>
      <c r="L517" s="54">
        <v>0</v>
      </c>
      <c r="M517" s="54">
        <v>0</v>
      </c>
      <c r="N517" s="42" t="e">
        <f t="shared" si="75"/>
        <v>#DIV/0!</v>
      </c>
      <c r="O517" s="43">
        <f t="shared" si="70"/>
        <v>0</v>
      </c>
      <c r="P517" s="41"/>
      <c r="Q517" s="43">
        <f t="shared" si="71"/>
        <v>0</v>
      </c>
      <c r="R517" s="41">
        <v>0</v>
      </c>
      <c r="S517" s="30">
        <f t="shared" si="74"/>
        <v>0</v>
      </c>
      <c r="T517" s="30">
        <f t="shared" si="74"/>
        <v>0</v>
      </c>
      <c r="U517" s="30" t="e">
        <f>T517/X517</f>
        <v>#DIV/0!</v>
      </c>
      <c r="V517" s="41" t="e">
        <f>T517/X517</f>
        <v>#DIV/0!</v>
      </c>
      <c r="W517" s="41" t="e">
        <f>V517*AU517</f>
        <v>#DIV/0!</v>
      </c>
      <c r="X517" s="41">
        <f t="shared" si="72"/>
        <v>0</v>
      </c>
      <c r="Y517" s="41">
        <v>0</v>
      </c>
      <c r="Z517" s="41">
        <v>0</v>
      </c>
      <c r="AA517" s="41">
        <v>0</v>
      </c>
      <c r="AB517" s="41"/>
      <c r="AC517" s="41" t="e">
        <f t="shared" si="76"/>
        <v>#DIV/0!</v>
      </c>
      <c r="AD517" s="41"/>
      <c r="AE517" s="41" t="e">
        <f t="shared" si="77"/>
        <v>#DIV/0!</v>
      </c>
      <c r="AF517" s="41" t="e">
        <f>X517/AU517</f>
        <v>#DIV/0!</v>
      </c>
      <c r="AG517" s="41" t="e">
        <f t="shared" si="73"/>
        <v>#DIV/0!</v>
      </c>
      <c r="AH517" s="36"/>
      <c r="AI517" s="36"/>
      <c r="AJ517" s="36"/>
      <c r="AK517" s="36"/>
      <c r="AL517" s="36"/>
      <c r="AM517" s="46"/>
      <c r="AN517" s="40"/>
      <c r="AO517" s="40"/>
      <c r="AP517" s="40"/>
      <c r="AQ517" s="40"/>
      <c r="AR517" s="48"/>
      <c r="AS517" s="37"/>
      <c r="AT517" s="37"/>
      <c r="AU517" s="47"/>
      <c r="AV517" s="37"/>
      <c r="AW517" s="37">
        <v>10</v>
      </c>
      <c r="AX517" s="30">
        <f>(J517*10)/100</f>
        <v>0</v>
      </c>
      <c r="AY517" s="40"/>
    </row>
    <row r="518" spans="1:51" ht="15.75" customHeight="1" x14ac:dyDescent="0.25">
      <c r="A518" s="44"/>
      <c r="B518" s="36"/>
      <c r="C518" s="37"/>
      <c r="D518" s="35"/>
      <c r="E518" s="40"/>
      <c r="F518" s="36"/>
      <c r="G518" s="37"/>
      <c r="H518" s="40"/>
      <c r="I518" s="40"/>
      <c r="J518" s="41">
        <v>0</v>
      </c>
      <c r="K518" s="41">
        <v>0</v>
      </c>
      <c r="L518" s="54">
        <v>0</v>
      </c>
      <c r="M518" s="54">
        <v>0</v>
      </c>
      <c r="N518" s="42" t="e">
        <f t="shared" si="75"/>
        <v>#DIV/0!</v>
      </c>
      <c r="O518" s="43">
        <f t="shared" si="70"/>
        <v>0</v>
      </c>
      <c r="P518" s="41"/>
      <c r="Q518" s="43">
        <f t="shared" si="71"/>
        <v>0</v>
      </c>
      <c r="R518" s="41">
        <v>0</v>
      </c>
      <c r="S518" s="30">
        <f t="shared" si="74"/>
        <v>0</v>
      </c>
      <c r="T518" s="30">
        <f t="shared" si="74"/>
        <v>0</v>
      </c>
      <c r="U518" s="30" t="e">
        <f>T518/X518</f>
        <v>#DIV/0!</v>
      </c>
      <c r="V518" s="41" t="e">
        <f>T518/X518</f>
        <v>#DIV/0!</v>
      </c>
      <c r="W518" s="41" t="e">
        <f>V518*AU518</f>
        <v>#DIV/0!</v>
      </c>
      <c r="X518" s="41">
        <f t="shared" si="72"/>
        <v>0</v>
      </c>
      <c r="Y518" s="41">
        <v>0</v>
      </c>
      <c r="Z518" s="41">
        <v>0</v>
      </c>
      <c r="AA518" s="41">
        <v>0</v>
      </c>
      <c r="AB518" s="41"/>
      <c r="AC518" s="41" t="e">
        <f t="shared" si="76"/>
        <v>#DIV/0!</v>
      </c>
      <c r="AD518" s="41"/>
      <c r="AE518" s="41" t="e">
        <f t="shared" si="77"/>
        <v>#DIV/0!</v>
      </c>
      <c r="AF518" s="41" t="e">
        <f>X518/AU518</f>
        <v>#DIV/0!</v>
      </c>
      <c r="AG518" s="41" t="e">
        <f t="shared" si="73"/>
        <v>#DIV/0!</v>
      </c>
      <c r="AH518" s="36"/>
      <c r="AI518" s="36"/>
      <c r="AJ518" s="36"/>
      <c r="AK518" s="36"/>
      <c r="AL518" s="36"/>
      <c r="AM518" s="46"/>
      <c r="AN518" s="40"/>
      <c r="AO518" s="40"/>
      <c r="AP518" s="40"/>
      <c r="AQ518" s="40"/>
      <c r="AR518" s="48"/>
      <c r="AS518" s="37"/>
      <c r="AT518" s="37"/>
      <c r="AU518" s="47"/>
      <c r="AV518" s="37"/>
      <c r="AW518" s="37">
        <v>10</v>
      </c>
      <c r="AX518" s="30">
        <f>(J518*10)/100</f>
        <v>0</v>
      </c>
      <c r="AY518" s="40"/>
    </row>
    <row r="519" spans="1:51" ht="15.75" customHeight="1" x14ac:dyDescent="0.25">
      <c r="A519" s="44"/>
      <c r="B519" s="36"/>
      <c r="C519" s="37"/>
      <c r="D519" s="35"/>
      <c r="E519" s="40"/>
      <c r="F519" s="36"/>
      <c r="G519" s="37"/>
      <c r="H519" s="40"/>
      <c r="I519" s="40"/>
      <c r="J519" s="41">
        <v>0</v>
      </c>
      <c r="K519" s="41">
        <v>0</v>
      </c>
      <c r="L519" s="54">
        <v>0</v>
      </c>
      <c r="M519" s="54">
        <v>0</v>
      </c>
      <c r="N519" s="42" t="e">
        <f t="shared" si="75"/>
        <v>#DIV/0!</v>
      </c>
      <c r="O519" s="43">
        <f t="shared" si="70"/>
        <v>0</v>
      </c>
      <c r="P519" s="41"/>
      <c r="Q519" s="43">
        <f t="shared" si="71"/>
        <v>0</v>
      </c>
      <c r="R519" s="41">
        <v>0</v>
      </c>
      <c r="S519" s="30">
        <f t="shared" si="74"/>
        <v>0</v>
      </c>
      <c r="T519" s="30">
        <f t="shared" si="74"/>
        <v>0</v>
      </c>
      <c r="U519" s="30" t="e">
        <f>T519/X519</f>
        <v>#DIV/0!</v>
      </c>
      <c r="V519" s="41" t="e">
        <f>T519/X519</f>
        <v>#DIV/0!</v>
      </c>
      <c r="W519" s="41" t="e">
        <f>V519*AU519</f>
        <v>#DIV/0!</v>
      </c>
      <c r="X519" s="41">
        <f t="shared" si="72"/>
        <v>0</v>
      </c>
      <c r="Y519" s="41">
        <v>0</v>
      </c>
      <c r="Z519" s="41">
        <v>0</v>
      </c>
      <c r="AA519" s="41">
        <v>0</v>
      </c>
      <c r="AB519" s="41"/>
      <c r="AC519" s="41" t="e">
        <f t="shared" si="76"/>
        <v>#DIV/0!</v>
      </c>
      <c r="AD519" s="41"/>
      <c r="AE519" s="41" t="e">
        <f t="shared" si="77"/>
        <v>#DIV/0!</v>
      </c>
      <c r="AF519" s="41" t="e">
        <f>X519/AU519</f>
        <v>#DIV/0!</v>
      </c>
      <c r="AG519" s="41" t="e">
        <f t="shared" si="73"/>
        <v>#DIV/0!</v>
      </c>
      <c r="AH519" s="36"/>
      <c r="AI519" s="36"/>
      <c r="AJ519" s="36"/>
      <c r="AK519" s="36"/>
      <c r="AL519" s="36"/>
      <c r="AM519" s="46"/>
      <c r="AN519" s="40"/>
      <c r="AO519" s="40"/>
      <c r="AP519" s="40"/>
      <c r="AQ519" s="40"/>
      <c r="AR519" s="48"/>
      <c r="AS519" s="37"/>
      <c r="AT519" s="37"/>
      <c r="AU519" s="47"/>
      <c r="AV519" s="37"/>
      <c r="AW519" s="37">
        <v>10</v>
      </c>
      <c r="AX519" s="30">
        <f>(J519*10)/100</f>
        <v>0</v>
      </c>
      <c r="AY519" s="40"/>
    </row>
    <row r="520" spans="1:51" x14ac:dyDescent="0.25">
      <c r="AE520" s="41">
        <f t="shared" si="77"/>
        <v>0</v>
      </c>
    </row>
    <row r="521" spans="1:51" x14ac:dyDescent="0.25">
      <c r="AE521" s="41">
        <f t="shared" si="77"/>
        <v>0</v>
      </c>
    </row>
    <row r="522" spans="1:51" x14ac:dyDescent="0.25">
      <c r="AE522" s="41">
        <f t="shared" si="77"/>
        <v>0</v>
      </c>
    </row>
    <row r="523" spans="1:51" x14ac:dyDescent="0.25">
      <c r="AE523" s="41">
        <f t="shared" si="77"/>
        <v>0</v>
      </c>
    </row>
    <row r="524" spans="1:51" x14ac:dyDescent="0.25">
      <c r="AE524" s="41">
        <f t="shared" si="77"/>
        <v>0</v>
      </c>
    </row>
    <row r="525" spans="1:51" x14ac:dyDescent="0.25">
      <c r="AE525" s="41">
        <f t="shared" si="77"/>
        <v>0</v>
      </c>
    </row>
    <row r="526" spans="1:51" x14ac:dyDescent="0.25">
      <c r="AE526" s="41">
        <f t="shared" si="77"/>
        <v>0</v>
      </c>
    </row>
    <row r="527" spans="1:51" x14ac:dyDescent="0.25">
      <c r="AE527" s="41">
        <f t="shared" si="77"/>
        <v>0</v>
      </c>
    </row>
    <row r="528" spans="1:51" x14ac:dyDescent="0.25">
      <c r="AE528" s="41">
        <f t="shared" si="77"/>
        <v>0</v>
      </c>
    </row>
    <row r="529" spans="31:31" x14ac:dyDescent="0.25">
      <c r="AE529" s="41">
        <f t="shared" si="77"/>
        <v>0</v>
      </c>
    </row>
    <row r="530" spans="31:31" x14ac:dyDescent="0.25">
      <c r="AE530" s="41">
        <f t="shared" si="77"/>
        <v>0</v>
      </c>
    </row>
    <row r="531" spans="31:31" x14ac:dyDescent="0.25">
      <c r="AE531" s="41">
        <f t="shared" si="77"/>
        <v>0</v>
      </c>
    </row>
    <row r="532" spans="31:31" x14ac:dyDescent="0.25">
      <c r="AE532" s="41">
        <f t="shared" si="77"/>
        <v>0</v>
      </c>
    </row>
    <row r="533" spans="31:31" x14ac:dyDescent="0.25">
      <c r="AE533" s="41">
        <f t="shared" si="77"/>
        <v>0</v>
      </c>
    </row>
    <row r="534" spans="31:31" x14ac:dyDescent="0.25">
      <c r="AE534" s="41">
        <f t="shared" si="77"/>
        <v>0</v>
      </c>
    </row>
    <row r="535" spans="31:31" x14ac:dyDescent="0.25">
      <c r="AE535" s="41">
        <f t="shared" si="77"/>
        <v>0</v>
      </c>
    </row>
    <row r="536" spans="31:31" x14ac:dyDescent="0.25">
      <c r="AE536" s="41">
        <f t="shared" si="77"/>
        <v>0</v>
      </c>
    </row>
    <row r="537" spans="31:31" x14ac:dyDescent="0.25">
      <c r="AE537" s="41">
        <f t="shared" si="77"/>
        <v>0</v>
      </c>
    </row>
    <row r="538" spans="31:31" x14ac:dyDescent="0.25">
      <c r="AE538" s="41">
        <f t="shared" si="77"/>
        <v>0</v>
      </c>
    </row>
    <row r="539" spans="31:31" x14ac:dyDescent="0.25">
      <c r="AE539" s="41">
        <f t="shared" si="77"/>
        <v>0</v>
      </c>
    </row>
    <row r="540" spans="31:31" x14ac:dyDescent="0.25">
      <c r="AE540" s="41">
        <f t="shared" si="77"/>
        <v>0</v>
      </c>
    </row>
    <row r="541" spans="31:31" x14ac:dyDescent="0.25">
      <c r="AE541" s="41">
        <f t="shared" si="77"/>
        <v>0</v>
      </c>
    </row>
    <row r="542" spans="31:31" x14ac:dyDescent="0.25">
      <c r="AE542" s="41">
        <f t="shared" si="77"/>
        <v>0</v>
      </c>
    </row>
    <row r="543" spans="31:31" x14ac:dyDescent="0.25">
      <c r="AE543" s="41">
        <f t="shared" si="77"/>
        <v>0</v>
      </c>
    </row>
    <row r="544" spans="31:31" x14ac:dyDescent="0.25">
      <c r="AE544" s="41">
        <f t="shared" si="77"/>
        <v>0</v>
      </c>
    </row>
    <row r="545" spans="31:31" x14ac:dyDescent="0.25">
      <c r="AE545" s="41">
        <f t="shared" si="77"/>
        <v>0</v>
      </c>
    </row>
    <row r="546" spans="31:31" x14ac:dyDescent="0.25">
      <c r="AE546" s="41">
        <f t="shared" si="77"/>
        <v>0</v>
      </c>
    </row>
    <row r="547" spans="31:31" x14ac:dyDescent="0.25">
      <c r="AE547" s="41">
        <f t="shared" si="77"/>
        <v>0</v>
      </c>
    </row>
    <row r="548" spans="31:31" x14ac:dyDescent="0.25">
      <c r="AE548" s="41">
        <f t="shared" si="77"/>
        <v>0</v>
      </c>
    </row>
    <row r="549" spans="31:31" x14ac:dyDescent="0.25">
      <c r="AE549" s="41">
        <f t="shared" si="77"/>
        <v>0</v>
      </c>
    </row>
    <row r="550" spans="31:31" x14ac:dyDescent="0.25">
      <c r="AE550" s="41">
        <f t="shared" si="77"/>
        <v>0</v>
      </c>
    </row>
    <row r="551" spans="31:31" x14ac:dyDescent="0.25">
      <c r="AE551" s="41">
        <f t="shared" si="77"/>
        <v>0</v>
      </c>
    </row>
    <row r="552" spans="31:31" x14ac:dyDescent="0.25">
      <c r="AE552" s="41">
        <f t="shared" si="77"/>
        <v>0</v>
      </c>
    </row>
    <row r="553" spans="31:31" x14ac:dyDescent="0.25">
      <c r="AE553" s="41">
        <f t="shared" si="77"/>
        <v>0</v>
      </c>
    </row>
    <row r="554" spans="31:31" x14ac:dyDescent="0.25">
      <c r="AE554" s="41">
        <f t="shared" si="77"/>
        <v>0</v>
      </c>
    </row>
    <row r="555" spans="31:31" x14ac:dyDescent="0.25">
      <c r="AE555" s="41">
        <f t="shared" si="77"/>
        <v>0</v>
      </c>
    </row>
    <row r="556" spans="31:31" x14ac:dyDescent="0.25">
      <c r="AE556" s="41">
        <f t="shared" si="77"/>
        <v>0</v>
      </c>
    </row>
    <row r="557" spans="31:31" x14ac:dyDescent="0.25">
      <c r="AE557" s="41">
        <f t="shared" si="77"/>
        <v>0</v>
      </c>
    </row>
    <row r="558" spans="31:31" x14ac:dyDescent="0.25">
      <c r="AE558" s="41">
        <f t="shared" si="77"/>
        <v>0</v>
      </c>
    </row>
    <row r="559" spans="31:31" x14ac:dyDescent="0.25">
      <c r="AE559" s="41">
        <f t="shared" si="77"/>
        <v>0</v>
      </c>
    </row>
    <row r="560" spans="31:31" x14ac:dyDescent="0.25">
      <c r="AE560" s="41">
        <f t="shared" si="77"/>
        <v>0</v>
      </c>
    </row>
    <row r="561" spans="31:31" x14ac:dyDescent="0.25">
      <c r="AE561" s="41">
        <f t="shared" si="77"/>
        <v>0</v>
      </c>
    </row>
    <row r="562" spans="31:31" x14ac:dyDescent="0.25">
      <c r="AE562" s="41">
        <f t="shared" si="77"/>
        <v>0</v>
      </c>
    </row>
    <row r="563" spans="31:31" x14ac:dyDescent="0.25">
      <c r="AE563" s="41">
        <f t="shared" si="77"/>
        <v>0</v>
      </c>
    </row>
    <row r="564" spans="31:31" x14ac:dyDescent="0.25">
      <c r="AE564" s="41">
        <f t="shared" si="77"/>
        <v>0</v>
      </c>
    </row>
    <row r="565" spans="31:31" x14ac:dyDescent="0.25">
      <c r="AE565" s="41">
        <f t="shared" si="77"/>
        <v>0</v>
      </c>
    </row>
    <row r="566" spans="31:31" x14ac:dyDescent="0.25">
      <c r="AE566" s="41">
        <f t="shared" si="77"/>
        <v>0</v>
      </c>
    </row>
    <row r="567" spans="31:31" x14ac:dyDescent="0.25">
      <c r="AE567" s="41">
        <f t="shared" si="77"/>
        <v>0</v>
      </c>
    </row>
    <row r="568" spans="31:31" x14ac:dyDescent="0.25">
      <c r="AE568" s="41">
        <f t="shared" si="77"/>
        <v>0</v>
      </c>
    </row>
    <row r="569" spans="31:31" x14ac:dyDescent="0.25">
      <c r="AE569" s="41">
        <f t="shared" si="77"/>
        <v>0</v>
      </c>
    </row>
    <row r="570" spans="31:31" x14ac:dyDescent="0.25">
      <c r="AE570" s="41">
        <f t="shared" si="77"/>
        <v>0</v>
      </c>
    </row>
    <row r="571" spans="31:31" x14ac:dyDescent="0.25">
      <c r="AE571" s="41">
        <f t="shared" si="77"/>
        <v>0</v>
      </c>
    </row>
    <row r="572" spans="31:31" x14ac:dyDescent="0.25">
      <c r="AE572" s="41">
        <f t="shared" si="77"/>
        <v>0</v>
      </c>
    </row>
    <row r="573" spans="31:31" x14ac:dyDescent="0.25">
      <c r="AE573" s="41">
        <f t="shared" si="77"/>
        <v>0</v>
      </c>
    </row>
    <row r="574" spans="31:31" x14ac:dyDescent="0.25">
      <c r="AE574" s="41">
        <f t="shared" si="77"/>
        <v>0</v>
      </c>
    </row>
    <row r="575" spans="31:31" x14ac:dyDescent="0.25">
      <c r="AE575" s="41">
        <f t="shared" si="77"/>
        <v>0</v>
      </c>
    </row>
    <row r="576" spans="31:31" x14ac:dyDescent="0.25">
      <c r="AE576" s="41">
        <f t="shared" si="77"/>
        <v>0</v>
      </c>
    </row>
    <row r="577" spans="31:31" x14ac:dyDescent="0.25">
      <c r="AE577" s="41">
        <f t="shared" si="77"/>
        <v>0</v>
      </c>
    </row>
    <row r="578" spans="31:31" x14ac:dyDescent="0.25">
      <c r="AE578" s="41">
        <f t="shared" si="77"/>
        <v>0</v>
      </c>
    </row>
    <row r="579" spans="31:31" x14ac:dyDescent="0.25">
      <c r="AE579" s="41">
        <f t="shared" si="77"/>
        <v>0</v>
      </c>
    </row>
    <row r="580" spans="31:31" x14ac:dyDescent="0.25">
      <c r="AE580" s="41">
        <f t="shared" ref="AE580:AE617" si="78">AD580*V580</f>
        <v>0</v>
      </c>
    </row>
    <row r="581" spans="31:31" x14ac:dyDescent="0.25">
      <c r="AE581" s="41">
        <f t="shared" si="78"/>
        <v>0</v>
      </c>
    </row>
    <row r="582" spans="31:31" x14ac:dyDescent="0.25">
      <c r="AE582" s="41">
        <f t="shared" si="78"/>
        <v>0</v>
      </c>
    </row>
    <row r="583" spans="31:31" x14ac:dyDescent="0.25">
      <c r="AE583" s="41">
        <f t="shared" si="78"/>
        <v>0</v>
      </c>
    </row>
    <row r="584" spans="31:31" x14ac:dyDescent="0.25">
      <c r="AE584" s="41">
        <f t="shared" si="78"/>
        <v>0</v>
      </c>
    </row>
    <row r="585" spans="31:31" x14ac:dyDescent="0.25">
      <c r="AE585" s="41">
        <f t="shared" si="78"/>
        <v>0</v>
      </c>
    </row>
    <row r="586" spans="31:31" x14ac:dyDescent="0.25">
      <c r="AE586" s="41">
        <f t="shared" si="78"/>
        <v>0</v>
      </c>
    </row>
    <row r="587" spans="31:31" x14ac:dyDescent="0.25">
      <c r="AE587" s="41">
        <f t="shared" si="78"/>
        <v>0</v>
      </c>
    </row>
    <row r="588" spans="31:31" x14ac:dyDescent="0.25">
      <c r="AE588" s="41">
        <f t="shared" si="78"/>
        <v>0</v>
      </c>
    </row>
    <row r="589" spans="31:31" x14ac:dyDescent="0.25">
      <c r="AE589" s="41">
        <f t="shared" si="78"/>
        <v>0</v>
      </c>
    </row>
    <row r="590" spans="31:31" x14ac:dyDescent="0.25">
      <c r="AE590" s="41">
        <f t="shared" si="78"/>
        <v>0</v>
      </c>
    </row>
    <row r="591" spans="31:31" x14ac:dyDescent="0.25">
      <c r="AE591" s="41">
        <f t="shared" si="78"/>
        <v>0</v>
      </c>
    </row>
    <row r="592" spans="31:31" x14ac:dyDescent="0.25">
      <c r="AE592" s="41">
        <f t="shared" si="78"/>
        <v>0</v>
      </c>
    </row>
    <row r="593" spans="31:31" x14ac:dyDescent="0.25">
      <c r="AE593" s="41">
        <f t="shared" si="78"/>
        <v>0</v>
      </c>
    </row>
    <row r="594" spans="31:31" x14ac:dyDescent="0.25">
      <c r="AE594" s="41">
        <f t="shared" si="78"/>
        <v>0</v>
      </c>
    </row>
    <row r="595" spans="31:31" x14ac:dyDescent="0.25">
      <c r="AE595" s="41">
        <f t="shared" si="78"/>
        <v>0</v>
      </c>
    </row>
    <row r="596" spans="31:31" x14ac:dyDescent="0.25">
      <c r="AE596" s="41">
        <f t="shared" si="78"/>
        <v>0</v>
      </c>
    </row>
    <row r="597" spans="31:31" x14ac:dyDescent="0.25">
      <c r="AE597" s="41">
        <f t="shared" si="78"/>
        <v>0</v>
      </c>
    </row>
    <row r="598" spans="31:31" x14ac:dyDescent="0.25">
      <c r="AE598" s="41">
        <f t="shared" si="78"/>
        <v>0</v>
      </c>
    </row>
    <row r="599" spans="31:31" x14ac:dyDescent="0.25">
      <c r="AE599" s="41">
        <f t="shared" si="78"/>
        <v>0</v>
      </c>
    </row>
    <row r="600" spans="31:31" x14ac:dyDescent="0.25">
      <c r="AE600" s="41">
        <f t="shared" si="78"/>
        <v>0</v>
      </c>
    </row>
    <row r="601" spans="31:31" x14ac:dyDescent="0.25">
      <c r="AE601" s="41">
        <f t="shared" si="78"/>
        <v>0</v>
      </c>
    </row>
    <row r="602" spans="31:31" x14ac:dyDescent="0.25">
      <c r="AE602" s="41">
        <f t="shared" si="78"/>
        <v>0</v>
      </c>
    </row>
    <row r="603" spans="31:31" x14ac:dyDescent="0.25">
      <c r="AE603" s="41">
        <f t="shared" si="78"/>
        <v>0</v>
      </c>
    </row>
    <row r="604" spans="31:31" x14ac:dyDescent="0.25">
      <c r="AE604" s="41">
        <f t="shared" si="78"/>
        <v>0</v>
      </c>
    </row>
    <row r="605" spans="31:31" x14ac:dyDescent="0.25">
      <c r="AE605" s="41">
        <f t="shared" si="78"/>
        <v>0</v>
      </c>
    </row>
    <row r="606" spans="31:31" x14ac:dyDescent="0.25">
      <c r="AE606" s="41">
        <f t="shared" si="78"/>
        <v>0</v>
      </c>
    </row>
    <row r="607" spans="31:31" x14ac:dyDescent="0.25">
      <c r="AE607" s="41">
        <f t="shared" si="78"/>
        <v>0</v>
      </c>
    </row>
    <row r="608" spans="31:31" x14ac:dyDescent="0.25">
      <c r="AE608" s="41">
        <f t="shared" si="78"/>
        <v>0</v>
      </c>
    </row>
    <row r="609" spans="31:31" x14ac:dyDescent="0.25">
      <c r="AE609" s="41">
        <f t="shared" si="78"/>
        <v>0</v>
      </c>
    </row>
  </sheetData>
  <autoFilter ref="A2:AY519" xr:uid="{00000000-0009-0000-0000-000002000000}"/>
  <mergeCells count="24">
    <mergeCell ref="AY1:AY2"/>
    <mergeCell ref="AP1:AP2"/>
    <mergeCell ref="AQ1:AQ2"/>
    <mergeCell ref="AR1:AR2"/>
    <mergeCell ref="AS1:AS2"/>
    <mergeCell ref="AT1:AT2"/>
    <mergeCell ref="AU1:AU2"/>
    <mergeCell ref="U1:U2"/>
    <mergeCell ref="V1:V2"/>
    <mergeCell ref="W1:W2"/>
    <mergeCell ref="AN1:AN2"/>
    <mergeCell ref="AO1:AO2"/>
    <mergeCell ref="S1:S2"/>
    <mergeCell ref="T1:T2"/>
    <mergeCell ref="J1:J2"/>
    <mergeCell ref="N1:N2"/>
    <mergeCell ref="O1:O2"/>
    <mergeCell ref="P1:P2"/>
    <mergeCell ref="Q1:Q2"/>
    <mergeCell ref="R1:R2"/>
    <mergeCell ref="C1:C2"/>
    <mergeCell ref="I1:I2"/>
    <mergeCell ref="A1:A2"/>
    <mergeCell ref="B1:B2"/>
  </mergeCells>
  <hyperlinks>
    <hyperlink ref="E11" r:id="rId1" xr:uid="{E386CB6C-9BFD-4F83-BB41-0F466467EC70}"/>
    <hyperlink ref="E20" r:id="rId2" xr:uid="{992D378A-CAA0-436F-A8A8-BE37B63B5ABC}"/>
    <hyperlink ref="E31" r:id="rId3" xr:uid="{3739E1EC-6A17-4BED-B2A4-C67FE9359CAA}"/>
    <hyperlink ref="E32" r:id="rId4" xr:uid="{68549B33-6A82-44DA-B738-9B9E81EB32CB}"/>
    <hyperlink ref="E33" r:id="rId5" xr:uid="{8B3A862A-5945-49EE-AE0F-0AA3E5698AAF}"/>
    <hyperlink ref="E34" r:id="rId6" xr:uid="{0B2C9232-CFD6-4F33-912B-D540DEC670AC}"/>
    <hyperlink ref="E35" r:id="rId7" xr:uid="{AF90B147-CD2C-4054-B0CD-6F287472F37C}"/>
    <hyperlink ref="E36" r:id="rId8" xr:uid="{CD7C3BF2-E8C7-4491-87D3-2E75DC79BD76}"/>
    <hyperlink ref="E37" r:id="rId9" xr:uid="{21D81F45-C4D2-4919-82AB-15245355ABAA}"/>
    <hyperlink ref="E38" r:id="rId10" xr:uid="{4CA87249-E308-4295-BFC8-CA34BAC13CD7}"/>
    <hyperlink ref="E39" r:id="rId11" xr:uid="{FBDB4BAE-2027-46EF-B298-1A752A25DC6F}"/>
    <hyperlink ref="E40" r:id="rId12" xr:uid="{5A7B89FE-C63E-4411-A70D-CE004294130F}"/>
    <hyperlink ref="E41" r:id="rId13" xr:uid="{C658ED8A-40B7-45E5-B141-0730947FEA63}"/>
    <hyperlink ref="E42" r:id="rId14" xr:uid="{8DA3D5A8-A746-4A10-906C-BD81C56A79EB}"/>
    <hyperlink ref="E43" r:id="rId15" xr:uid="{695CE607-2B6F-432E-A3AE-9D2ED29884FC}"/>
    <hyperlink ref="E44" r:id="rId16" xr:uid="{D1952DFA-CD04-4410-B4DF-83145F558044}"/>
    <hyperlink ref="E45" r:id="rId17" xr:uid="{2262D814-7321-4305-829E-E5C4BDBF2603}"/>
    <hyperlink ref="E46" r:id="rId18" xr:uid="{776A6D34-12D2-4ED5-A0D8-179F639BE686}"/>
    <hyperlink ref="E47" r:id="rId19" xr:uid="{BBAFFB5D-A220-47D1-8FEE-B295B2A45BE0}"/>
    <hyperlink ref="E48" r:id="rId20" xr:uid="{6AA59B6E-33D0-414F-B3D4-A9FB7F23006E}"/>
    <hyperlink ref="E49" r:id="rId21" xr:uid="{0525216E-8637-405D-92C0-E5A50554C59C}"/>
    <hyperlink ref="E50" r:id="rId22" xr:uid="{99D875AA-E193-44F3-B9C6-37E5DDCF7764}"/>
    <hyperlink ref="E51" r:id="rId23" xr:uid="{A1690E1C-3F5D-4869-984C-FD706C6CBACF}"/>
    <hyperlink ref="E52" r:id="rId24" xr:uid="{5119CB0E-9CEA-4592-81C9-E03378B856C8}"/>
    <hyperlink ref="E53" r:id="rId25" xr:uid="{828A5A45-6DB2-4E8E-97A3-76FE41D93681}"/>
    <hyperlink ref="E54" r:id="rId26" xr:uid="{7721919C-FF4C-4B71-A0BB-0A0BF2046B19}"/>
    <hyperlink ref="E55" r:id="rId27" xr:uid="{86D1D779-AD4E-473C-9AC4-D8C376B2987B}"/>
    <hyperlink ref="E56" r:id="rId28" xr:uid="{2BCB3D1C-D96F-457E-9091-747A7B28FE38}"/>
    <hyperlink ref="E57" r:id="rId29" xr:uid="{A18FC385-DA3F-4539-AD05-41D54EA11634}"/>
    <hyperlink ref="E58" r:id="rId30" xr:uid="{55AA9860-E94D-4713-B1AA-285F461550AA}"/>
    <hyperlink ref="E59" r:id="rId31" xr:uid="{7B468D20-9923-41FE-99E3-249ED004EC8A}"/>
    <hyperlink ref="E60" r:id="rId32" xr:uid="{46A6EC22-6ACD-4417-BF4D-294A1273CF69}"/>
    <hyperlink ref="E61" r:id="rId33" xr:uid="{2434C1BA-0AB9-4630-BA53-A73FCBA537E4}"/>
    <hyperlink ref="E62" r:id="rId34" xr:uid="{DB04F103-6F16-40DB-B76E-510AC152AE12}"/>
    <hyperlink ref="E63" r:id="rId35" xr:uid="{380F3ECB-8866-454B-90DA-8068B650AF26}"/>
    <hyperlink ref="E64" r:id="rId36" xr:uid="{413E2E3A-8802-4E9A-8DA8-FB87B13E889D}"/>
    <hyperlink ref="E65" r:id="rId37" xr:uid="{048743DF-7771-4D1A-8453-6AD6D57C079F}"/>
    <hyperlink ref="E66" r:id="rId38" xr:uid="{FCA6F7DF-E54D-4197-8BEF-15AC9AF5E9E8}"/>
    <hyperlink ref="E67" r:id="rId39" xr:uid="{D39BF57B-37E8-4799-A8CA-61C832D1438D}"/>
    <hyperlink ref="E68" r:id="rId40" xr:uid="{9BB3C7D6-4BB1-47FF-9791-DABB16D8E32F}"/>
    <hyperlink ref="E69" r:id="rId41" xr:uid="{ED2481B6-9ACE-4F32-B15D-8A4D4FDF3719}"/>
    <hyperlink ref="E70" r:id="rId42" xr:uid="{877DA31D-4621-4205-A23E-D76433D63A97}"/>
    <hyperlink ref="E71" r:id="rId43" xr:uid="{2B34F9A0-A147-45D7-8357-9F17CB52003F}"/>
    <hyperlink ref="E72" r:id="rId44" xr:uid="{DD769B2F-7F5D-4FDB-B3FC-1E689BDB42D4}"/>
    <hyperlink ref="E73" r:id="rId45" xr:uid="{317EE43C-EA27-4E52-949B-E9A67D70E8E6}"/>
    <hyperlink ref="E74" r:id="rId46" xr:uid="{20BAFC75-1C35-4B3E-AF40-5A48EB786292}"/>
    <hyperlink ref="E75" r:id="rId47" xr:uid="{681F74E3-50A4-4612-8060-3895D9268E59}"/>
    <hyperlink ref="E76" r:id="rId48" xr:uid="{AF2DAD1E-53AC-4B4D-8A3D-52A0A2631320}"/>
    <hyperlink ref="E77" r:id="rId49" xr:uid="{EF6710DA-E9AE-479C-8F64-233F59DAD0B5}"/>
    <hyperlink ref="E78" r:id="rId50" xr:uid="{2E51DCAB-064E-4B16-ABD5-2A01AD105EA9}"/>
    <hyperlink ref="E79" r:id="rId51" xr:uid="{FF728F4E-90E2-4B77-A786-2F424C9E85C4}"/>
    <hyperlink ref="E80" r:id="rId52" xr:uid="{D5D6DD95-D291-43DD-91E7-C995A5CF6A35}"/>
    <hyperlink ref="E81" r:id="rId53" xr:uid="{9B41C18B-8518-431D-82C8-AF477B8D0823}"/>
    <hyperlink ref="E83" r:id="rId54" xr:uid="{A545E7A9-E514-4016-B9DF-39CF7847D67E}"/>
    <hyperlink ref="E85" r:id="rId55" xr:uid="{0D2C8E58-1F6B-4A2C-BF9C-E598B686F2B7}"/>
    <hyperlink ref="E86" r:id="rId56" xr:uid="{89699D9D-9979-4FA1-9DBF-018805E7AAFD}"/>
    <hyperlink ref="E84" r:id="rId57" xr:uid="{0581AEB0-DE34-4C27-AF91-EBA19B72204C}"/>
    <hyperlink ref="E87" r:id="rId58" xr:uid="{9F2FF705-93E5-4272-A942-509350AB24B5}"/>
    <hyperlink ref="E88" r:id="rId59" xr:uid="{B8B70EE2-9022-4CDE-BC0A-D6B568336074}"/>
    <hyperlink ref="E89" r:id="rId60" xr:uid="{2C26C13E-818C-42B3-8BCB-E839E68C75D8}"/>
    <hyperlink ref="E91" r:id="rId61" xr:uid="{A9FD6475-B22F-4591-AC60-F10B314C5950}"/>
    <hyperlink ref="E90" r:id="rId62" xr:uid="{B3553BB3-4312-4395-AE3A-FEBCF3D048F9}"/>
    <hyperlink ref="E92" r:id="rId63" xr:uid="{F4167AF3-96E9-4FE9-92FB-D76D4036E9B9}"/>
    <hyperlink ref="E93" r:id="rId64" xr:uid="{5F88E615-B23B-45A6-8D12-EB5FA62157F8}"/>
    <hyperlink ref="E94" r:id="rId65" xr:uid="{473D94BD-6154-4DC3-963F-0F723046ECA5}"/>
    <hyperlink ref="E95" r:id="rId66" xr:uid="{F9DCC814-CA0C-457F-90FA-8211329C25E6}"/>
    <hyperlink ref="E96" r:id="rId67" xr:uid="{2CCFE708-5D6C-4C6A-A010-62A0BADB2F6C}"/>
    <hyperlink ref="E97" r:id="rId68" xr:uid="{AE48D835-9016-4218-AAB8-5B9F0B5DD944}"/>
    <hyperlink ref="E98" r:id="rId69" xr:uid="{ED89A83F-13B9-4EFA-A4EE-DA7979D92694}"/>
    <hyperlink ref="E99" r:id="rId70" xr:uid="{136A8198-4A07-490A-AFAD-54A0FA370D11}"/>
    <hyperlink ref="E100" r:id="rId71" xr:uid="{5C620267-37AB-4CEC-B6FC-AC0209953A5C}"/>
    <hyperlink ref="E101" r:id="rId72" xr:uid="{8061BBD0-E6DB-43BE-9BE0-03CBD0FF9232}"/>
    <hyperlink ref="E102" r:id="rId73" xr:uid="{FEEFB010-446E-474B-B201-71C1D81093BD}"/>
    <hyperlink ref="E4" r:id="rId74" xr:uid="{10904BF2-AECA-4967-8EEF-FB702113095A}"/>
    <hyperlink ref="E3" r:id="rId75" xr:uid="{C23B4139-E8FD-4805-B86D-21B3B3DAB221}"/>
    <hyperlink ref="E26" r:id="rId76" xr:uid="{59661AAF-A118-4A59-BB19-57CA655F5FDB}"/>
    <hyperlink ref="E103" r:id="rId77" xr:uid="{BEE5E2E4-836C-480A-BF4A-1268D51A6A31}"/>
    <hyperlink ref="E104" r:id="rId78" xr:uid="{4A7B46D0-DB41-4BA0-961E-1E69A4AFC2AD}"/>
    <hyperlink ref="E105" r:id="rId79" xr:uid="{23BB07A4-611F-4860-96BC-639E2330740B}"/>
    <hyperlink ref="E106" r:id="rId80" xr:uid="{03E6F589-1D1E-4F49-8B22-8C0F82BD0E2B}"/>
    <hyperlink ref="E5" r:id="rId81" xr:uid="{DD4E9BD8-9094-430F-998F-90B3DF07C012}"/>
    <hyperlink ref="E107" r:id="rId82" xr:uid="{CC806660-3EBF-4710-B957-1AD3C55A744C}"/>
    <hyperlink ref="E108" r:id="rId83" xr:uid="{452EFDB4-4BC5-4FAD-95A5-0ED68F231CFA}"/>
    <hyperlink ref="E109" r:id="rId84" xr:uid="{3C6BAEBC-82B7-45BC-AAC3-BB1154E54C80}"/>
    <hyperlink ref="E110" r:id="rId85" xr:uid="{D89FF6B1-CA59-4BF4-B316-7441AE6A4FF6}"/>
    <hyperlink ref="E111" r:id="rId86" xr:uid="{661A5521-7A71-4A53-A039-ECA81BE9394E}"/>
    <hyperlink ref="E112" r:id="rId87" xr:uid="{E9E29B4D-230B-402A-8AB4-EC2D7DBE6061}"/>
    <hyperlink ref="E113" r:id="rId88" xr:uid="{3DBE0C69-8E11-46EF-A629-3C75F8E21B09}"/>
    <hyperlink ref="E114" r:id="rId89" xr:uid="{BB0FF5D5-62B3-4798-82BF-86A271B4DF87}"/>
    <hyperlink ref="E115" r:id="rId90" xr:uid="{6A03C81E-6079-4CDA-BA04-C53DBA07C864}"/>
    <hyperlink ref="E116" r:id="rId91" xr:uid="{50D93D9B-FC92-4103-9E3B-E5F6DB2A03C6}"/>
    <hyperlink ref="E117" r:id="rId92" xr:uid="{3E579D64-0CAE-4683-81C0-9B4BE98DBDCB}"/>
    <hyperlink ref="E118" r:id="rId93" xr:uid="{2AFDDDBC-8E85-45D0-91E2-D7FA6E0131EF}"/>
    <hyperlink ref="E119" r:id="rId94" xr:uid="{966AAB1F-7776-4DD9-9799-F3E73F575B8E}"/>
    <hyperlink ref="E120" r:id="rId95" xr:uid="{43861F92-16B9-437C-85F3-98E25AB34A03}"/>
    <hyperlink ref="E121" r:id="rId96" xr:uid="{666AE6B0-C399-407E-AED6-18C575AAE786}"/>
    <hyperlink ref="E122" r:id="rId97" xr:uid="{0FEE33B3-BF7A-4EF4-B193-C324172EEB44}"/>
    <hyperlink ref="E123" r:id="rId98" xr:uid="{0F202441-F170-454C-A5A7-8A3E19A3CDC7}"/>
    <hyperlink ref="E124" r:id="rId99" xr:uid="{5B5AE4A5-8DE6-4B89-85FC-AC4ACF4DE0E2}"/>
    <hyperlink ref="E125" r:id="rId100" xr:uid="{74502A36-81EC-4E8C-A5C5-732795987062}"/>
    <hyperlink ref="E126" r:id="rId101" xr:uid="{E1D83631-A30B-4E5C-88D8-E3431EC13F26}"/>
    <hyperlink ref="E127" r:id="rId102" xr:uid="{B13D2984-EB3A-4635-97E2-B34FDBAA3432}"/>
    <hyperlink ref="E130" r:id="rId103" xr:uid="{A4270F69-2ADA-4728-B1AD-076FD5A2552A}"/>
    <hyperlink ref="E129" r:id="rId104" xr:uid="{0E96F468-D9AF-4ACB-886F-EF4549B1F6B8}"/>
    <hyperlink ref="E128" r:id="rId105" xr:uid="{CCA48F62-D532-4D0D-ABBE-A67488DFAC0E}"/>
    <hyperlink ref="E131" r:id="rId106" xr:uid="{9AE517CF-B3CF-4CC8-836F-48122BD33AE7}"/>
    <hyperlink ref="E132" r:id="rId107" xr:uid="{F690FBBA-77CE-4029-AA67-964DE1213138}"/>
    <hyperlink ref="E133" r:id="rId108" xr:uid="{F116D2CD-58B0-479F-AF59-82931C66814A}"/>
    <hyperlink ref="E134" r:id="rId109" xr:uid="{AE431658-BFEC-4FB3-9D70-9956FDD76D3F}"/>
    <hyperlink ref="E135" r:id="rId110" xr:uid="{59AF3429-87F1-4F62-8CEE-ACB9B86F498B}"/>
    <hyperlink ref="E154" r:id="rId111" xr:uid="{2320344F-C791-489D-A579-45E3F72A1226}"/>
    <hyperlink ref="E136" r:id="rId112" xr:uid="{55858F7D-784E-407C-ADDF-AC35E292D75F}"/>
    <hyperlink ref="E137" r:id="rId113" xr:uid="{0B6618DD-EA39-4ABA-A91D-13FC43736A5A}"/>
    <hyperlink ref="E138" r:id="rId114" xr:uid="{C231904A-F9A7-4DDE-91D3-07AFE79855BD}"/>
    <hyperlink ref="E139" r:id="rId115" xr:uid="{1FC91F6B-C6C9-4621-BDB9-4D5A1D9DC58C}"/>
    <hyperlink ref="E140" r:id="rId116" xr:uid="{C41C1E21-85B8-488A-95DF-386FE0B63605}"/>
    <hyperlink ref="E141" r:id="rId117" xr:uid="{3FB390A9-3D8A-45C9-B196-BAF1CED718D5}"/>
    <hyperlink ref="E142" r:id="rId118" xr:uid="{E999F45F-440D-4DB4-AA0C-1C7AC5C656CC}"/>
    <hyperlink ref="E143" r:id="rId119" xr:uid="{1F9F729C-AA85-4F5F-A0B5-7AB3B05905B1}"/>
    <hyperlink ref="E144" r:id="rId120" xr:uid="{92F3F604-AE8B-495D-836A-67514492391C}"/>
    <hyperlink ref="E145" r:id="rId121" xr:uid="{9EFA3F13-A0D9-4D0A-8484-ECAB5AD24B9A}"/>
    <hyperlink ref="E146" r:id="rId122" xr:uid="{C74EAE3F-001D-4C5A-BAB9-BDE6C8B57606}"/>
    <hyperlink ref="E147" r:id="rId123" xr:uid="{0DFDE74B-7714-445E-A7E4-9A0EF0A3DA30}"/>
    <hyperlink ref="E148" r:id="rId124" xr:uid="{8DF1C027-5ECB-47D3-8B3B-A4A681CF2682}"/>
    <hyperlink ref="E149" r:id="rId125" xr:uid="{28FE426F-FD32-45E0-B74F-CF83FAF18C90}"/>
    <hyperlink ref="E150" r:id="rId126" xr:uid="{ACFFF220-28C2-4555-BEFB-7830AF7A60B2}"/>
    <hyperlink ref="E151" r:id="rId127" xr:uid="{A79F873C-39B5-4C0C-837D-B6649A4C3D8E}"/>
    <hyperlink ref="E152" r:id="rId128" xr:uid="{57E72E1D-DDED-43B6-9BF0-B09D55BC85AA}"/>
    <hyperlink ref="E153" r:id="rId129" xr:uid="{E7A3B382-D8B3-4B4F-921A-82E6538A53BA}"/>
    <hyperlink ref="E155" r:id="rId130" xr:uid="{CEC82995-4754-4DE6-9EF1-EE111E31B996}"/>
    <hyperlink ref="E156" r:id="rId131" xr:uid="{B7448466-BC9E-44F9-BA43-6AA46934D8E7}"/>
    <hyperlink ref="E157" r:id="rId132" xr:uid="{B8F98F3B-6589-49EC-ABA2-68618D8DFD87}"/>
    <hyperlink ref="E158" r:id="rId133" xr:uid="{3EA5323C-84DF-42F4-9C22-BEF0557E3E63}"/>
    <hyperlink ref="E159" r:id="rId134" xr:uid="{64F37564-2941-4A7A-B2EF-B06521DFFEBE}"/>
    <hyperlink ref="E160" r:id="rId135" xr:uid="{4E274CB1-4D64-4F7D-8296-82DE87FC8602}"/>
    <hyperlink ref="E161" r:id="rId136" xr:uid="{52BC8089-8738-4FBD-B706-068A4BF1538F}"/>
    <hyperlink ref="E162" r:id="rId137" xr:uid="{55EE3985-052B-4852-8A5E-8AD0E7E1BE5C}"/>
    <hyperlink ref="E163" r:id="rId138" xr:uid="{712F1DE8-BC56-45B5-A48A-315A45635E52}"/>
    <hyperlink ref="E164" r:id="rId139" xr:uid="{932293EA-CF36-4B37-AF6B-650CAF037A33}"/>
    <hyperlink ref="E165" r:id="rId140" xr:uid="{23F034D1-C9B4-411E-B005-B23A387538C1}"/>
    <hyperlink ref="E166" r:id="rId141" xr:uid="{FD788048-606D-41C3-A1E6-3BC2E52E4A93}"/>
    <hyperlink ref="E167" r:id="rId142" xr:uid="{2459D48F-8E47-45AF-B633-DA4465580DF3}"/>
    <hyperlink ref="E168" r:id="rId143" xr:uid="{B06E88A1-3A29-498E-890B-8526867DDD77}"/>
    <hyperlink ref="E169" r:id="rId144" xr:uid="{6B84184B-E00C-4E9C-BA5B-A176FEEC9F93}"/>
    <hyperlink ref="E170" r:id="rId145" xr:uid="{F2860A0A-6026-4131-909B-88C74AB3BEE4}"/>
    <hyperlink ref="E171" r:id="rId146" xr:uid="{63985667-5F4B-4656-9949-64E99C484AC8}"/>
    <hyperlink ref="E172" r:id="rId147" xr:uid="{8765BDC3-2C29-4CD9-8441-D83CA03BC70D}"/>
    <hyperlink ref="E173" r:id="rId148" xr:uid="{B8D77F93-A03F-46E8-BB4C-4A1345B1B3A6}"/>
    <hyperlink ref="E174" r:id="rId149" xr:uid="{83372CCF-42B0-48A0-B046-89C53FB86495}"/>
    <hyperlink ref="E175" r:id="rId150" xr:uid="{6F2ACD3F-015F-4DEE-AC79-C3567ADD8B5E}"/>
    <hyperlink ref="E176" r:id="rId151" xr:uid="{AC539A7E-A525-4FBF-A64C-BD3058C934D7}"/>
    <hyperlink ref="E177" r:id="rId152" xr:uid="{8E3BDE4C-368E-4F5D-82C6-2336840A1963}"/>
    <hyperlink ref="E178" r:id="rId153" xr:uid="{9D5BE469-86E9-4E6B-8EFB-F7B5BCF2F7EB}"/>
    <hyperlink ref="E179" r:id="rId154" xr:uid="{1C667726-7E60-40B7-A558-DE8702863DFD}"/>
    <hyperlink ref="E180" r:id="rId155" xr:uid="{D2F5C3FD-C88D-488C-A3ED-0AC5115A3F0A}"/>
    <hyperlink ref="E181" r:id="rId156" xr:uid="{75F1F8C6-BC40-4B5A-9EA5-E4A769E0A603}"/>
    <hyperlink ref="E182" r:id="rId157" xr:uid="{1C24556C-DC4B-47D3-B24F-CAC1024C0D6F}"/>
    <hyperlink ref="E183" r:id="rId158" xr:uid="{D05350A4-5C0E-405A-830D-F6767C5DCE2C}"/>
    <hyperlink ref="E184" r:id="rId159" xr:uid="{02F2DF6D-3A13-41B5-A627-4E73CA3E01DE}"/>
    <hyperlink ref="E185" r:id="rId160" xr:uid="{82B475B7-9351-4FFA-85C7-3D6C11478DF0}"/>
    <hyperlink ref="E186" r:id="rId161" xr:uid="{135B6667-39EE-4251-A838-12BB494C062B}"/>
    <hyperlink ref="E187" r:id="rId162" xr:uid="{37CEDC22-70D8-4AF2-8C13-5B0C6C0BDEEC}"/>
    <hyperlink ref="E188" r:id="rId163" xr:uid="{43D74156-7E1A-4483-A7B1-DD8B4088CC94}"/>
    <hyperlink ref="E189" r:id="rId164" xr:uid="{FAD633D7-AC0B-4E47-AC03-BE628A28626B}"/>
    <hyperlink ref="E190" r:id="rId165" xr:uid="{E599E1B2-2061-4EDB-AB52-9CD31F15264C}"/>
    <hyperlink ref="E191" r:id="rId166" xr:uid="{23646857-FFA3-4D2C-A1CD-06C91C42FB46}"/>
    <hyperlink ref="E192" r:id="rId167" xr:uid="{7F2F416E-476C-42D7-8DAB-77504F84B773}"/>
    <hyperlink ref="E193" r:id="rId168" xr:uid="{F09C4E1B-E335-4DD6-9D9B-434D3C2C9269}"/>
    <hyperlink ref="E194" r:id="rId169" xr:uid="{4BB4964F-2F2A-422D-9540-711A5BE00A34}"/>
    <hyperlink ref="E195" r:id="rId170" xr:uid="{B5C60793-2FF3-4BF9-ABF5-43864C333621}"/>
    <hyperlink ref="E196" r:id="rId171" xr:uid="{529E09DA-4BBE-4846-86B8-A912FC50A5CF}"/>
    <hyperlink ref="E197" r:id="rId172" xr:uid="{44BEBA1F-4729-492B-912C-59FE2AF1039E}"/>
    <hyperlink ref="E198" r:id="rId173" xr:uid="{9203557B-C819-4969-AF02-60531D9C39CB}"/>
    <hyperlink ref="E199" r:id="rId174" xr:uid="{44CC2A7B-5525-418D-9EAF-2B796C15B851}"/>
    <hyperlink ref="E200" r:id="rId175" xr:uid="{5B1152FD-7D94-42D8-98C8-0AD0DB6E37A7}"/>
    <hyperlink ref="E201" r:id="rId176" xr:uid="{2738C74E-0CB2-4A51-BCFF-A208C85F6F3F}"/>
    <hyperlink ref="E202" r:id="rId177" xr:uid="{EDB904C1-9526-4328-9513-AE81DF1510F2}"/>
    <hyperlink ref="E203" r:id="rId178" xr:uid="{7D1CD7EC-AEB2-4044-BA86-22B3339BB528}"/>
    <hyperlink ref="E204" r:id="rId179" xr:uid="{6301F916-FE5D-4077-A0F6-CFFEE56063D9}"/>
    <hyperlink ref="E205" r:id="rId180" xr:uid="{9941EDCB-FE21-4F32-A128-15430020AE1D}"/>
    <hyperlink ref="E206" r:id="rId181" xr:uid="{7A607BFC-EF51-4819-BA6D-01358E77A4C9}"/>
    <hyperlink ref="E207" r:id="rId182" xr:uid="{59B30809-40D1-4768-9048-3AC96E0EFC1E}"/>
    <hyperlink ref="E208" r:id="rId183" xr:uid="{FCB46509-A12C-49D2-8199-FB37919084A4}"/>
    <hyperlink ref="E209" r:id="rId184" xr:uid="{27BD1E5E-81E7-49C1-89D7-662ABD8CB88A}"/>
    <hyperlink ref="E210" r:id="rId185" xr:uid="{A665159F-FC2F-45DD-8728-DD763AFDB604}"/>
    <hyperlink ref="E211" r:id="rId186" xr:uid="{2657C6D4-4BC3-4005-9F75-CE0D56B3AEB0}"/>
    <hyperlink ref="E212" r:id="rId187" xr:uid="{55E4BD39-AE8F-4582-A7FE-519FCA73594B}"/>
    <hyperlink ref="E213" r:id="rId188" xr:uid="{4EC59E82-D9F5-43DC-9CDD-D75BA37A0B8B}"/>
    <hyperlink ref="E214" r:id="rId189" xr:uid="{61DDE0FD-B844-4A6A-B357-F3545CC494C4}"/>
    <hyperlink ref="E215" r:id="rId190" xr:uid="{2AF8217E-D39F-4629-AAEC-034A0C21C72B}"/>
    <hyperlink ref="E216" r:id="rId191" xr:uid="{E277E626-CC3A-45E4-9188-1B56C5168C92}"/>
    <hyperlink ref="E218" r:id="rId192" xr:uid="{A062F63B-E2DB-4ACA-A6E4-0FFCA2D21A0D}"/>
    <hyperlink ref="E219" r:id="rId193" xr:uid="{4AE76589-35A7-484E-976F-15EBD13CC9CA}"/>
    <hyperlink ref="E220" r:id="rId194" xr:uid="{7C48589E-0DBF-43EA-B6F6-8D11C6F03C6F}"/>
    <hyperlink ref="E221" r:id="rId195" xr:uid="{A7CCE8CB-1CB7-4658-9FA5-B9622A69C07F}"/>
    <hyperlink ref="E222" r:id="rId196" xr:uid="{C4B70E6C-A1F2-409C-87F1-C7925DC3C8D1}"/>
    <hyperlink ref="E223" r:id="rId197" xr:uid="{87A5BAAA-6D1C-4326-A186-655108DEA1DF}"/>
    <hyperlink ref="E224" r:id="rId198" xr:uid="{473AFB71-8227-475A-B8EE-37C257B4D4C0}"/>
    <hyperlink ref="E225" r:id="rId199" xr:uid="{571815DD-E6BE-45B3-BCBF-E22AC08EB792}"/>
    <hyperlink ref="E226" r:id="rId200" xr:uid="{1AAEC8E6-34EB-40E5-8CA2-8DCAFF60D7CF}"/>
    <hyperlink ref="E227" r:id="rId201" xr:uid="{B4EDF029-2238-4C90-AD2A-E1A0B2BCE586}"/>
    <hyperlink ref="E228" r:id="rId202" xr:uid="{3DBD5B99-8020-4B56-9FD8-C04718A25953}"/>
    <hyperlink ref="E229" r:id="rId203" xr:uid="{85940974-7B5D-46CA-8A5E-7A8CEE3421B8}"/>
    <hyperlink ref="E230" r:id="rId204" xr:uid="{8DFB6134-72E7-4CE2-B48B-ABF584543DE5}"/>
    <hyperlink ref="E231" r:id="rId205" xr:uid="{8C5CDCBD-6A55-4320-9EDB-EEF464A841EB}"/>
    <hyperlink ref="E232" r:id="rId206" xr:uid="{6127E1D0-8436-4D81-BF2D-5C0DAC19CC78}"/>
    <hyperlink ref="E233" r:id="rId207" xr:uid="{EC7751EE-A9D2-4B2E-9C52-E53D802676BD}"/>
    <hyperlink ref="E234" r:id="rId208" xr:uid="{6B1FF3E0-44E7-45A0-B897-FB3E3A8901B9}"/>
    <hyperlink ref="E235" r:id="rId209" xr:uid="{AC0ADF60-0E94-45B2-A261-70774A8C3A54}"/>
    <hyperlink ref="E236" r:id="rId210" xr:uid="{2796F445-701A-4B9D-A515-B0F0EC2E24BE}"/>
    <hyperlink ref="E237" r:id="rId211" xr:uid="{28877457-F521-4F1B-9929-89EE480ED99A}"/>
    <hyperlink ref="E238" r:id="rId212" xr:uid="{F2D0DE31-192A-4C90-8F3B-84C75A205AB5}"/>
    <hyperlink ref="E239" r:id="rId213" xr:uid="{39F1D149-8B22-4B84-9427-5432B1E45996}"/>
    <hyperlink ref="E240" r:id="rId214" xr:uid="{6969EF9C-74EB-4443-BE0C-918F224B2423}"/>
    <hyperlink ref="E241" r:id="rId215" xr:uid="{A317823D-EC70-4996-A69E-0B3F472C2001}"/>
    <hyperlink ref="E242" r:id="rId216" xr:uid="{0087E932-82BF-45D8-B98D-66848C5EA823}"/>
    <hyperlink ref="E243" r:id="rId217" xr:uid="{ABFF1C79-F740-4111-B8AE-79B9D12255C3}"/>
    <hyperlink ref="E244" r:id="rId218" xr:uid="{7E9E2AC8-BE27-44F3-A330-E66EA6155B81}"/>
    <hyperlink ref="E245" r:id="rId219" xr:uid="{3B6A81FA-5386-46D8-B0E8-4B3BA71A11B9}"/>
    <hyperlink ref="E246" r:id="rId220" xr:uid="{63CCD08B-6546-41D6-B5DE-1F5EE5253AAF}"/>
    <hyperlink ref="E247" r:id="rId221" xr:uid="{E74736EC-6110-4E17-A18F-2C561709E12C}"/>
    <hyperlink ref="E248" r:id="rId222" xr:uid="{EE97BD2F-E689-4A61-8FCC-92796989685B}"/>
    <hyperlink ref="E249" r:id="rId223" xr:uid="{DB710E1A-6AE4-4827-9713-BF286301985D}"/>
    <hyperlink ref="E250" r:id="rId224" xr:uid="{273E2426-DA7F-4397-9CE6-F8E406166252}"/>
    <hyperlink ref="E251" r:id="rId225" xr:uid="{F9096F23-3152-4866-8FBB-2E3165EF6E68}"/>
    <hyperlink ref="E272" r:id="rId226" xr:uid="{3B337723-7249-4742-B3DB-E34CCC5BF8D9}"/>
    <hyperlink ref="E252" r:id="rId227" xr:uid="{6DF879D6-E450-4D9B-BD9F-186656F8389A}"/>
    <hyperlink ref="E253" r:id="rId228" xr:uid="{44A78EB2-4F18-492B-90E3-677595B59DEF}"/>
    <hyperlink ref="E254" r:id="rId229" xr:uid="{2DABC96A-7D06-4F14-BFE3-25A96ACB2660}"/>
    <hyperlink ref="E255" r:id="rId230" xr:uid="{DF84DACF-B240-4EFF-87EB-5B1419E59A44}"/>
    <hyperlink ref="E256" r:id="rId231" xr:uid="{FE445423-B731-49E5-9EF1-05F07D3DF00C}"/>
    <hyperlink ref="E257" r:id="rId232" xr:uid="{FD7022EA-7189-4DD7-B336-929FDD471EB6}"/>
    <hyperlink ref="E258" r:id="rId233" xr:uid="{9F31BF04-04CC-453D-97B7-DF25E5D177E1}"/>
    <hyperlink ref="E259" r:id="rId234" xr:uid="{D0C5CB76-AA6E-4783-9C64-731676276F46}"/>
    <hyperlink ref="E260" r:id="rId235" xr:uid="{5B25B1C2-45F7-4B44-8DC6-29838DC7C32E}"/>
    <hyperlink ref="E261" r:id="rId236" xr:uid="{98DF0F65-5EB6-4542-A178-52D3B641167C}"/>
    <hyperlink ref="E262" r:id="rId237" xr:uid="{AA1D696F-F649-438A-AC70-9C50FE13A7CE}"/>
    <hyperlink ref="E263" r:id="rId238" xr:uid="{2A36885B-8CF5-438E-9B15-C94C0B232FC3}"/>
    <hyperlink ref="E264" r:id="rId239" xr:uid="{09295FCA-8CEB-44D9-B7EA-4D72B8111B46}"/>
    <hyperlink ref="E265" r:id="rId240" xr:uid="{ED8B9F20-298B-41C8-BCBB-EFC086A407B9}"/>
    <hyperlink ref="E266" r:id="rId241" xr:uid="{0AFF95AD-5BA3-4B9F-885A-414B96924987}"/>
    <hyperlink ref="E267" r:id="rId242" xr:uid="{02D2CD75-ED0D-404D-8896-AA00E1209373}"/>
    <hyperlink ref="E268" r:id="rId243" xr:uid="{EE1B719B-5881-440D-BF3C-E889E84144EA}"/>
    <hyperlink ref="E269" r:id="rId244" xr:uid="{9D69E8C5-A9F0-4CE3-BD24-6C29D26E7AB5}"/>
    <hyperlink ref="E270" r:id="rId245" xr:uid="{7047EFB7-7833-4B32-8729-6D99B4941F4A}"/>
    <hyperlink ref="E271" r:id="rId246" xr:uid="{BB153EF3-22C3-4FFD-96D9-A1046855A32E}"/>
    <hyperlink ref="E273" r:id="rId247" xr:uid="{B9EC7D75-4CA0-4183-96D5-D42DD07480AA}"/>
    <hyperlink ref="E274" r:id="rId248" xr:uid="{2CB3FED6-1D94-4A32-9A56-F7F4933A21B6}"/>
    <hyperlink ref="E275" r:id="rId249" xr:uid="{688484B7-55DA-4E73-877B-BEB53E9A64A8}"/>
    <hyperlink ref="E276" r:id="rId250" xr:uid="{E5FE2C6D-ECB5-43F1-8966-F1DF0175F30F}"/>
    <hyperlink ref="E277" r:id="rId251" xr:uid="{02830E55-E2B0-4392-B8F8-A901515A1F1C}"/>
    <hyperlink ref="E278" r:id="rId252" xr:uid="{DD8CE4ED-1629-4A59-8453-F6AE1C41DEBD}"/>
    <hyperlink ref="E279" r:id="rId253" xr:uid="{9400D37F-D9B4-451C-BC2D-49DA871E590C}"/>
    <hyperlink ref="E280" r:id="rId254" xr:uid="{0F398E2C-3776-4D70-93E2-C092DC939DDC}"/>
    <hyperlink ref="E281" r:id="rId255" xr:uid="{C0270E5B-1842-47E9-9C2A-A8B20A05BC3E}"/>
    <hyperlink ref="E282" r:id="rId256" xr:uid="{8A615D80-D77B-46AE-AC73-EB2370829C1D}"/>
    <hyperlink ref="E283" r:id="rId257" xr:uid="{38A2CD29-DF83-4E68-B972-D1EB1B0E0F96}"/>
    <hyperlink ref="E284" r:id="rId258" xr:uid="{A56811A0-39E6-4C1F-8320-DD978D59EFF9}"/>
    <hyperlink ref="E285" r:id="rId259" xr:uid="{74544203-0D7E-4670-A7C1-ED9B5596B812}"/>
    <hyperlink ref="E286" r:id="rId260" xr:uid="{3B70A194-F0BC-4978-BD21-1C93E683F4A5}"/>
    <hyperlink ref="E287" r:id="rId261" xr:uid="{4DCB8C61-AD5B-4F91-A904-03AFCFCA4213}"/>
    <hyperlink ref="E288" r:id="rId262" xr:uid="{00A1CAE6-AD06-49FD-805D-B976A429CA16}"/>
    <hyperlink ref="E289" r:id="rId263" xr:uid="{5741FB45-E47D-4791-A574-2190CF05DFB8}"/>
    <hyperlink ref="E290" r:id="rId264" xr:uid="{09A895F3-1857-4873-9EEB-4E2FF46B5B8F}"/>
    <hyperlink ref="E291" r:id="rId265" xr:uid="{B00576FD-6203-4719-9FD1-3486777C1B30}"/>
    <hyperlink ref="E292" r:id="rId266" xr:uid="{F7C2796D-644E-443E-A272-76CD0210B037}"/>
    <hyperlink ref="E293" r:id="rId267" xr:uid="{577380A0-E78D-4312-B441-B0F267EA1F5E}"/>
    <hyperlink ref="E294" r:id="rId268" xr:uid="{81B188A9-24D4-48DE-98AB-55FCC9D283D2}"/>
    <hyperlink ref="E295" r:id="rId269" xr:uid="{94B6112C-8485-4788-B489-25469E2A0676}"/>
    <hyperlink ref="E296" r:id="rId270" xr:uid="{B6145E6E-39B4-4463-A31E-437A6B638195}"/>
    <hyperlink ref="E297" r:id="rId271" xr:uid="{8FA21E5D-3638-44C2-889F-3D2821092556}"/>
    <hyperlink ref="E298" r:id="rId272" xr:uid="{7918EEDD-4033-4E68-B448-BBC46EC7630B}"/>
    <hyperlink ref="E299" r:id="rId273" xr:uid="{DAA2F9D9-6385-4DCA-B5CF-1EA800D88AC9}"/>
    <hyperlink ref="E300" r:id="rId274" xr:uid="{0F108EEC-227A-4192-89B6-DF43FD775E94}"/>
    <hyperlink ref="E301" r:id="rId275" xr:uid="{964A1A84-6D93-4899-AC16-C8C5496681C4}"/>
    <hyperlink ref="E302" r:id="rId276" xr:uid="{B39524C2-19EA-4F1F-AE4C-058FC0122E4F}"/>
    <hyperlink ref="E303" r:id="rId277" xr:uid="{5968B183-8A5F-44CE-A6A3-1B408F1560A8}"/>
    <hyperlink ref="E304" r:id="rId278" xr:uid="{9124738C-10D6-4277-B628-16246BD99D1F}"/>
    <hyperlink ref="E305" r:id="rId279" xr:uid="{A402BCF3-7888-44E6-8180-1C5190020A44}"/>
    <hyperlink ref="E306" r:id="rId280" xr:uid="{CF08EE88-835D-40E0-86FB-E148804FA7E5}"/>
    <hyperlink ref="E307" r:id="rId281" xr:uid="{E1983767-7140-4BDF-88DE-D1AB22A899D6}"/>
    <hyperlink ref="E308" r:id="rId282" xr:uid="{1F14025F-28CA-4D4A-BE77-6017B248883C}"/>
    <hyperlink ref="E309" r:id="rId283" xr:uid="{39D7356E-F0B4-465A-A3AD-CE1A25AF6634}"/>
    <hyperlink ref="E310" r:id="rId284" xr:uid="{A9D3086B-CD0F-45EF-B166-F7D50ED0C73E}"/>
    <hyperlink ref="E311" r:id="rId285" xr:uid="{B60EB893-EB72-446C-B12C-AAA82C854FEB}"/>
    <hyperlink ref="E312" r:id="rId286" xr:uid="{0466648B-14B2-4702-84EE-D35A2EE159EF}"/>
    <hyperlink ref="E313" r:id="rId287" xr:uid="{A00273AF-BBE9-48A4-9FCA-9F039D033661}"/>
    <hyperlink ref="E314" r:id="rId288" xr:uid="{15A96D83-1CD9-42CC-AE32-00ABE0265C58}"/>
    <hyperlink ref="E315" r:id="rId289" xr:uid="{A78E0208-AEAE-4A39-BBAE-BD8CC1F26B43}"/>
    <hyperlink ref="E316" r:id="rId290" xr:uid="{72391AD5-302C-4CA0-A745-0681D62F4248}"/>
    <hyperlink ref="E317" r:id="rId291" xr:uid="{7FB81414-4BDD-4123-9782-ED225EDC5AFC}"/>
    <hyperlink ref="E318" r:id="rId292" xr:uid="{A0754759-CBBB-42E8-8373-2C519925A058}"/>
    <hyperlink ref="E319" r:id="rId293" xr:uid="{43BB9ED0-088C-42CD-97E7-2BA158EE9730}"/>
    <hyperlink ref="E320" r:id="rId294" xr:uid="{3202EB03-F229-41AB-B27F-1B896F8F7357}"/>
    <hyperlink ref="E321" r:id="rId295" xr:uid="{27296B0A-508F-4009-B419-63255D4DA55D}"/>
    <hyperlink ref="E322" r:id="rId296" xr:uid="{EC82A5B5-722C-4608-A36A-8A6FB9794C34}"/>
    <hyperlink ref="E323" r:id="rId297" xr:uid="{8AFE1B10-AFC9-4161-A50F-9D9081A4C3BF}"/>
    <hyperlink ref="E324" r:id="rId298" xr:uid="{539F0EF8-46A6-477A-8327-159E9FA4376D}"/>
    <hyperlink ref="E325" r:id="rId299" xr:uid="{39298C79-6886-4DCE-B55D-97AF57C44D3D}"/>
    <hyperlink ref="E326" r:id="rId300" xr:uid="{AD65FEA0-0405-4B51-8185-5FA7DE937FE6}"/>
    <hyperlink ref="E327" r:id="rId301" xr:uid="{B1D982EF-5782-4226-ACF2-3445D6EB6C17}"/>
    <hyperlink ref="E328" r:id="rId302" xr:uid="{ABCB8419-557A-41D3-BE86-14AEA5E6AF51}"/>
    <hyperlink ref="E329" r:id="rId303" xr:uid="{8B58ADB3-46DD-43EC-8E71-A720451EAEFF}"/>
    <hyperlink ref="E330" r:id="rId304" xr:uid="{31147691-CB7E-476A-9F5A-EF928FF0DE9E}"/>
    <hyperlink ref="E331" r:id="rId305" xr:uid="{00BF019F-A154-4178-B2EC-AE00E60FCFE2}"/>
    <hyperlink ref="E332" r:id="rId306" xr:uid="{47BFC395-DB94-49D3-83B9-9C4D72FFC4DA}"/>
    <hyperlink ref="E333" r:id="rId307" xr:uid="{C873D5C4-80F4-43FB-87D2-6A022108C9E7}"/>
    <hyperlink ref="E334" r:id="rId308" xr:uid="{E9C73C5C-F01E-4B9A-BCE2-DACABA2E5899}"/>
    <hyperlink ref="E335" r:id="rId309" xr:uid="{DD04745D-DB09-475C-9168-80E74E85882D}"/>
    <hyperlink ref="E336" r:id="rId310" xr:uid="{007906E3-9099-43B7-AD97-8FF49A68DD4C}"/>
    <hyperlink ref="E337" r:id="rId311" xr:uid="{6E9021A9-EB5E-4F7F-972D-753DC737E9DB}"/>
    <hyperlink ref="E338" r:id="rId312" xr:uid="{CE1C0D8E-8872-4B38-8B8F-C862CD882547}"/>
    <hyperlink ref="E339" r:id="rId313" xr:uid="{F96BDD76-DD0D-4330-9341-7B5EE9F48FC7}"/>
    <hyperlink ref="E340" r:id="rId314" xr:uid="{9C3B4558-2613-497F-864B-3E9A0A780B8A}"/>
    <hyperlink ref="E341" r:id="rId315" xr:uid="{5907DC83-0267-427C-8DCE-B6BE909E447F}"/>
    <hyperlink ref="E342" r:id="rId316" xr:uid="{312A16B9-5416-4194-921B-EDBE9ADA8475}"/>
    <hyperlink ref="E343" r:id="rId317" xr:uid="{1A31E3C3-481E-41E6-B864-071CF680B54B}"/>
    <hyperlink ref="E344" r:id="rId318" xr:uid="{4ACE83F2-F84B-48E0-BACC-41E10A91AF8E}"/>
    <hyperlink ref="E345" r:id="rId319" xr:uid="{9042213A-67AD-4C14-9970-A48D2DFBE699}"/>
    <hyperlink ref="E346" r:id="rId320" xr:uid="{8E1DC743-5047-4030-ABC8-07454F2909F3}"/>
    <hyperlink ref="E347" r:id="rId321" xr:uid="{D09488D3-ACB8-4DE4-BA20-399169B7F9EE}"/>
    <hyperlink ref="E348" r:id="rId322" xr:uid="{642967DC-0E75-466D-8211-8730714FD9ED}"/>
    <hyperlink ref="E349" r:id="rId323" xr:uid="{9E27B7AE-6510-441E-B86A-164825CCD7B0}"/>
    <hyperlink ref="E350" r:id="rId324" xr:uid="{7393E0CC-3EA8-440C-A6EE-0BC62A201E08}"/>
    <hyperlink ref="E351" r:id="rId325" xr:uid="{89662F3D-FDB3-4EAA-BEE6-DA8FEB552DD5}"/>
    <hyperlink ref="E352" r:id="rId326" xr:uid="{B48D2E6F-5190-4E60-A59B-EB7874CCAE0E}"/>
    <hyperlink ref="E353" r:id="rId327" xr:uid="{9149A03F-21CB-4DAA-8A3E-ADA2B043203E}"/>
    <hyperlink ref="E354" r:id="rId328" xr:uid="{5E04D680-E7E2-4EAB-97DF-01B92D1E185F}"/>
    <hyperlink ref="E355" r:id="rId329" xr:uid="{45A9007B-ADA7-43C7-AABB-0045BFF718DC}"/>
    <hyperlink ref="E356" r:id="rId330" xr:uid="{3B71A1B2-83EC-44D2-BEEF-1E1F9A56F5C0}"/>
    <hyperlink ref="E357" r:id="rId331" xr:uid="{AF87A60E-9885-4E02-B8C5-45FB59347281}"/>
    <hyperlink ref="E358" r:id="rId332" xr:uid="{B69AD59A-5431-413E-AB9E-FB16D0FDA13F}"/>
    <hyperlink ref="E359" r:id="rId333" xr:uid="{F517CAF4-2DDE-4315-BC28-E363E12B0785}"/>
    <hyperlink ref="E360" r:id="rId334" xr:uid="{8D42572F-8768-499D-909E-42746E145C90}"/>
    <hyperlink ref="E361" r:id="rId335" xr:uid="{05D6AFF1-46AE-4EC8-A036-C735F0B05FC0}"/>
    <hyperlink ref="E362" r:id="rId336" xr:uid="{F7B68FC7-3C80-40A9-A93B-DD2B9B5B1B1F}"/>
    <hyperlink ref="E363" r:id="rId337" xr:uid="{3564DE82-F03D-4808-BA49-7A1C435CABB9}"/>
    <hyperlink ref="E364" r:id="rId338" xr:uid="{EA78F1F3-BFAA-48A5-B805-D98CC704C424}"/>
    <hyperlink ref="E365" r:id="rId339" xr:uid="{5C7E8B71-2FC1-47E8-B03D-6C62497D3D55}"/>
    <hyperlink ref="E366" r:id="rId340" xr:uid="{4970CDF0-C16A-44AC-801D-43065A88BBFC}"/>
    <hyperlink ref="E367" r:id="rId341" xr:uid="{47ECCCBE-5752-4D4A-91DF-9D49D02699E0}"/>
    <hyperlink ref="E368" r:id="rId342" xr:uid="{BDC2F935-EC4E-43AF-A9C0-A35DDCACE7F4}"/>
    <hyperlink ref="E369" r:id="rId343" xr:uid="{45A71ADE-E952-49CF-8762-AEE68FAECE79}"/>
    <hyperlink ref="E370" r:id="rId344" xr:uid="{1FC33EF8-97FE-4A17-AD6D-46BF3E9551E3}"/>
    <hyperlink ref="E371" r:id="rId345" xr:uid="{80F6A18D-4712-497C-978D-F25A9E0B6474}"/>
    <hyperlink ref="E372" r:id="rId346" xr:uid="{8C4F24E6-84BE-4622-B1AD-630F7DB0A9DD}"/>
    <hyperlink ref="E373" r:id="rId347" xr:uid="{841BFC66-6138-48BA-A31C-EDBD3AC48D5A}"/>
    <hyperlink ref="E374" r:id="rId348" xr:uid="{8CF18013-950E-4592-951C-940D195DC8BA}"/>
    <hyperlink ref="E375" r:id="rId349" xr:uid="{3FE52B3A-06AA-409D-A207-42325F1C0803}"/>
    <hyperlink ref="E376" r:id="rId350" xr:uid="{3C514ACF-4D30-4C2D-9AFF-025E376D2BF0}"/>
    <hyperlink ref="E377" r:id="rId351" xr:uid="{80AFA23B-3663-4527-A7AD-05F9C1545D43}"/>
    <hyperlink ref="E378" r:id="rId352" xr:uid="{7B8CCB21-A4F9-4E4E-9776-D3ABC5B5D1D5}"/>
    <hyperlink ref="E379" r:id="rId353" xr:uid="{92FBE2DF-E97C-4901-8C1F-8FDF1910BBC6}"/>
    <hyperlink ref="E380" r:id="rId354" xr:uid="{86A49E08-2582-485F-8479-19BCFEE0F35D}"/>
    <hyperlink ref="E381" r:id="rId355" xr:uid="{FC72EB95-CB2C-4089-A9D4-F98426F04EAA}"/>
    <hyperlink ref="E382" r:id="rId356" xr:uid="{267945AC-FAC7-424A-9F47-9D6196FC7D11}"/>
    <hyperlink ref="E383" r:id="rId357" xr:uid="{4C256278-1722-41D2-9234-61619E9FAAD7}"/>
    <hyperlink ref="E384" r:id="rId358" xr:uid="{87A52D89-5D85-4B8C-A996-CE5A7CFCAA03}"/>
    <hyperlink ref="E385" r:id="rId359" xr:uid="{518A642E-AB15-4F09-B3DA-6B1E3041EF7D}"/>
    <hyperlink ref="E386" r:id="rId360" xr:uid="{111D0AAB-7909-4493-A78F-80AB4F807430}"/>
    <hyperlink ref="E387" r:id="rId361" xr:uid="{F4D17077-508B-4BD0-9A22-5DCC22CEFE67}"/>
    <hyperlink ref="E388" r:id="rId362" xr:uid="{7659418E-5667-4EBD-803D-2C727B6C100A}"/>
    <hyperlink ref="E389" r:id="rId363" xr:uid="{0C230D28-0EDC-43FD-8BA0-B83967771BDE}"/>
    <hyperlink ref="E390" r:id="rId364" xr:uid="{8993C0D9-AD16-489A-9481-27AC8DA50218}"/>
    <hyperlink ref="E391" r:id="rId365" xr:uid="{0A3C4773-926B-4760-99DC-301E8A0841FF}"/>
    <hyperlink ref="E392" r:id="rId366" xr:uid="{6DCAFED4-7C5D-402B-8F92-048826E21412}"/>
    <hyperlink ref="E393" r:id="rId367" xr:uid="{4F7E224D-B4AC-4126-A942-DBAD944C75AE}"/>
    <hyperlink ref="E394" r:id="rId368" xr:uid="{62F2D8E4-B03D-44B9-AA45-C8DD5EE9F469}"/>
    <hyperlink ref="E395" r:id="rId369" xr:uid="{E8C14EE7-D8B0-41ED-87B9-74AFA45D408D}"/>
    <hyperlink ref="E396" r:id="rId370" xr:uid="{DB02BC8C-A0A0-40B8-870B-9FECAC0B10C9}"/>
    <hyperlink ref="E397" r:id="rId371" xr:uid="{8D912120-7F62-4107-8F80-854F9A2FB9CB}"/>
    <hyperlink ref="E398" r:id="rId372" xr:uid="{0207667E-4BAB-4E8C-B490-F6D4728C9AA3}"/>
    <hyperlink ref="E399" r:id="rId373" xr:uid="{BBB5A68D-E261-4982-BDDD-7B122C81D562}"/>
    <hyperlink ref="E400" r:id="rId374" xr:uid="{33CB0DDD-88CF-4C08-95F0-E97775CD07B3}"/>
    <hyperlink ref="E401" r:id="rId375" xr:uid="{495A144C-53EC-4C4F-AB0A-29F294611CF2}"/>
    <hyperlink ref="E402" r:id="rId376" xr:uid="{1C05661E-C586-4831-9C1B-21B2DEB763C6}"/>
    <hyperlink ref="E403" r:id="rId377" xr:uid="{33C1D8D3-A24A-4973-9F9C-BF9EF43FD0DC}"/>
    <hyperlink ref="E404" r:id="rId378" xr:uid="{753ADB86-5F10-4DB4-A37B-0E3CE435AE03}"/>
    <hyperlink ref="E405" r:id="rId379" xr:uid="{5189D2BA-B82F-4D4A-862C-EBC3F1DAB623}"/>
    <hyperlink ref="E406" r:id="rId380" xr:uid="{3CA72971-7C5B-4C13-AAF0-202E0A883DE1}"/>
    <hyperlink ref="E407" r:id="rId381" xr:uid="{66A5ECB6-C39B-43A8-922A-2F209A637F2A}"/>
    <hyperlink ref="E408" r:id="rId382" xr:uid="{716A4922-2B99-4EA9-84B9-0FB49F37DDF4}"/>
    <hyperlink ref="E409" r:id="rId383" xr:uid="{7238454D-1977-4C86-A72E-2969D8555899}"/>
    <hyperlink ref="E410" r:id="rId384" xr:uid="{BF3D3EF2-AFD8-4898-9BCC-E4BE2283F521}"/>
    <hyperlink ref="E411" r:id="rId385" xr:uid="{2E7C2420-02FB-4F53-93A3-1FB0AB4BC7B5}"/>
    <hyperlink ref="E412" r:id="rId386" xr:uid="{38155E1E-4513-4F87-BA1A-67D226AAEA2A}"/>
    <hyperlink ref="E413" r:id="rId387" xr:uid="{3ADD89A9-60DE-4A20-BBDE-93C6D97AC84D}"/>
    <hyperlink ref="E414" r:id="rId388" xr:uid="{319B58E1-EF65-46F0-8FB1-909C7C418311}"/>
    <hyperlink ref="E415" r:id="rId389" xr:uid="{D22A67F4-BE22-4AFC-89C8-5D04443FA7D7}"/>
    <hyperlink ref="E416" r:id="rId390" xr:uid="{0D7AA384-6FE3-45B3-BE2D-F37A1D6FC5F2}"/>
    <hyperlink ref="E417" r:id="rId391" xr:uid="{76007DB6-8B33-4AFA-ACB3-DB204F987322}"/>
    <hyperlink ref="E418" r:id="rId392" xr:uid="{D0EF5CDB-BB8E-458B-8203-FDB7C6A1145B}"/>
    <hyperlink ref="E419" r:id="rId393" xr:uid="{71D4B5FD-0D84-431B-B812-300F267BE2E0}"/>
    <hyperlink ref="E420" r:id="rId394" xr:uid="{FB424EC7-152A-4B62-A85D-56071CFFBFEC}"/>
    <hyperlink ref="E421" r:id="rId395" xr:uid="{C3B11671-BDC7-442B-9604-C86DA7B421B9}"/>
    <hyperlink ref="E422" r:id="rId396" xr:uid="{41E36162-0877-4A95-9CAF-93599C751D20}"/>
    <hyperlink ref="E423" r:id="rId397" xr:uid="{0232EE54-AE6C-4B64-9B18-8EA2F1EEA796}"/>
    <hyperlink ref="E424" r:id="rId398" xr:uid="{8C60A80E-317D-47D1-B5E3-15E24B413DB2}"/>
    <hyperlink ref="E425" r:id="rId399" xr:uid="{81E0EB68-7EB6-45D7-A3B4-4D532FB29B5D}"/>
    <hyperlink ref="E426" r:id="rId400" xr:uid="{587AD557-07C1-43D4-9A42-B084128B7332}"/>
    <hyperlink ref="E427" r:id="rId401" xr:uid="{14353900-625E-423F-AD20-9AE12635D6FB}"/>
    <hyperlink ref="E428" r:id="rId402" xr:uid="{134E249F-17C9-4982-91E9-8C1769568B95}"/>
    <hyperlink ref="E429" r:id="rId403" xr:uid="{1177E77A-9253-4918-8B82-AA89F7F9A074}"/>
    <hyperlink ref="E430" r:id="rId404" xr:uid="{1C0C7B06-10B8-43AE-AD45-5BA539B878E4}"/>
    <hyperlink ref="E431" r:id="rId405" xr:uid="{BB2D590A-97BF-40AD-AE30-89936B48EA93}"/>
    <hyperlink ref="E432" r:id="rId406" xr:uid="{7FD55B73-3E05-443E-AA86-C92E3A818DAE}"/>
    <hyperlink ref="E433" r:id="rId407" xr:uid="{80BD12D4-4019-48D4-86B7-CD1A4D3AF153}"/>
    <hyperlink ref="E434" r:id="rId408" xr:uid="{2FFE0853-E1CB-49E9-B087-A60DDE6816D4}"/>
    <hyperlink ref="E435" r:id="rId409" xr:uid="{DD603227-C624-4E50-B315-6A028AE91890}"/>
    <hyperlink ref="E436" r:id="rId410" xr:uid="{79F29466-D4F0-4881-9BBA-AAAD0C892433}"/>
    <hyperlink ref="E437" r:id="rId411" xr:uid="{C4BD11F3-8DDC-4A1A-8DC9-562F04DC0A06}"/>
    <hyperlink ref="E438" r:id="rId412" xr:uid="{A755FCB4-56F8-4B03-9824-9693B7FE76E5}"/>
    <hyperlink ref="E439" r:id="rId413" xr:uid="{53647EC2-2981-4A05-86A8-3B0873F8AD07}"/>
    <hyperlink ref="E440" r:id="rId414" xr:uid="{BBF257B5-5340-47A7-A2B4-C34C9192C4DA}"/>
    <hyperlink ref="E441" r:id="rId415" xr:uid="{A2AA25C5-AE3A-43C3-A0EC-A473F750A8DC}"/>
    <hyperlink ref="E442" r:id="rId416" xr:uid="{51399415-8C7B-42BC-A8D1-EF672C1FF2BD}"/>
    <hyperlink ref="E443" r:id="rId417" xr:uid="{E5151181-A925-4E0E-A564-B2DD94C0EF45}"/>
    <hyperlink ref="E444" r:id="rId418" xr:uid="{09533B19-169B-44E2-865F-F5A8BD191CF4}"/>
    <hyperlink ref="E445" r:id="rId419" xr:uid="{8F35D8F1-846B-4451-A42E-6BE29ED79BC5}"/>
    <hyperlink ref="E446" r:id="rId420" xr:uid="{6A936B81-E568-4C91-9727-3D938F55331D}"/>
    <hyperlink ref="E447" r:id="rId421" xr:uid="{2A786E02-0C60-4DAD-9465-2A4132FA6479}"/>
    <hyperlink ref="E448" r:id="rId422" xr:uid="{3B73C409-D100-457A-868D-E2812AC80414}"/>
    <hyperlink ref="E449" r:id="rId423" xr:uid="{9E7F2168-A965-402E-A7C9-7C1BC0033138}"/>
    <hyperlink ref="E450" r:id="rId424" xr:uid="{18482A0F-8282-4EE4-9CBA-1DA815CE4BD4}"/>
    <hyperlink ref="E451" r:id="rId425" xr:uid="{C76E66E1-AC09-418E-96F7-0B6CBDD522A6}"/>
    <hyperlink ref="E452" r:id="rId426" xr:uid="{C0F75BD1-08C2-4688-87EA-D5948812EE95}"/>
    <hyperlink ref="E453" r:id="rId427" xr:uid="{6F04548C-C2F4-4886-A7B4-1FC1AD61F981}"/>
    <hyperlink ref="E454" r:id="rId428" xr:uid="{7D818C31-FD0F-490E-B961-0401FDC741BE}"/>
    <hyperlink ref="E455" r:id="rId429" xr:uid="{485605AF-170D-4930-90F2-5665AD82B47B}"/>
    <hyperlink ref="E456" r:id="rId430" xr:uid="{F55959A1-2E93-457C-BCE0-B82BF22743E3}"/>
    <hyperlink ref="E457" r:id="rId431" xr:uid="{4FAC6B05-35D7-4311-9673-D636389BCCD2}"/>
    <hyperlink ref="E458" r:id="rId432" xr:uid="{89B95359-8B79-40D0-A010-C3E25F896E0E}"/>
    <hyperlink ref="E459" r:id="rId433" xr:uid="{3F82F965-4D4C-4137-B1A2-4B3CFF512218}"/>
    <hyperlink ref="E460" r:id="rId434" xr:uid="{ED7E37AA-D27E-47BA-99A6-802A611F8787}"/>
    <hyperlink ref="E461" r:id="rId435" xr:uid="{DB0FC788-8CA9-4D4C-A8B1-DB9C4836D59A}"/>
    <hyperlink ref="E462" r:id="rId436" xr:uid="{C3ED22B7-6B8C-4BAD-8AFD-309D47EE8D7E}"/>
    <hyperlink ref="E463" r:id="rId437" xr:uid="{EF747C7A-8617-4130-8DA6-C3AD9EA87CF7}"/>
    <hyperlink ref="E464" r:id="rId438" xr:uid="{C333B999-1F3E-439F-B3ED-A37718A605EF}"/>
    <hyperlink ref="E465" r:id="rId439" xr:uid="{F24088E2-77DD-4D35-B578-269A593B1E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F00C-9328-496F-BDA8-378CE0D5EF6B}">
  <dimension ref="A1:AY21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9.140625" defaultRowHeight="15.75" x14ac:dyDescent="0.25"/>
  <cols>
    <col min="1" max="1" width="23.85546875" style="20" customWidth="1"/>
    <col min="2" max="2" width="15.140625" style="71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73" customWidth="1"/>
    <col min="7" max="7" width="33.42578125" style="49" customWidth="1"/>
    <col min="8" max="8" width="19.140625" style="72" customWidth="1"/>
    <col min="9" max="9" width="38.28515625" style="20" customWidth="1"/>
    <col min="10" max="13" width="22.140625" style="49" customWidth="1"/>
    <col min="14" max="14" width="19.140625" style="49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4" customWidth="1"/>
    <col min="26" max="26" width="15.5703125" style="20" customWidth="1"/>
    <col min="27" max="27" width="15.5703125" style="72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49" customWidth="1"/>
    <col min="37" max="37" width="14.85546875" style="49" customWidth="1"/>
    <col min="38" max="38" width="15.42578125" style="20" customWidth="1"/>
    <col min="39" max="39" width="14.85546875" style="74" customWidth="1"/>
    <col min="40" max="40" width="16.28515625" style="72" customWidth="1"/>
    <col min="41" max="41" width="30.42578125" style="72" customWidth="1"/>
    <col min="42" max="42" width="19" style="49" customWidth="1"/>
    <col min="43" max="43" width="16.28515625" style="49" customWidth="1"/>
    <col min="44" max="44" width="11" style="20" customWidth="1"/>
    <col min="45" max="45" width="14.7109375" style="50" customWidth="1"/>
    <col min="46" max="46" width="12.5703125" style="20" customWidth="1"/>
    <col min="47" max="47" width="13.85546875" style="72" customWidth="1"/>
    <col min="48" max="48" width="8.5703125" style="74" customWidth="1"/>
    <col min="49" max="49" width="7.7109375" style="74" customWidth="1"/>
    <col min="50" max="50" width="18.42578125" style="49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78.75" customHeight="1" x14ac:dyDescent="0.25">
      <c r="A3" s="35" t="s">
        <v>49</v>
      </c>
      <c r="B3" s="36">
        <v>44580</v>
      </c>
      <c r="C3" s="37">
        <v>1416</v>
      </c>
      <c r="D3" s="35" t="s">
        <v>50</v>
      </c>
      <c r="E3" s="39" t="s">
        <v>51</v>
      </c>
      <c r="F3" s="36">
        <v>44617</v>
      </c>
      <c r="G3" s="37" t="s">
        <v>52</v>
      </c>
      <c r="H3" s="40" t="s">
        <v>53</v>
      </c>
      <c r="I3" s="40" t="s">
        <v>54</v>
      </c>
      <c r="J3" s="41">
        <v>765023068.5</v>
      </c>
      <c r="K3" s="41">
        <v>255007689.5</v>
      </c>
      <c r="L3" s="41">
        <v>255007689.5</v>
      </c>
      <c r="M3" s="41">
        <v>255007689.5</v>
      </c>
      <c r="N3" s="42">
        <v>0</v>
      </c>
      <c r="O3" s="43">
        <v>0</v>
      </c>
      <c r="P3" s="41">
        <v>765023068.5</v>
      </c>
      <c r="Q3" s="43">
        <v>44970673.24000001</v>
      </c>
      <c r="R3" s="41">
        <v>255007689.5</v>
      </c>
      <c r="S3" s="30">
        <v>299978362.74000001</v>
      </c>
      <c r="T3" s="30">
        <v>809993741.74000001</v>
      </c>
      <c r="U3" s="30">
        <v>295.37</v>
      </c>
      <c r="V3" s="41">
        <v>295.37</v>
      </c>
      <c r="W3" s="41">
        <v>14768.5</v>
      </c>
      <c r="X3" s="41">
        <v>2742302</v>
      </c>
      <c r="Y3" s="41"/>
      <c r="Z3" s="41"/>
      <c r="AA3" s="41">
        <v>1015602</v>
      </c>
      <c r="AB3" s="41">
        <v>22300</v>
      </c>
      <c r="AC3" s="41">
        <v>6586751</v>
      </c>
      <c r="AD3" s="41">
        <v>993302</v>
      </c>
      <c r="AE3" s="41">
        <v>293391611.74000001</v>
      </c>
      <c r="AF3" s="42">
        <v>54846.04</v>
      </c>
      <c r="AG3" s="45">
        <v>54847</v>
      </c>
      <c r="AH3" s="36">
        <v>44682</v>
      </c>
      <c r="AI3" s="36">
        <v>45047</v>
      </c>
      <c r="AJ3" s="36">
        <v>45413</v>
      </c>
      <c r="AK3" s="36">
        <v>44696</v>
      </c>
      <c r="AL3" s="36">
        <v>45061</v>
      </c>
      <c r="AM3" s="46">
        <v>45427</v>
      </c>
      <c r="AN3" s="40" t="s">
        <v>55</v>
      </c>
      <c r="AO3" s="40" t="s">
        <v>56</v>
      </c>
      <c r="AP3" s="40" t="s">
        <v>57</v>
      </c>
      <c r="AQ3" s="40" t="s">
        <v>58</v>
      </c>
      <c r="AR3" s="37">
        <v>0</v>
      </c>
      <c r="AS3" s="37">
        <v>100</v>
      </c>
      <c r="AT3" s="37" t="s">
        <v>59</v>
      </c>
      <c r="AU3" s="47">
        <v>50</v>
      </c>
      <c r="AV3" s="37" t="s">
        <v>60</v>
      </c>
      <c r="AW3" s="37">
        <v>10</v>
      </c>
      <c r="AX3" s="30">
        <v>76502306.849999994</v>
      </c>
      <c r="AY3" s="40" t="s">
        <v>61</v>
      </c>
    </row>
    <row r="4" spans="1:51" ht="78.75" customHeight="1" x14ac:dyDescent="0.25">
      <c r="A4" s="35" t="s">
        <v>62</v>
      </c>
      <c r="B4" s="36">
        <v>44580</v>
      </c>
      <c r="C4" s="37">
        <v>1416</v>
      </c>
      <c r="D4" s="35" t="s">
        <v>63</v>
      </c>
      <c r="E4" s="39" t="s">
        <v>64</v>
      </c>
      <c r="F4" s="36">
        <v>44617</v>
      </c>
      <c r="G4" s="37" t="s">
        <v>65</v>
      </c>
      <c r="H4" s="40" t="s">
        <v>53</v>
      </c>
      <c r="I4" s="40" t="s">
        <v>66</v>
      </c>
      <c r="J4" s="41">
        <v>659336242.5</v>
      </c>
      <c r="K4" s="41">
        <v>219778747.5</v>
      </c>
      <c r="L4" s="41">
        <v>219778747.5</v>
      </c>
      <c r="M4" s="41">
        <v>219778747.5</v>
      </c>
      <c r="N4" s="42">
        <v>0</v>
      </c>
      <c r="O4" s="43">
        <v>0</v>
      </c>
      <c r="P4" s="41">
        <v>659336242.5</v>
      </c>
      <c r="Q4" s="43">
        <v>22382694.450000048</v>
      </c>
      <c r="R4" s="41">
        <v>219778747.5</v>
      </c>
      <c r="S4" s="30">
        <v>242161441.94999999</v>
      </c>
      <c r="T4" s="30">
        <v>681718936.95000005</v>
      </c>
      <c r="U4" s="30">
        <v>27.55</v>
      </c>
      <c r="V4" s="41">
        <v>27.55</v>
      </c>
      <c r="W4" s="41">
        <v>1377.5</v>
      </c>
      <c r="X4" s="41">
        <v>24744789</v>
      </c>
      <c r="Y4" s="41"/>
      <c r="Z4" s="41"/>
      <c r="AA4" s="41">
        <v>8789889</v>
      </c>
      <c r="AB4" s="41">
        <v>168850</v>
      </c>
      <c r="AC4" s="41">
        <v>4651817.5</v>
      </c>
      <c r="AD4" s="41">
        <v>8621039</v>
      </c>
      <c r="AE4" s="41">
        <v>237509624.45000002</v>
      </c>
      <c r="AF4" s="42">
        <v>494895.78</v>
      </c>
      <c r="AG4" s="45">
        <v>494896</v>
      </c>
      <c r="AH4" s="36">
        <v>44682</v>
      </c>
      <c r="AI4" s="36">
        <v>45047</v>
      </c>
      <c r="AJ4" s="36">
        <v>45413</v>
      </c>
      <c r="AK4" s="36">
        <v>44696</v>
      </c>
      <c r="AL4" s="36">
        <v>45061</v>
      </c>
      <c r="AM4" s="46">
        <v>45427</v>
      </c>
      <c r="AN4" s="40" t="s">
        <v>55</v>
      </c>
      <c r="AO4" s="40" t="s">
        <v>56</v>
      </c>
      <c r="AP4" s="40" t="s">
        <v>57</v>
      </c>
      <c r="AQ4" s="40" t="s">
        <v>58</v>
      </c>
      <c r="AR4" s="37">
        <v>0</v>
      </c>
      <c r="AS4" s="37">
        <v>100</v>
      </c>
      <c r="AT4" s="37" t="s">
        <v>59</v>
      </c>
      <c r="AU4" s="47">
        <v>50</v>
      </c>
      <c r="AV4" s="37" t="s">
        <v>60</v>
      </c>
      <c r="AW4" s="37">
        <v>10</v>
      </c>
      <c r="AX4" s="30">
        <v>65933624.25</v>
      </c>
      <c r="AY4" s="40" t="s">
        <v>61</v>
      </c>
    </row>
    <row r="5" spans="1:51" ht="78.75" customHeight="1" x14ac:dyDescent="0.25">
      <c r="A5" s="35" t="s">
        <v>67</v>
      </c>
      <c r="B5" s="36">
        <v>44580</v>
      </c>
      <c r="C5" s="37">
        <v>1416</v>
      </c>
      <c r="D5" s="35" t="s">
        <v>68</v>
      </c>
      <c r="E5" s="39" t="s">
        <v>69</v>
      </c>
      <c r="F5" s="36">
        <v>44616</v>
      </c>
      <c r="G5" s="35" t="s">
        <v>70</v>
      </c>
      <c r="H5" s="40" t="s">
        <v>53</v>
      </c>
      <c r="I5" s="40" t="s">
        <v>71</v>
      </c>
      <c r="J5" s="41">
        <v>2656156119</v>
      </c>
      <c r="K5" s="41">
        <v>885385373</v>
      </c>
      <c r="L5" s="41">
        <v>885385373</v>
      </c>
      <c r="M5" s="41">
        <v>885385373</v>
      </c>
      <c r="N5" s="42">
        <v>0</v>
      </c>
      <c r="O5" s="43">
        <v>0</v>
      </c>
      <c r="P5" s="41">
        <v>2656156119</v>
      </c>
      <c r="Q5" s="43">
        <v>256404931.71000004</v>
      </c>
      <c r="R5" s="41">
        <v>1141790304.71</v>
      </c>
      <c r="S5" s="30">
        <v>1141790304.71</v>
      </c>
      <c r="T5" s="30">
        <v>2912561050.71</v>
      </c>
      <c r="U5" s="30">
        <v>59.81</v>
      </c>
      <c r="V5" s="41">
        <v>59.81</v>
      </c>
      <c r="W5" s="41">
        <v>2990.5</v>
      </c>
      <c r="X5" s="41">
        <v>48696891</v>
      </c>
      <c r="Y5" s="41"/>
      <c r="Z5" s="41"/>
      <c r="AA5" s="41">
        <v>19090291</v>
      </c>
      <c r="AB5" s="41">
        <v>345100</v>
      </c>
      <c r="AC5" s="41">
        <v>20640431</v>
      </c>
      <c r="AD5" s="41">
        <v>18745191</v>
      </c>
      <c r="AE5" s="41">
        <v>1121149873.71</v>
      </c>
      <c r="AF5" s="41">
        <v>23.44688297883329</v>
      </c>
      <c r="AG5" s="41">
        <v>24</v>
      </c>
      <c r="AH5" s="36">
        <v>44682</v>
      </c>
      <c r="AI5" s="36">
        <v>45047</v>
      </c>
      <c r="AJ5" s="36">
        <v>45413</v>
      </c>
      <c r="AK5" s="36">
        <v>44701</v>
      </c>
      <c r="AL5" s="36">
        <v>45066</v>
      </c>
      <c r="AM5" s="46">
        <v>45432</v>
      </c>
      <c r="AN5" s="40" t="s">
        <v>55</v>
      </c>
      <c r="AO5" s="40" t="s">
        <v>56</v>
      </c>
      <c r="AP5" s="40" t="s">
        <v>57</v>
      </c>
      <c r="AQ5" s="40" t="s">
        <v>58</v>
      </c>
      <c r="AR5" s="37">
        <v>0</v>
      </c>
      <c r="AS5" s="37">
        <v>100</v>
      </c>
      <c r="AT5" s="37" t="s">
        <v>59</v>
      </c>
      <c r="AU5" s="50">
        <v>50</v>
      </c>
      <c r="AV5" s="37" t="s">
        <v>60</v>
      </c>
      <c r="AW5" s="37">
        <v>10</v>
      </c>
      <c r="AX5" s="30">
        <v>265615611.90000001</v>
      </c>
      <c r="AY5" s="40" t="s">
        <v>61</v>
      </c>
    </row>
    <row r="6" spans="1:51" ht="78.75" customHeight="1" x14ac:dyDescent="0.25">
      <c r="A6" s="35" t="s">
        <v>72</v>
      </c>
      <c r="B6" s="36">
        <v>44670</v>
      </c>
      <c r="C6" s="37">
        <v>1416</v>
      </c>
      <c r="D6" s="35" t="s">
        <v>73</v>
      </c>
      <c r="E6" s="39" t="s">
        <v>74</v>
      </c>
      <c r="F6" s="36">
        <v>44707</v>
      </c>
      <c r="G6" s="35" t="s">
        <v>75</v>
      </c>
      <c r="H6" s="40" t="s">
        <v>53</v>
      </c>
      <c r="I6" s="40" t="s">
        <v>76</v>
      </c>
      <c r="J6" s="41">
        <v>1153585170</v>
      </c>
      <c r="K6" s="41">
        <v>747348732</v>
      </c>
      <c r="L6" s="41">
        <v>406236438</v>
      </c>
      <c r="M6" s="41">
        <v>0</v>
      </c>
      <c r="N6" s="42">
        <v>0</v>
      </c>
      <c r="O6" s="43">
        <v>0</v>
      </c>
      <c r="P6" s="41">
        <v>1153585170</v>
      </c>
      <c r="Q6" s="43">
        <v>0</v>
      </c>
      <c r="R6" s="30">
        <v>406236438</v>
      </c>
      <c r="S6" s="30">
        <v>752311989</v>
      </c>
      <c r="T6" s="30">
        <v>1499660721</v>
      </c>
      <c r="U6" s="30">
        <v>647.1</v>
      </c>
      <c r="V6" s="41">
        <v>647.1</v>
      </c>
      <c r="W6" s="41">
        <v>6471</v>
      </c>
      <c r="X6" s="41">
        <v>2317510</v>
      </c>
      <c r="Y6" s="41"/>
      <c r="Z6" s="41"/>
      <c r="AA6" s="41">
        <v>1162590</v>
      </c>
      <c r="AB6" s="41">
        <v>520</v>
      </c>
      <c r="AC6" s="41">
        <v>336492</v>
      </c>
      <c r="AD6" s="41">
        <v>1162070</v>
      </c>
      <c r="AE6" s="41">
        <v>751975497</v>
      </c>
      <c r="AF6" s="41">
        <v>178270</v>
      </c>
      <c r="AG6" s="41">
        <v>178270</v>
      </c>
      <c r="AH6" s="36">
        <v>44936</v>
      </c>
      <c r="AI6" s="36">
        <v>44986</v>
      </c>
      <c r="AJ6" s="36">
        <v>45352</v>
      </c>
      <c r="AK6" s="36">
        <v>44951</v>
      </c>
      <c r="AL6" s="36">
        <v>45000</v>
      </c>
      <c r="AM6" s="46">
        <v>45383</v>
      </c>
      <c r="AN6" s="40" t="s">
        <v>77</v>
      </c>
      <c r="AO6" s="40" t="s">
        <v>78</v>
      </c>
      <c r="AP6" s="40" t="s">
        <v>79</v>
      </c>
      <c r="AQ6" s="40" t="s">
        <v>80</v>
      </c>
      <c r="AR6" s="37">
        <v>100</v>
      </c>
      <c r="AS6" s="37">
        <v>0</v>
      </c>
      <c r="AT6" s="37" t="s">
        <v>81</v>
      </c>
      <c r="AU6" s="47">
        <v>10</v>
      </c>
      <c r="AV6" s="37" t="s">
        <v>60</v>
      </c>
      <c r="AW6" s="37">
        <v>10</v>
      </c>
      <c r="AX6" s="30">
        <v>115358517</v>
      </c>
      <c r="AY6" s="40" t="s">
        <v>61</v>
      </c>
    </row>
    <row r="7" spans="1:51" ht="78.75" customHeight="1" x14ac:dyDescent="0.25">
      <c r="A7" s="35" t="s">
        <v>82</v>
      </c>
      <c r="B7" s="36">
        <v>44671</v>
      </c>
      <c r="C7" s="37">
        <v>1416</v>
      </c>
      <c r="D7" s="35" t="s">
        <v>83</v>
      </c>
      <c r="E7" s="39" t="s">
        <v>84</v>
      </c>
      <c r="F7" s="36">
        <v>44697</v>
      </c>
      <c r="G7" s="37" t="s">
        <v>85</v>
      </c>
      <c r="H7" s="40" t="s">
        <v>86</v>
      </c>
      <c r="I7" s="40" t="s">
        <v>87</v>
      </c>
      <c r="J7" s="41">
        <v>90177300</v>
      </c>
      <c r="K7" s="41" t="s">
        <v>88</v>
      </c>
      <c r="L7" s="41">
        <v>30059100</v>
      </c>
      <c r="M7" s="41">
        <v>0</v>
      </c>
      <c r="N7" s="42">
        <v>0</v>
      </c>
      <c r="O7" s="43">
        <v>0</v>
      </c>
      <c r="P7" s="41">
        <v>90177300</v>
      </c>
      <c r="Q7" s="43">
        <v>0</v>
      </c>
      <c r="R7" s="41">
        <v>30059100</v>
      </c>
      <c r="S7" s="41">
        <v>57112290</v>
      </c>
      <c r="T7" s="30">
        <v>117230490</v>
      </c>
      <c r="U7" s="30">
        <v>12.37</v>
      </c>
      <c r="V7" s="41">
        <v>12.37</v>
      </c>
      <c r="W7" s="41">
        <v>18555</v>
      </c>
      <c r="X7" s="41">
        <v>9477000</v>
      </c>
      <c r="Y7" s="41"/>
      <c r="Z7" s="41"/>
      <c r="AA7" s="41">
        <v>4617000</v>
      </c>
      <c r="AB7" s="41">
        <v>0</v>
      </c>
      <c r="AC7" s="41">
        <v>0</v>
      </c>
      <c r="AD7" s="41">
        <v>4617000</v>
      </c>
      <c r="AE7" s="41">
        <v>57112290</v>
      </c>
      <c r="AF7" s="41">
        <v>4860</v>
      </c>
      <c r="AG7" s="41">
        <v>4860</v>
      </c>
      <c r="AH7" s="36">
        <v>44936</v>
      </c>
      <c r="AI7" s="36">
        <v>44986</v>
      </c>
      <c r="AJ7" s="36">
        <v>45352</v>
      </c>
      <c r="AK7" s="36">
        <v>44951</v>
      </c>
      <c r="AL7" s="36">
        <v>45000</v>
      </c>
      <c r="AM7" s="46">
        <v>45383</v>
      </c>
      <c r="AN7" s="40" t="s">
        <v>89</v>
      </c>
      <c r="AO7" s="40" t="s">
        <v>90</v>
      </c>
      <c r="AP7" s="40" t="s">
        <v>91</v>
      </c>
      <c r="AQ7" s="40" t="s">
        <v>92</v>
      </c>
      <c r="AR7" s="37">
        <v>0</v>
      </c>
      <c r="AS7" s="37">
        <v>100</v>
      </c>
      <c r="AT7" s="37" t="s">
        <v>93</v>
      </c>
      <c r="AU7" s="47">
        <v>1500</v>
      </c>
      <c r="AV7" s="37" t="s">
        <v>94</v>
      </c>
      <c r="AW7" s="37">
        <v>10</v>
      </c>
      <c r="AX7" s="30">
        <v>9017730</v>
      </c>
      <c r="AY7" s="40" t="s">
        <v>95</v>
      </c>
    </row>
    <row r="8" spans="1:51" ht="78.75" customHeight="1" x14ac:dyDescent="0.25">
      <c r="A8" s="35" t="s">
        <v>96</v>
      </c>
      <c r="B8" s="36">
        <v>44671</v>
      </c>
      <c r="C8" s="37">
        <v>1416</v>
      </c>
      <c r="D8" s="35" t="s">
        <v>97</v>
      </c>
      <c r="E8" s="39" t="s">
        <v>98</v>
      </c>
      <c r="F8" s="36">
        <v>44697</v>
      </c>
      <c r="G8" s="37" t="s">
        <v>99</v>
      </c>
      <c r="H8" s="40" t="s">
        <v>86</v>
      </c>
      <c r="I8" s="40" t="s">
        <v>100</v>
      </c>
      <c r="J8" s="41">
        <v>39485040</v>
      </c>
      <c r="K8" s="41">
        <v>26323360</v>
      </c>
      <c r="L8" s="41">
        <v>13161680</v>
      </c>
      <c r="M8" s="41">
        <v>0</v>
      </c>
      <c r="N8" s="42">
        <v>0</v>
      </c>
      <c r="O8" s="43">
        <v>0</v>
      </c>
      <c r="P8" s="41">
        <v>39485040</v>
      </c>
      <c r="Q8" s="43">
        <v>0</v>
      </c>
      <c r="R8" s="41">
        <v>13161680</v>
      </c>
      <c r="S8" s="30">
        <v>25005955</v>
      </c>
      <c r="T8" s="30">
        <v>51329315</v>
      </c>
      <c r="U8" s="30">
        <v>12.37</v>
      </c>
      <c r="V8" s="41">
        <v>12.37</v>
      </c>
      <c r="W8" s="41">
        <v>6185</v>
      </c>
      <c r="X8" s="41">
        <v>4149500</v>
      </c>
      <c r="Y8" s="41"/>
      <c r="Z8" s="41"/>
      <c r="AA8" s="41">
        <v>2021500</v>
      </c>
      <c r="AB8" s="41">
        <v>0</v>
      </c>
      <c r="AC8" s="41">
        <v>0</v>
      </c>
      <c r="AD8" s="41">
        <v>2021500</v>
      </c>
      <c r="AE8" s="41">
        <v>25005955</v>
      </c>
      <c r="AF8" s="41">
        <v>6384</v>
      </c>
      <c r="AG8" s="41">
        <v>6384</v>
      </c>
      <c r="AH8" s="36">
        <v>44936</v>
      </c>
      <c r="AI8" s="36">
        <v>44986</v>
      </c>
      <c r="AJ8" s="36">
        <v>45352</v>
      </c>
      <c r="AK8" s="36">
        <v>44941</v>
      </c>
      <c r="AL8" s="36">
        <v>45000</v>
      </c>
      <c r="AM8" s="46">
        <v>45383</v>
      </c>
      <c r="AN8" s="40" t="s">
        <v>89</v>
      </c>
      <c r="AO8" s="40" t="s">
        <v>101</v>
      </c>
      <c r="AP8" s="40" t="s">
        <v>91</v>
      </c>
      <c r="AQ8" s="40" t="s">
        <v>92</v>
      </c>
      <c r="AR8" s="37">
        <v>0</v>
      </c>
      <c r="AS8" s="37">
        <v>100</v>
      </c>
      <c r="AT8" s="37" t="s">
        <v>93</v>
      </c>
      <c r="AU8" s="47">
        <v>500</v>
      </c>
      <c r="AV8" s="37" t="s">
        <v>94</v>
      </c>
      <c r="AW8" s="37">
        <v>10</v>
      </c>
      <c r="AX8" s="30">
        <v>3948504</v>
      </c>
      <c r="AY8" s="40" t="s">
        <v>61</v>
      </c>
    </row>
    <row r="9" spans="1:51" ht="78.75" customHeight="1" x14ac:dyDescent="0.25">
      <c r="A9" s="35" t="s">
        <v>102</v>
      </c>
      <c r="B9" s="36">
        <v>44671</v>
      </c>
      <c r="C9" s="37">
        <v>1416</v>
      </c>
      <c r="D9" s="35" t="s">
        <v>103</v>
      </c>
      <c r="E9" s="39" t="s">
        <v>104</v>
      </c>
      <c r="F9" s="36">
        <v>44704</v>
      </c>
      <c r="G9" s="35" t="s">
        <v>105</v>
      </c>
      <c r="H9" s="40" t="s">
        <v>86</v>
      </c>
      <c r="I9" s="40" t="s">
        <v>106</v>
      </c>
      <c r="J9" s="41">
        <v>465000670</v>
      </c>
      <c r="K9" s="41">
        <v>310004570</v>
      </c>
      <c r="L9" s="41">
        <v>154996100</v>
      </c>
      <c r="M9" s="41">
        <v>0</v>
      </c>
      <c r="N9" s="42">
        <v>0</v>
      </c>
      <c r="O9" s="43">
        <v>0</v>
      </c>
      <c r="P9" s="41">
        <v>465000670</v>
      </c>
      <c r="Q9" s="43">
        <v>0</v>
      </c>
      <c r="R9" s="41">
        <v>154996100</v>
      </c>
      <c r="S9" s="30">
        <v>294492590</v>
      </c>
      <c r="T9" s="30">
        <v>604497160</v>
      </c>
      <c r="U9" s="30">
        <v>12.37</v>
      </c>
      <c r="V9" s="41">
        <v>12.37</v>
      </c>
      <c r="W9" s="41">
        <v>12370</v>
      </c>
      <c r="X9" s="41">
        <v>48868000</v>
      </c>
      <c r="Y9" s="41"/>
      <c r="Z9" s="41"/>
      <c r="AA9" s="41">
        <v>23807000</v>
      </c>
      <c r="AB9" s="41">
        <v>0</v>
      </c>
      <c r="AC9" s="41">
        <v>0</v>
      </c>
      <c r="AD9" s="41">
        <v>23807000</v>
      </c>
      <c r="AE9" s="41">
        <v>294492590</v>
      </c>
      <c r="AF9" s="41">
        <v>37591</v>
      </c>
      <c r="AG9" s="41">
        <v>37591</v>
      </c>
      <c r="AH9" s="36">
        <v>44936</v>
      </c>
      <c r="AI9" s="36">
        <v>44986</v>
      </c>
      <c r="AJ9" s="36">
        <v>45352</v>
      </c>
      <c r="AK9" s="36">
        <v>44941</v>
      </c>
      <c r="AL9" s="36">
        <v>45000</v>
      </c>
      <c r="AM9" s="46">
        <v>45383</v>
      </c>
      <c r="AN9" s="40" t="s">
        <v>89</v>
      </c>
      <c r="AO9" s="40" t="s">
        <v>107</v>
      </c>
      <c r="AP9" s="40" t="s">
        <v>91</v>
      </c>
      <c r="AQ9" s="40" t="s">
        <v>92</v>
      </c>
      <c r="AR9" s="37">
        <v>0</v>
      </c>
      <c r="AS9" s="37">
        <v>100</v>
      </c>
      <c r="AT9" s="37" t="s">
        <v>93</v>
      </c>
      <c r="AU9" s="47">
        <v>1000</v>
      </c>
      <c r="AV9" s="37" t="s">
        <v>60</v>
      </c>
      <c r="AW9" s="37">
        <v>10</v>
      </c>
      <c r="AX9" s="30">
        <v>46500067</v>
      </c>
      <c r="AY9" s="40" t="s">
        <v>61</v>
      </c>
    </row>
    <row r="10" spans="1:51" ht="78.75" customHeight="1" x14ac:dyDescent="0.25">
      <c r="A10" s="35" t="s">
        <v>108</v>
      </c>
      <c r="B10" s="36">
        <v>44673</v>
      </c>
      <c r="C10" s="37">
        <v>1416</v>
      </c>
      <c r="D10" s="35" t="s">
        <v>109</v>
      </c>
      <c r="E10" s="39" t="s">
        <v>110</v>
      </c>
      <c r="F10" s="36">
        <v>44705</v>
      </c>
      <c r="G10" s="35" t="s">
        <v>111</v>
      </c>
      <c r="H10" s="40" t="s">
        <v>112</v>
      </c>
      <c r="I10" s="40" t="s">
        <v>113</v>
      </c>
      <c r="J10" s="41">
        <v>78920034.480000004</v>
      </c>
      <c r="K10" s="41" t="s">
        <v>114</v>
      </c>
      <c r="L10" s="41" t="s">
        <v>114</v>
      </c>
      <c r="M10" s="41">
        <v>0</v>
      </c>
      <c r="N10" s="42">
        <v>0.49999999695894937</v>
      </c>
      <c r="O10" s="43">
        <v>394600.17000000179</v>
      </c>
      <c r="P10" s="41">
        <v>78525434.310000002</v>
      </c>
      <c r="Q10" s="43">
        <v>-404686.8</v>
      </c>
      <c r="R10" s="41">
        <v>39257673.840000004</v>
      </c>
      <c r="S10" s="30">
        <v>39257673.840000004</v>
      </c>
      <c r="T10" s="30">
        <v>78515347.680000007</v>
      </c>
      <c r="U10" s="30">
        <v>514.1400000000001</v>
      </c>
      <c r="V10" s="41">
        <v>514.1400000000001</v>
      </c>
      <c r="W10" s="41">
        <v>3084.8400000000006</v>
      </c>
      <c r="X10" s="41">
        <v>152712</v>
      </c>
      <c r="Y10" s="41"/>
      <c r="Z10" s="41">
        <v>76356</v>
      </c>
      <c r="AA10" s="41"/>
      <c r="AB10" s="41">
        <v>228</v>
      </c>
      <c r="AC10" s="41">
        <v>117223.92000000003</v>
      </c>
      <c r="AD10" s="41">
        <v>76128</v>
      </c>
      <c r="AE10" s="41">
        <v>39140449.920000009</v>
      </c>
      <c r="AF10" s="41">
        <v>25452</v>
      </c>
      <c r="AG10" s="41">
        <v>25452</v>
      </c>
      <c r="AH10" s="36">
        <v>44958</v>
      </c>
      <c r="AI10" s="36">
        <v>45323</v>
      </c>
      <c r="AJ10" s="36"/>
      <c r="AK10" s="36">
        <v>44986</v>
      </c>
      <c r="AL10" s="36">
        <v>45352</v>
      </c>
      <c r="AM10" s="46"/>
      <c r="AN10" s="40" t="s">
        <v>115</v>
      </c>
      <c r="AO10" s="40" t="s">
        <v>116</v>
      </c>
      <c r="AP10" s="40" t="s">
        <v>117</v>
      </c>
      <c r="AQ10" s="40" t="s">
        <v>80</v>
      </c>
      <c r="AR10" s="37">
        <v>100</v>
      </c>
      <c r="AS10" s="37">
        <v>0</v>
      </c>
      <c r="AT10" s="37" t="s">
        <v>81</v>
      </c>
      <c r="AU10" s="47">
        <v>6</v>
      </c>
      <c r="AV10" s="37" t="s">
        <v>60</v>
      </c>
      <c r="AW10" s="37">
        <v>10</v>
      </c>
      <c r="AX10" s="30">
        <v>7892003.4480000008</v>
      </c>
      <c r="AY10" s="40" t="s">
        <v>95</v>
      </c>
    </row>
    <row r="11" spans="1:51" ht="78.75" customHeight="1" x14ac:dyDescent="0.25">
      <c r="A11" s="35" t="s">
        <v>118</v>
      </c>
      <c r="B11" s="36">
        <v>44673</v>
      </c>
      <c r="C11" s="37">
        <v>1416</v>
      </c>
      <c r="D11" s="35" t="s">
        <v>119</v>
      </c>
      <c r="E11" s="39" t="s">
        <v>120</v>
      </c>
      <c r="F11" s="36">
        <v>44711</v>
      </c>
      <c r="G11" s="35" t="s">
        <v>121</v>
      </c>
      <c r="H11" s="40" t="s">
        <v>112</v>
      </c>
      <c r="I11" s="40" t="s">
        <v>122</v>
      </c>
      <c r="J11" s="41">
        <v>2737233000</v>
      </c>
      <c r="K11" s="41">
        <v>1824789645</v>
      </c>
      <c r="L11" s="41">
        <v>912443355</v>
      </c>
      <c r="M11" s="41">
        <v>0</v>
      </c>
      <c r="N11" s="42">
        <v>0</v>
      </c>
      <c r="O11" s="43">
        <v>0</v>
      </c>
      <c r="P11" s="41">
        <v>2737233000</v>
      </c>
      <c r="Q11" s="43">
        <v>0</v>
      </c>
      <c r="R11" s="41">
        <v>912443355</v>
      </c>
      <c r="S11" s="30">
        <v>1733613255</v>
      </c>
      <c r="T11" s="30">
        <v>3558402900</v>
      </c>
      <c r="U11" s="30">
        <v>647.1</v>
      </c>
      <c r="V11" s="41">
        <v>647.1</v>
      </c>
      <c r="W11" s="41" t="e">
        <v>#VALUE!</v>
      </c>
      <c r="X11" s="41">
        <v>5499000</v>
      </c>
      <c r="Y11" s="41"/>
      <c r="Z11" s="41"/>
      <c r="AA11" s="41">
        <v>2679050</v>
      </c>
      <c r="AB11" s="41">
        <v>0</v>
      </c>
      <c r="AC11" s="41">
        <v>0</v>
      </c>
      <c r="AD11" s="41">
        <v>2679050</v>
      </c>
      <c r="AE11" s="41">
        <v>1733613255</v>
      </c>
      <c r="AF11" s="41">
        <v>114013.5</v>
      </c>
      <c r="AG11" s="41">
        <v>114014</v>
      </c>
      <c r="AH11" s="36">
        <v>44936</v>
      </c>
      <c r="AI11" s="36">
        <v>44986</v>
      </c>
      <c r="AJ11" s="36">
        <v>45352</v>
      </c>
      <c r="AK11" s="36">
        <v>44951</v>
      </c>
      <c r="AL11" s="36">
        <v>45000</v>
      </c>
      <c r="AM11" s="46">
        <v>45383</v>
      </c>
      <c r="AN11" s="40" t="s">
        <v>123</v>
      </c>
      <c r="AO11" s="40" t="s">
        <v>124</v>
      </c>
      <c r="AP11" s="40" t="s">
        <v>125</v>
      </c>
      <c r="AQ11" s="40" t="s">
        <v>80</v>
      </c>
      <c r="AR11" s="37">
        <v>100</v>
      </c>
      <c r="AS11" s="37">
        <v>0</v>
      </c>
      <c r="AT11" s="37" t="s">
        <v>81</v>
      </c>
      <c r="AU11" s="51" t="s">
        <v>126</v>
      </c>
      <c r="AV11" s="37" t="s">
        <v>60</v>
      </c>
      <c r="AW11" s="37">
        <v>10</v>
      </c>
      <c r="AX11" s="30">
        <v>273723300</v>
      </c>
      <c r="AY11" s="40" t="s">
        <v>61</v>
      </c>
    </row>
    <row r="12" spans="1:51" ht="78.75" customHeight="1" x14ac:dyDescent="0.25">
      <c r="A12" s="35" t="s">
        <v>127</v>
      </c>
      <c r="B12" s="36">
        <v>44673</v>
      </c>
      <c r="C12" s="37">
        <v>1416</v>
      </c>
      <c r="D12" s="35" t="s">
        <v>128</v>
      </c>
      <c r="E12" s="39" t="s">
        <v>129</v>
      </c>
      <c r="F12" s="36">
        <v>44704</v>
      </c>
      <c r="G12" s="35" t="s">
        <v>130</v>
      </c>
      <c r="H12" s="40" t="s">
        <v>112</v>
      </c>
      <c r="I12" s="40" t="s">
        <v>131</v>
      </c>
      <c r="J12" s="41">
        <v>95831540.640000001</v>
      </c>
      <c r="K12" s="41">
        <v>47915770.32</v>
      </c>
      <c r="L12" s="41">
        <v>47915770.32</v>
      </c>
      <c r="M12" s="41">
        <v>0</v>
      </c>
      <c r="N12" s="42">
        <v>0</v>
      </c>
      <c r="O12" s="43">
        <v>0</v>
      </c>
      <c r="P12" s="41">
        <v>95831540.640000001</v>
      </c>
      <c r="Q12" s="43">
        <v>0</v>
      </c>
      <c r="R12" s="41">
        <v>55271866.32</v>
      </c>
      <c r="S12" s="30">
        <v>55271866.32</v>
      </c>
      <c r="T12" s="30">
        <v>103187636.64</v>
      </c>
      <c r="U12" s="30">
        <v>3065.04</v>
      </c>
      <c r="V12" s="41">
        <v>3065.04</v>
      </c>
      <c r="W12" s="41">
        <v>4597.5599999999995</v>
      </c>
      <c r="X12" s="41">
        <v>33666</v>
      </c>
      <c r="Y12" s="41"/>
      <c r="Z12" s="41">
        <v>18033</v>
      </c>
      <c r="AA12" s="41"/>
      <c r="AB12" s="41">
        <v>4732.5</v>
      </c>
      <c r="AC12" s="41">
        <v>14505301.800000001</v>
      </c>
      <c r="AD12" s="41">
        <v>13300.5</v>
      </c>
      <c r="AE12" s="41">
        <v>40766564.519999996</v>
      </c>
      <c r="AF12" s="41">
        <v>20844</v>
      </c>
      <c r="AG12" s="41">
        <v>20844</v>
      </c>
      <c r="AH12" s="36">
        <v>44958</v>
      </c>
      <c r="AI12" s="36">
        <v>45352</v>
      </c>
      <c r="AJ12" s="36"/>
      <c r="AK12" s="36">
        <v>44972</v>
      </c>
      <c r="AL12" s="36">
        <v>45383</v>
      </c>
      <c r="AM12" s="46"/>
      <c r="AN12" s="40" t="s">
        <v>132</v>
      </c>
      <c r="AO12" s="40" t="s">
        <v>133</v>
      </c>
      <c r="AP12" s="40" t="s">
        <v>134</v>
      </c>
      <c r="AQ12" s="40" t="s">
        <v>80</v>
      </c>
      <c r="AR12" s="37">
        <v>100</v>
      </c>
      <c r="AS12" s="37">
        <v>0</v>
      </c>
      <c r="AT12" s="37" t="s">
        <v>81</v>
      </c>
      <c r="AU12" s="52">
        <v>1.5</v>
      </c>
      <c r="AV12" s="37" t="s">
        <v>60</v>
      </c>
      <c r="AW12" s="37">
        <v>10</v>
      </c>
      <c r="AX12" s="30">
        <v>9583154.0639999993</v>
      </c>
      <c r="AY12" s="40" t="s">
        <v>61</v>
      </c>
    </row>
    <row r="13" spans="1:51" ht="78.75" customHeight="1" x14ac:dyDescent="0.25">
      <c r="A13" s="35" t="s">
        <v>135</v>
      </c>
      <c r="B13" s="36">
        <v>44677</v>
      </c>
      <c r="C13" s="37">
        <v>1416</v>
      </c>
      <c r="D13" s="35" t="s">
        <v>136</v>
      </c>
      <c r="E13" s="39" t="s">
        <v>137</v>
      </c>
      <c r="F13" s="36">
        <v>44712</v>
      </c>
      <c r="G13" s="37" t="s">
        <v>138</v>
      </c>
      <c r="H13" s="40" t="s">
        <v>139</v>
      </c>
      <c r="I13" s="40" t="s">
        <v>140</v>
      </c>
      <c r="J13" s="41">
        <v>2087771400</v>
      </c>
      <c r="K13" s="41" t="s">
        <v>141</v>
      </c>
      <c r="L13" s="41" t="s">
        <v>142</v>
      </c>
      <c r="M13" s="41">
        <v>0</v>
      </c>
      <c r="N13" s="42">
        <v>0</v>
      </c>
      <c r="O13" s="43">
        <v>0</v>
      </c>
      <c r="P13" s="41">
        <v>2087771400</v>
      </c>
      <c r="Q13" s="43">
        <v>0</v>
      </c>
      <c r="R13" s="41">
        <v>717974400</v>
      </c>
      <c r="S13" s="30">
        <v>1344228600</v>
      </c>
      <c r="T13" s="30">
        <v>2714025600</v>
      </c>
      <c r="U13" s="30">
        <v>85800</v>
      </c>
      <c r="V13" s="41">
        <v>85800</v>
      </c>
      <c r="W13" s="41">
        <v>85800</v>
      </c>
      <c r="X13" s="41">
        <v>31632</v>
      </c>
      <c r="Y13" s="41"/>
      <c r="Z13" s="53"/>
      <c r="AA13" s="41">
        <v>15667</v>
      </c>
      <c r="AB13" s="41">
        <v>8</v>
      </c>
      <c r="AC13" s="41">
        <v>686400</v>
      </c>
      <c r="AD13" s="41">
        <v>15659</v>
      </c>
      <c r="AE13" s="41">
        <v>1343542200</v>
      </c>
      <c r="AF13" s="41">
        <v>24333</v>
      </c>
      <c r="AG13" s="41">
        <v>24333</v>
      </c>
      <c r="AH13" s="36">
        <v>44936</v>
      </c>
      <c r="AI13" s="36">
        <v>44986</v>
      </c>
      <c r="AJ13" s="36">
        <v>45323</v>
      </c>
      <c r="AK13" s="36">
        <v>44958</v>
      </c>
      <c r="AL13" s="36">
        <v>45000</v>
      </c>
      <c r="AM13" s="46">
        <v>45352</v>
      </c>
      <c r="AN13" s="40" t="s">
        <v>143</v>
      </c>
      <c r="AO13" s="40" t="s">
        <v>144</v>
      </c>
      <c r="AP13" s="40" t="s">
        <v>145</v>
      </c>
      <c r="AQ13" s="40" t="s">
        <v>146</v>
      </c>
      <c r="AR13" s="37">
        <v>0</v>
      </c>
      <c r="AS13" s="37">
        <v>100</v>
      </c>
      <c r="AT13" s="37" t="s">
        <v>59</v>
      </c>
      <c r="AU13" s="47">
        <v>1</v>
      </c>
      <c r="AV13" s="37" t="s">
        <v>60</v>
      </c>
      <c r="AW13" s="37">
        <v>10</v>
      </c>
      <c r="AX13" s="30">
        <v>208777140</v>
      </c>
      <c r="AY13" s="40" t="s">
        <v>61</v>
      </c>
    </row>
    <row r="14" spans="1:51" ht="76.5" customHeight="1" x14ac:dyDescent="0.25">
      <c r="A14" s="35" t="s">
        <v>147</v>
      </c>
      <c r="B14" s="36">
        <v>44677</v>
      </c>
      <c r="C14" s="37">
        <v>1416</v>
      </c>
      <c r="D14" s="35" t="s">
        <v>148</v>
      </c>
      <c r="E14" s="39" t="s">
        <v>149</v>
      </c>
      <c r="F14" s="36">
        <v>44711</v>
      </c>
      <c r="G14" s="35" t="s">
        <v>150</v>
      </c>
      <c r="H14" s="40" t="s">
        <v>53</v>
      </c>
      <c r="I14" s="40" t="s">
        <v>151</v>
      </c>
      <c r="J14" s="41">
        <v>2082265948.3499999</v>
      </c>
      <c r="K14" s="41" t="s">
        <v>152</v>
      </c>
      <c r="L14" s="41" t="s">
        <v>153</v>
      </c>
      <c r="M14" s="41">
        <v>0</v>
      </c>
      <c r="N14" s="42">
        <v>0</v>
      </c>
      <c r="O14" s="43">
        <v>0</v>
      </c>
      <c r="P14" s="41">
        <v>2082265948.3499999</v>
      </c>
      <c r="Q14" s="43">
        <v>0</v>
      </c>
      <c r="R14" s="41">
        <v>694979649</v>
      </c>
      <c r="S14" s="30">
        <v>694979649</v>
      </c>
      <c r="T14" s="30">
        <v>2082265948.3499999</v>
      </c>
      <c r="U14" s="30">
        <v>14142.849999999999</v>
      </c>
      <c r="V14" s="41">
        <v>14142.849999999999</v>
      </c>
      <c r="W14" s="41">
        <v>296999.84999999998</v>
      </c>
      <c r="X14" s="41">
        <v>147231</v>
      </c>
      <c r="Y14" s="41"/>
      <c r="Z14" s="41"/>
      <c r="AA14" s="41">
        <v>49140</v>
      </c>
      <c r="AB14" s="41">
        <v>0</v>
      </c>
      <c r="AC14" s="41">
        <v>0</v>
      </c>
      <c r="AD14" s="41">
        <v>49140</v>
      </c>
      <c r="AE14" s="41">
        <v>694979648.99999988</v>
      </c>
      <c r="AF14" s="41">
        <v>7011</v>
      </c>
      <c r="AG14" s="41">
        <v>7011</v>
      </c>
      <c r="AH14" s="36">
        <v>44936</v>
      </c>
      <c r="AI14" s="36">
        <v>44986</v>
      </c>
      <c r="AJ14" s="36">
        <v>45352</v>
      </c>
      <c r="AK14" s="36">
        <v>44951</v>
      </c>
      <c r="AL14" s="36">
        <v>45000</v>
      </c>
      <c r="AM14" s="46">
        <v>45383</v>
      </c>
      <c r="AN14" s="40" t="s">
        <v>154</v>
      </c>
      <c r="AO14" s="40" t="s">
        <v>155</v>
      </c>
      <c r="AP14" s="40" t="s">
        <v>156</v>
      </c>
      <c r="AQ14" s="40" t="s">
        <v>80</v>
      </c>
      <c r="AR14" s="37">
        <v>100</v>
      </c>
      <c r="AS14" s="37">
        <v>0</v>
      </c>
      <c r="AT14" s="37" t="s">
        <v>59</v>
      </c>
      <c r="AU14" s="47">
        <v>21</v>
      </c>
      <c r="AV14" s="37" t="s">
        <v>60</v>
      </c>
      <c r="AW14" s="37">
        <v>10</v>
      </c>
      <c r="AX14" s="30">
        <v>208226594.83500001</v>
      </c>
      <c r="AY14" s="40" t="s">
        <v>61</v>
      </c>
    </row>
    <row r="15" spans="1:51" ht="76.5" customHeight="1" x14ac:dyDescent="0.25">
      <c r="A15" s="35" t="s">
        <v>157</v>
      </c>
      <c r="B15" s="36">
        <v>44678</v>
      </c>
      <c r="C15" s="37">
        <v>1416</v>
      </c>
      <c r="D15" s="35" t="s">
        <v>158</v>
      </c>
      <c r="E15" s="39" t="s">
        <v>159</v>
      </c>
      <c r="F15" s="36">
        <v>44720</v>
      </c>
      <c r="G15" s="35" t="s">
        <v>160</v>
      </c>
      <c r="H15" s="40" t="s">
        <v>112</v>
      </c>
      <c r="I15" s="40" t="s">
        <v>161</v>
      </c>
      <c r="J15" s="41">
        <v>2419113638.4000001</v>
      </c>
      <c r="K15" s="41" t="s">
        <v>162</v>
      </c>
      <c r="L15" s="41" t="s">
        <v>162</v>
      </c>
      <c r="M15" s="41">
        <v>0</v>
      </c>
      <c r="N15" s="42">
        <v>0</v>
      </c>
      <c r="O15" s="43">
        <v>0</v>
      </c>
      <c r="P15" s="41">
        <v>2419113638.4000001</v>
      </c>
      <c r="Q15" s="43">
        <v>0</v>
      </c>
      <c r="R15" s="41">
        <v>1209556819.2</v>
      </c>
      <c r="S15" s="30">
        <v>1209556819.2</v>
      </c>
      <c r="T15" s="30">
        <v>2419113638.4000001</v>
      </c>
      <c r="U15" s="30">
        <v>6006.4000000000005</v>
      </c>
      <c r="V15" s="41">
        <v>6006.4000000000005</v>
      </c>
      <c r="W15" s="41">
        <v>9009.6</v>
      </c>
      <c r="X15" s="41">
        <v>402756</v>
      </c>
      <c r="Y15" s="41"/>
      <c r="Z15" s="41">
        <v>201378</v>
      </c>
      <c r="AA15" s="41"/>
      <c r="AB15" s="41">
        <v>7902</v>
      </c>
      <c r="AC15" s="41">
        <v>47462572.800000004</v>
      </c>
      <c r="AD15" s="41">
        <v>193476</v>
      </c>
      <c r="AE15" s="41">
        <v>1162094246.4000001</v>
      </c>
      <c r="AF15" s="41">
        <v>268504</v>
      </c>
      <c r="AG15" s="41">
        <v>268504</v>
      </c>
      <c r="AH15" s="36">
        <v>44958</v>
      </c>
      <c r="AI15" s="36">
        <v>45352</v>
      </c>
      <c r="AJ15" s="36"/>
      <c r="AK15" s="36">
        <v>44972</v>
      </c>
      <c r="AL15" s="36">
        <v>45383</v>
      </c>
      <c r="AM15" s="46"/>
      <c r="AN15" s="40" t="s">
        <v>132</v>
      </c>
      <c r="AO15" s="40" t="s">
        <v>163</v>
      </c>
      <c r="AP15" s="40" t="s">
        <v>134</v>
      </c>
      <c r="AQ15" s="40" t="s">
        <v>80</v>
      </c>
      <c r="AR15" s="37">
        <v>100</v>
      </c>
      <c r="AS15" s="37">
        <v>0</v>
      </c>
      <c r="AT15" s="37" t="s">
        <v>81</v>
      </c>
      <c r="AU15" s="47">
        <v>1.5</v>
      </c>
      <c r="AV15" s="37" t="s">
        <v>60</v>
      </c>
      <c r="AW15" s="37">
        <v>10</v>
      </c>
      <c r="AX15" s="30">
        <v>241911363.84</v>
      </c>
      <c r="AY15" s="40" t="s">
        <v>61</v>
      </c>
    </row>
    <row r="16" spans="1:51" ht="76.5" customHeight="1" x14ac:dyDescent="0.25">
      <c r="A16" s="35" t="s">
        <v>164</v>
      </c>
      <c r="B16" s="36">
        <v>44678</v>
      </c>
      <c r="C16" s="37">
        <v>1416</v>
      </c>
      <c r="D16" s="35" t="s">
        <v>165</v>
      </c>
      <c r="E16" s="39" t="s">
        <v>166</v>
      </c>
      <c r="F16" s="36">
        <v>44711</v>
      </c>
      <c r="G16" s="35" t="s">
        <v>167</v>
      </c>
      <c r="H16" s="40" t="s">
        <v>53</v>
      </c>
      <c r="I16" s="40" t="s">
        <v>168</v>
      </c>
      <c r="J16" s="41">
        <v>11608792.560000001</v>
      </c>
      <c r="K16" s="41" t="s">
        <v>169</v>
      </c>
      <c r="L16" s="41" t="s">
        <v>169</v>
      </c>
      <c r="M16" s="41">
        <v>0</v>
      </c>
      <c r="N16" s="42">
        <v>0</v>
      </c>
      <c r="O16" s="43">
        <v>0</v>
      </c>
      <c r="P16" s="41">
        <v>11608792.560000001</v>
      </c>
      <c r="Q16" s="43">
        <v>0</v>
      </c>
      <c r="R16" s="41">
        <v>5804396.2800000003</v>
      </c>
      <c r="S16" s="30">
        <v>5061973.5</v>
      </c>
      <c r="T16" s="30">
        <v>10866369.779999999</v>
      </c>
      <c r="U16" s="30">
        <v>22497.66</v>
      </c>
      <c r="V16" s="41">
        <v>22497.66</v>
      </c>
      <c r="W16" s="41">
        <v>44995.32</v>
      </c>
      <c r="X16" s="41">
        <v>483</v>
      </c>
      <c r="Y16" s="41"/>
      <c r="Z16" s="41">
        <v>225</v>
      </c>
      <c r="AA16" s="41"/>
      <c r="AB16" s="41">
        <v>0</v>
      </c>
      <c r="AC16" s="41">
        <v>0</v>
      </c>
      <c r="AD16" s="41">
        <v>225</v>
      </c>
      <c r="AE16" s="41">
        <v>5061973.5</v>
      </c>
      <c r="AF16" s="41">
        <v>258</v>
      </c>
      <c r="AG16" s="41">
        <v>258</v>
      </c>
      <c r="AH16" s="36">
        <v>44958</v>
      </c>
      <c r="AI16" s="36">
        <v>45352</v>
      </c>
      <c r="AJ16" s="36"/>
      <c r="AK16" s="36">
        <v>44972</v>
      </c>
      <c r="AL16" s="36">
        <v>45383</v>
      </c>
      <c r="AM16" s="46"/>
      <c r="AN16" s="40" t="s">
        <v>170</v>
      </c>
      <c r="AO16" s="40" t="s">
        <v>171</v>
      </c>
      <c r="AP16" s="40" t="s">
        <v>172</v>
      </c>
      <c r="AQ16" s="40" t="s">
        <v>92</v>
      </c>
      <c r="AR16" s="37">
        <v>0</v>
      </c>
      <c r="AS16" s="37">
        <v>100</v>
      </c>
      <c r="AT16" s="37" t="s">
        <v>59</v>
      </c>
      <c r="AU16" s="47">
        <v>2</v>
      </c>
      <c r="AV16" s="37" t="s">
        <v>60</v>
      </c>
      <c r="AW16" s="37">
        <v>10</v>
      </c>
      <c r="AX16" s="30">
        <v>1160879.2560000001</v>
      </c>
      <c r="AY16" s="40" t="s">
        <v>95</v>
      </c>
    </row>
    <row r="17" spans="1:51" ht="76.5" customHeight="1" x14ac:dyDescent="0.25">
      <c r="A17" s="35" t="s">
        <v>173</v>
      </c>
      <c r="B17" s="36">
        <v>44678</v>
      </c>
      <c r="C17" s="37">
        <v>1416</v>
      </c>
      <c r="D17" s="35" t="s">
        <v>174</v>
      </c>
      <c r="E17" s="39" t="s">
        <v>175</v>
      </c>
      <c r="F17" s="36">
        <v>44711</v>
      </c>
      <c r="G17" s="35" t="s">
        <v>176</v>
      </c>
      <c r="H17" s="40" t="s">
        <v>86</v>
      </c>
      <c r="I17" s="40" t="s">
        <v>177</v>
      </c>
      <c r="J17" s="41">
        <v>200319360</v>
      </c>
      <c r="K17" s="41" t="s">
        <v>178</v>
      </c>
      <c r="L17" s="41" t="s">
        <v>179</v>
      </c>
      <c r="M17" s="41">
        <v>0</v>
      </c>
      <c r="N17" s="42">
        <v>0</v>
      </c>
      <c r="O17" s="43">
        <v>0</v>
      </c>
      <c r="P17" s="41">
        <v>200319360</v>
      </c>
      <c r="Q17" s="43">
        <v>0</v>
      </c>
      <c r="R17" s="41">
        <v>67241760</v>
      </c>
      <c r="S17" s="30">
        <v>127332720</v>
      </c>
      <c r="T17" s="30">
        <v>260410320</v>
      </c>
      <c r="U17" s="30">
        <v>12.12</v>
      </c>
      <c r="V17" s="41">
        <v>12.12</v>
      </c>
      <c r="W17" s="41">
        <v>24240</v>
      </c>
      <c r="X17" s="41">
        <v>21486000</v>
      </c>
      <c r="Y17" s="41"/>
      <c r="Z17" s="41"/>
      <c r="AA17" s="41">
        <v>10506000</v>
      </c>
      <c r="AB17" s="41">
        <v>0</v>
      </c>
      <c r="AC17" s="41">
        <v>0</v>
      </c>
      <c r="AD17" s="41">
        <v>10506000</v>
      </c>
      <c r="AE17" s="41">
        <v>127332719.99999999</v>
      </c>
      <c r="AF17" s="41">
        <v>8264</v>
      </c>
      <c r="AG17" s="41">
        <v>8264</v>
      </c>
      <c r="AH17" s="36">
        <v>44967</v>
      </c>
      <c r="AI17" s="36">
        <v>44986</v>
      </c>
      <c r="AJ17" s="36">
        <v>45352</v>
      </c>
      <c r="AK17" s="36">
        <v>44982</v>
      </c>
      <c r="AL17" s="36">
        <v>45000</v>
      </c>
      <c r="AM17" s="46">
        <v>45383</v>
      </c>
      <c r="AN17" s="40" t="s">
        <v>89</v>
      </c>
      <c r="AO17" s="40" t="s">
        <v>180</v>
      </c>
      <c r="AP17" s="40" t="s">
        <v>91</v>
      </c>
      <c r="AQ17" s="40" t="s">
        <v>92</v>
      </c>
      <c r="AR17" s="37">
        <v>0</v>
      </c>
      <c r="AS17" s="37">
        <v>100</v>
      </c>
      <c r="AT17" s="37" t="s">
        <v>93</v>
      </c>
      <c r="AU17" s="47">
        <v>2000</v>
      </c>
      <c r="AV17" s="37" t="s">
        <v>60</v>
      </c>
      <c r="AW17" s="37">
        <v>10</v>
      </c>
      <c r="AX17" s="30">
        <v>20031936</v>
      </c>
      <c r="AY17" s="40" t="s">
        <v>61</v>
      </c>
    </row>
    <row r="18" spans="1:51" ht="76.5" customHeight="1" x14ac:dyDescent="0.25">
      <c r="A18" s="35" t="s">
        <v>181</v>
      </c>
      <c r="B18" s="36">
        <v>44678</v>
      </c>
      <c r="C18" s="37">
        <v>1416</v>
      </c>
      <c r="D18" s="35" t="s">
        <v>182</v>
      </c>
      <c r="E18" s="39" t="s">
        <v>183</v>
      </c>
      <c r="F18" s="36">
        <v>44711</v>
      </c>
      <c r="G18" s="35" t="s">
        <v>184</v>
      </c>
      <c r="H18" s="40" t="s">
        <v>53</v>
      </c>
      <c r="I18" s="40" t="s">
        <v>185</v>
      </c>
      <c r="J18" s="41">
        <v>9624025.5999999996</v>
      </c>
      <c r="K18" s="41" t="s">
        <v>186</v>
      </c>
      <c r="L18" s="41" t="s">
        <v>186</v>
      </c>
      <c r="M18" s="41">
        <v>0</v>
      </c>
      <c r="N18" s="42">
        <v>0</v>
      </c>
      <c r="O18" s="43">
        <v>0</v>
      </c>
      <c r="P18" s="41">
        <v>9624025.5999999996</v>
      </c>
      <c r="Q18" s="43">
        <v>0</v>
      </c>
      <c r="R18" s="41">
        <v>4812012.8</v>
      </c>
      <c r="S18" s="30">
        <v>6015016</v>
      </c>
      <c r="T18" s="30">
        <v>10827028.800000001</v>
      </c>
      <c r="U18" s="30">
        <v>8592.880000000001</v>
      </c>
      <c r="V18" s="41">
        <v>8592.880000000001</v>
      </c>
      <c r="W18" s="41">
        <v>34371.520000000004</v>
      </c>
      <c r="X18" s="41">
        <v>1260</v>
      </c>
      <c r="Y18" s="41"/>
      <c r="Z18" s="41">
        <v>700</v>
      </c>
      <c r="AA18" s="41"/>
      <c r="AB18" s="41">
        <v>96</v>
      </c>
      <c r="AC18" s="41">
        <v>824916.4800000001</v>
      </c>
      <c r="AD18" s="41">
        <v>604</v>
      </c>
      <c r="AE18" s="41">
        <v>5190099.5200000005</v>
      </c>
      <c r="AF18" s="41">
        <v>280</v>
      </c>
      <c r="AG18" s="41">
        <v>280</v>
      </c>
      <c r="AH18" s="36">
        <v>44986</v>
      </c>
      <c r="AI18" s="36">
        <v>45352</v>
      </c>
      <c r="AJ18" s="36"/>
      <c r="AK18" s="36">
        <v>45000</v>
      </c>
      <c r="AL18" s="46">
        <v>45383</v>
      </c>
      <c r="AM18" s="46"/>
      <c r="AN18" s="40" t="s">
        <v>187</v>
      </c>
      <c r="AO18" s="40" t="s">
        <v>188</v>
      </c>
      <c r="AP18" s="40" t="s">
        <v>189</v>
      </c>
      <c r="AQ18" s="40" t="s">
        <v>58</v>
      </c>
      <c r="AR18" s="48">
        <v>0</v>
      </c>
      <c r="AS18" s="37">
        <v>100</v>
      </c>
      <c r="AT18" s="37" t="s">
        <v>81</v>
      </c>
      <c r="AU18" s="47">
        <v>4</v>
      </c>
      <c r="AV18" s="37" t="s">
        <v>60</v>
      </c>
      <c r="AW18" s="37">
        <v>10</v>
      </c>
      <c r="AX18" s="30">
        <v>962402.56</v>
      </c>
      <c r="AY18" s="40" t="s">
        <v>95</v>
      </c>
    </row>
    <row r="19" spans="1:51" ht="76.5" customHeight="1" x14ac:dyDescent="0.25">
      <c r="A19" s="35" t="s">
        <v>190</v>
      </c>
      <c r="B19" s="36">
        <v>44679</v>
      </c>
      <c r="C19" s="37">
        <v>1416</v>
      </c>
      <c r="D19" s="35" t="s">
        <v>191</v>
      </c>
      <c r="E19" s="39" t="s">
        <v>192</v>
      </c>
      <c r="F19" s="36">
        <v>44711</v>
      </c>
      <c r="G19" s="35" t="s">
        <v>193</v>
      </c>
      <c r="H19" s="40" t="s">
        <v>53</v>
      </c>
      <c r="I19" s="40" t="s">
        <v>194</v>
      </c>
      <c r="J19" s="41">
        <v>44846945.640000001</v>
      </c>
      <c r="K19" s="41" t="s">
        <v>195</v>
      </c>
      <c r="L19" s="41" t="s">
        <v>195</v>
      </c>
      <c r="M19" s="41">
        <v>0</v>
      </c>
      <c r="N19" s="42">
        <v>0</v>
      </c>
      <c r="O19" s="43">
        <v>0</v>
      </c>
      <c r="P19" s="41">
        <v>44846945.640000001</v>
      </c>
      <c r="Q19" s="43">
        <v>0</v>
      </c>
      <c r="R19" s="41">
        <v>22423472.82</v>
      </c>
      <c r="S19" s="30">
        <v>35788456.619999997</v>
      </c>
      <c r="T19" s="30">
        <v>58211929.439999998</v>
      </c>
      <c r="U19" s="30">
        <v>7071.42</v>
      </c>
      <c r="V19" s="41">
        <v>7071.42</v>
      </c>
      <c r="W19" s="41">
        <v>148499.82</v>
      </c>
      <c r="X19" s="41">
        <v>8232</v>
      </c>
      <c r="Y19" s="41"/>
      <c r="Z19" s="41">
        <v>5061</v>
      </c>
      <c r="AA19" s="41"/>
      <c r="AB19" s="41">
        <v>0</v>
      </c>
      <c r="AC19" s="41">
        <v>0</v>
      </c>
      <c r="AD19" s="41">
        <v>5061</v>
      </c>
      <c r="AE19" s="41">
        <v>35788456.619999997</v>
      </c>
      <c r="AF19" s="41">
        <v>302</v>
      </c>
      <c r="AG19" s="41">
        <v>302</v>
      </c>
      <c r="AH19" s="36">
        <v>44986</v>
      </c>
      <c r="AI19" s="36">
        <v>45352</v>
      </c>
      <c r="AJ19" s="36"/>
      <c r="AK19" s="36">
        <v>45000</v>
      </c>
      <c r="AL19" s="46">
        <v>45383</v>
      </c>
      <c r="AM19" s="46"/>
      <c r="AN19" s="40" t="s">
        <v>196</v>
      </c>
      <c r="AO19" s="40" t="s">
        <v>197</v>
      </c>
      <c r="AP19" s="40" t="s">
        <v>198</v>
      </c>
      <c r="AQ19" s="40" t="s">
        <v>80</v>
      </c>
      <c r="AR19" s="48">
        <v>100</v>
      </c>
      <c r="AS19" s="37">
        <v>0</v>
      </c>
      <c r="AT19" s="37" t="s">
        <v>59</v>
      </c>
      <c r="AU19" s="47">
        <v>21</v>
      </c>
      <c r="AV19" s="37" t="s">
        <v>60</v>
      </c>
      <c r="AW19" s="37">
        <v>10</v>
      </c>
      <c r="AX19" s="30">
        <v>4484694.5639999993</v>
      </c>
      <c r="AY19" s="40" t="s">
        <v>61</v>
      </c>
    </row>
    <row r="20" spans="1:51" ht="76.5" customHeight="1" x14ac:dyDescent="0.25">
      <c r="A20" s="35" t="s">
        <v>199</v>
      </c>
      <c r="B20" s="36">
        <v>44680</v>
      </c>
      <c r="C20" s="37">
        <v>1416</v>
      </c>
      <c r="D20" s="35" t="s">
        <v>200</v>
      </c>
      <c r="E20" s="39" t="s">
        <v>201</v>
      </c>
      <c r="F20" s="36">
        <v>44713</v>
      </c>
      <c r="G20" s="35" t="s">
        <v>202</v>
      </c>
      <c r="H20" s="40" t="s">
        <v>203</v>
      </c>
      <c r="I20" s="40" t="s">
        <v>204</v>
      </c>
      <c r="J20" s="41">
        <v>761678714.15999997</v>
      </c>
      <c r="K20" s="41" t="s">
        <v>205</v>
      </c>
      <c r="L20" s="41" t="s">
        <v>205</v>
      </c>
      <c r="M20" s="41">
        <v>0</v>
      </c>
      <c r="N20" s="42">
        <v>1.0000000706859646</v>
      </c>
      <c r="O20" s="43">
        <v>7616787.6799999475</v>
      </c>
      <c r="P20" s="41">
        <v>754061926.48000002</v>
      </c>
      <c r="Q20" s="43">
        <v>-7622050.7999999523</v>
      </c>
      <c r="R20" s="41">
        <v>377028331.68000001</v>
      </c>
      <c r="S20" s="30">
        <v>377028331.68000001</v>
      </c>
      <c r="T20" s="30">
        <v>754056663.36000001</v>
      </c>
      <c r="U20" s="30">
        <v>4412.32</v>
      </c>
      <c r="V20" s="41">
        <v>4412.32</v>
      </c>
      <c r="W20" s="41">
        <v>92658.72</v>
      </c>
      <c r="X20" s="41">
        <v>170898</v>
      </c>
      <c r="Y20" s="41"/>
      <c r="Z20" s="41">
        <v>85449</v>
      </c>
      <c r="AA20" s="41"/>
      <c r="AB20" s="41">
        <v>0</v>
      </c>
      <c r="AC20" s="41">
        <v>0</v>
      </c>
      <c r="AD20" s="41">
        <v>85449</v>
      </c>
      <c r="AE20" s="41">
        <v>377028331.67999995</v>
      </c>
      <c r="AF20" s="41">
        <v>8138</v>
      </c>
      <c r="AG20" s="41">
        <v>8138</v>
      </c>
      <c r="AH20" s="36">
        <v>44958</v>
      </c>
      <c r="AI20" s="36">
        <v>45352</v>
      </c>
      <c r="AJ20" s="36"/>
      <c r="AK20" s="36">
        <v>44972</v>
      </c>
      <c r="AL20" s="46">
        <v>45383</v>
      </c>
      <c r="AM20" s="46"/>
      <c r="AN20" s="40" t="s">
        <v>206</v>
      </c>
      <c r="AO20" s="40" t="s">
        <v>207</v>
      </c>
      <c r="AP20" s="40" t="s">
        <v>208</v>
      </c>
      <c r="AQ20" s="40" t="s">
        <v>80</v>
      </c>
      <c r="AR20" s="37">
        <v>100</v>
      </c>
      <c r="AS20" s="37">
        <v>0</v>
      </c>
      <c r="AT20" s="37" t="s">
        <v>59</v>
      </c>
      <c r="AU20" s="51">
        <v>21</v>
      </c>
      <c r="AV20" s="37" t="s">
        <v>60</v>
      </c>
      <c r="AW20" s="37">
        <v>10</v>
      </c>
      <c r="AX20" s="30">
        <v>76167871.415999994</v>
      </c>
      <c r="AY20" s="40" t="s">
        <v>61</v>
      </c>
    </row>
    <row r="21" spans="1:51" ht="76.5" customHeight="1" x14ac:dyDescent="0.25">
      <c r="A21" s="35" t="s">
        <v>209</v>
      </c>
      <c r="B21" s="36">
        <v>44680</v>
      </c>
      <c r="C21" s="37">
        <v>1416</v>
      </c>
      <c r="D21" s="35" t="s">
        <v>210</v>
      </c>
      <c r="E21" s="39" t="s">
        <v>211</v>
      </c>
      <c r="F21" s="36">
        <v>44712</v>
      </c>
      <c r="G21" s="35" t="s">
        <v>212</v>
      </c>
      <c r="H21" s="40" t="s">
        <v>213</v>
      </c>
      <c r="I21" s="40" t="s">
        <v>214</v>
      </c>
      <c r="J21" s="41">
        <v>61486783.68</v>
      </c>
      <c r="K21" s="41" t="s">
        <v>215</v>
      </c>
      <c r="L21" s="41" t="s">
        <v>215</v>
      </c>
      <c r="M21" s="41">
        <v>0</v>
      </c>
      <c r="N21" s="42">
        <v>2.5000000130109288</v>
      </c>
      <c r="O21" s="43">
        <v>1537169.6000000015</v>
      </c>
      <c r="P21" s="41">
        <v>59949614.079999998</v>
      </c>
      <c r="Q21" s="43">
        <v>-1537213.4399999976</v>
      </c>
      <c r="R21" s="41">
        <v>29974785.120000001</v>
      </c>
      <c r="S21" s="30">
        <v>29974785.120000001</v>
      </c>
      <c r="T21" s="30">
        <v>59949570.240000002</v>
      </c>
      <c r="U21" s="30">
        <v>3076.23</v>
      </c>
      <c r="V21" s="41">
        <v>3076.23</v>
      </c>
      <c r="W21" s="41">
        <v>64600.83</v>
      </c>
      <c r="X21" s="41">
        <v>19488</v>
      </c>
      <c r="Y21" s="41"/>
      <c r="Z21" s="41">
        <v>9744</v>
      </c>
      <c r="AA21" s="41"/>
      <c r="AB21" s="41">
        <v>0</v>
      </c>
      <c r="AC21" s="41">
        <v>0</v>
      </c>
      <c r="AD21" s="41">
        <v>9744</v>
      </c>
      <c r="AE21" s="41">
        <v>29974785.120000001</v>
      </c>
      <c r="AF21" s="41">
        <v>928</v>
      </c>
      <c r="AG21" s="41">
        <v>928</v>
      </c>
      <c r="AH21" s="36">
        <v>44958</v>
      </c>
      <c r="AI21" s="36">
        <v>45292</v>
      </c>
      <c r="AJ21" s="36"/>
      <c r="AK21" s="36">
        <v>44972</v>
      </c>
      <c r="AL21" s="36">
        <v>45366</v>
      </c>
      <c r="AM21" s="46"/>
      <c r="AN21" s="40" t="s">
        <v>216</v>
      </c>
      <c r="AO21" s="40" t="s">
        <v>217</v>
      </c>
      <c r="AP21" s="40" t="s">
        <v>218</v>
      </c>
      <c r="AQ21" s="40" t="s">
        <v>80</v>
      </c>
      <c r="AR21" s="37">
        <v>100</v>
      </c>
      <c r="AS21" s="37">
        <v>0</v>
      </c>
      <c r="AT21" s="37" t="s">
        <v>59</v>
      </c>
      <c r="AU21" s="51">
        <v>21</v>
      </c>
      <c r="AV21" s="37" t="s">
        <v>219</v>
      </c>
      <c r="AW21" s="37">
        <v>10</v>
      </c>
      <c r="AX21" s="30">
        <v>6148678.3679999998</v>
      </c>
      <c r="AY21" s="40" t="s">
        <v>61</v>
      </c>
    </row>
    <row r="22" spans="1:51" ht="76.5" customHeight="1" x14ac:dyDescent="0.25">
      <c r="A22" s="35" t="s">
        <v>220</v>
      </c>
      <c r="B22" s="36">
        <v>44680</v>
      </c>
      <c r="C22" s="37">
        <v>1416</v>
      </c>
      <c r="D22" s="35" t="s">
        <v>221</v>
      </c>
      <c r="E22" s="39" t="s">
        <v>222</v>
      </c>
      <c r="F22" s="36">
        <v>44714</v>
      </c>
      <c r="G22" s="35" t="s">
        <v>223</v>
      </c>
      <c r="H22" s="40" t="s">
        <v>224</v>
      </c>
      <c r="I22" s="40" t="s">
        <v>225</v>
      </c>
      <c r="J22" s="41">
        <v>3291225799.6799998</v>
      </c>
      <c r="K22" s="41" t="s">
        <v>226</v>
      </c>
      <c r="L22" s="41" t="s">
        <v>226</v>
      </c>
      <c r="M22" s="41">
        <v>0</v>
      </c>
      <c r="N22" s="42">
        <v>0.50000001706354957</v>
      </c>
      <c r="O22" s="43">
        <v>16456129.559999943</v>
      </c>
      <c r="P22" s="41">
        <v>3274769670.1199999</v>
      </c>
      <c r="Q22" s="43">
        <v>-16460962.559999943</v>
      </c>
      <c r="R22" s="41">
        <v>1637382418.5599999</v>
      </c>
      <c r="S22" s="30">
        <v>1454542881.1199999</v>
      </c>
      <c r="T22" s="41">
        <v>3091925299.6799998</v>
      </c>
      <c r="U22" s="30">
        <v>4605.6849999999995</v>
      </c>
      <c r="V22" s="41">
        <v>4333.33</v>
      </c>
      <c r="W22" s="41"/>
      <c r="X22" s="41">
        <v>671328</v>
      </c>
      <c r="Y22" s="41"/>
      <c r="Z22" s="41">
        <v>335664</v>
      </c>
      <c r="AA22" s="41"/>
      <c r="AB22" s="41">
        <v>983</v>
      </c>
      <c r="AC22" s="41">
        <v>4259663.3899999997</v>
      </c>
      <c r="AD22" s="41">
        <v>334681</v>
      </c>
      <c r="AE22" s="41">
        <v>1450283217.73</v>
      </c>
      <c r="AF22" s="41">
        <v>0</v>
      </c>
      <c r="AG22" s="41">
        <v>0</v>
      </c>
      <c r="AH22" s="36">
        <v>44958</v>
      </c>
      <c r="AI22" s="36">
        <v>45352</v>
      </c>
      <c r="AJ22" s="36"/>
      <c r="AK22" s="36">
        <v>44972</v>
      </c>
      <c r="AL22" s="36">
        <v>45383</v>
      </c>
      <c r="AM22" s="46"/>
      <c r="AN22" s="40" t="s">
        <v>227</v>
      </c>
      <c r="AO22" s="40" t="s">
        <v>228</v>
      </c>
      <c r="AP22" s="40" t="s">
        <v>229</v>
      </c>
      <c r="AQ22" s="40" t="s">
        <v>80</v>
      </c>
      <c r="AR22" s="37">
        <v>100</v>
      </c>
      <c r="AS22" s="37">
        <v>0</v>
      </c>
      <c r="AT22" s="37" t="s">
        <v>59</v>
      </c>
      <c r="AU22" s="51">
        <v>21</v>
      </c>
      <c r="AV22" s="37" t="s">
        <v>60</v>
      </c>
      <c r="AW22" s="37">
        <v>10</v>
      </c>
      <c r="AX22" s="30">
        <v>329122579.96799999</v>
      </c>
      <c r="AY22" s="40" t="s">
        <v>95</v>
      </c>
    </row>
    <row r="23" spans="1:51" ht="76.5" customHeight="1" x14ac:dyDescent="0.25">
      <c r="A23" s="35" t="s">
        <v>230</v>
      </c>
      <c r="B23" s="36">
        <v>44680</v>
      </c>
      <c r="C23" s="37">
        <v>1416</v>
      </c>
      <c r="D23" s="35" t="s">
        <v>231</v>
      </c>
      <c r="E23" s="39" t="s">
        <v>232</v>
      </c>
      <c r="F23" s="36">
        <v>44712</v>
      </c>
      <c r="G23" s="35" t="s">
        <v>233</v>
      </c>
      <c r="H23" s="40" t="s">
        <v>213</v>
      </c>
      <c r="I23" s="40" t="s">
        <v>234</v>
      </c>
      <c r="J23" s="41">
        <v>268892744.39999998</v>
      </c>
      <c r="K23" s="41" t="s">
        <v>235</v>
      </c>
      <c r="L23" s="41" t="s">
        <v>235</v>
      </c>
      <c r="M23" s="41">
        <v>0</v>
      </c>
      <c r="N23" s="42">
        <v>1.4999999977686147</v>
      </c>
      <c r="O23" s="43">
        <v>4033391.1599999666</v>
      </c>
      <c r="P23" s="41">
        <v>264859353.24000001</v>
      </c>
      <c r="Q23" s="43">
        <v>4033505.6999999881</v>
      </c>
      <c r="R23" s="41">
        <v>132429619.34999999</v>
      </c>
      <c r="S23" s="30">
        <v>132429619.34999999</v>
      </c>
      <c r="T23" s="30">
        <v>264859238.69999999</v>
      </c>
      <c r="U23" s="30">
        <v>4162.49</v>
      </c>
      <c r="V23" s="41">
        <v>4162.49</v>
      </c>
      <c r="W23" s="41">
        <v>87412.29</v>
      </c>
      <c r="X23" s="41">
        <v>63630</v>
      </c>
      <c r="Y23" s="41"/>
      <c r="Z23" s="41">
        <v>31815</v>
      </c>
      <c r="AA23" s="41"/>
      <c r="AB23" s="41">
        <v>0</v>
      </c>
      <c r="AC23" s="41">
        <v>0</v>
      </c>
      <c r="AD23" s="41">
        <v>31815</v>
      </c>
      <c r="AE23" s="41">
        <v>132429619.34999999</v>
      </c>
      <c r="AF23" s="41">
        <v>3030</v>
      </c>
      <c r="AG23" s="41">
        <v>3030</v>
      </c>
      <c r="AH23" s="36">
        <v>44958</v>
      </c>
      <c r="AI23" s="36">
        <v>45352</v>
      </c>
      <c r="AJ23" s="36"/>
      <c r="AK23" s="36">
        <v>44972</v>
      </c>
      <c r="AL23" s="36">
        <v>45383</v>
      </c>
      <c r="AM23" s="46"/>
      <c r="AN23" s="40" t="s">
        <v>216</v>
      </c>
      <c r="AO23" s="40" t="s">
        <v>236</v>
      </c>
      <c r="AP23" s="40" t="s">
        <v>218</v>
      </c>
      <c r="AQ23" s="40" t="s">
        <v>80</v>
      </c>
      <c r="AR23" s="48">
        <v>0</v>
      </c>
      <c r="AS23" s="37">
        <v>100</v>
      </c>
      <c r="AT23" s="37" t="s">
        <v>59</v>
      </c>
      <c r="AU23" s="47">
        <v>21</v>
      </c>
      <c r="AV23" s="37" t="s">
        <v>219</v>
      </c>
      <c r="AW23" s="37">
        <v>10</v>
      </c>
      <c r="AX23" s="30">
        <v>26889274.440000001</v>
      </c>
      <c r="AY23" s="40" t="s">
        <v>61</v>
      </c>
    </row>
    <row r="24" spans="1:51" ht="76.5" customHeight="1" x14ac:dyDescent="0.25">
      <c r="A24" s="35" t="s">
        <v>237</v>
      </c>
      <c r="B24" s="36">
        <v>44685</v>
      </c>
      <c r="C24" s="37">
        <v>1416</v>
      </c>
      <c r="D24" s="35" t="s">
        <v>238</v>
      </c>
      <c r="E24" s="39" t="s">
        <v>239</v>
      </c>
      <c r="F24" s="36">
        <v>44626</v>
      </c>
      <c r="G24" s="35" t="s">
        <v>240</v>
      </c>
      <c r="H24" s="40" t="s">
        <v>112</v>
      </c>
      <c r="I24" s="40" t="s">
        <v>241</v>
      </c>
      <c r="J24" s="41">
        <v>1400150205</v>
      </c>
      <c r="K24" s="41" t="s">
        <v>242</v>
      </c>
      <c r="L24" s="41" t="s">
        <v>242</v>
      </c>
      <c r="M24" s="41">
        <v>0</v>
      </c>
      <c r="N24" s="42">
        <v>99.159763341962304</v>
      </c>
      <c r="O24" s="43">
        <v>1388385629.71</v>
      </c>
      <c r="P24" s="41">
        <v>11764575.289999999</v>
      </c>
      <c r="Q24" s="43">
        <v>1394269544.25</v>
      </c>
      <c r="R24" s="41">
        <v>5880660.75</v>
      </c>
      <c r="S24" s="30">
        <v>5880660.75</v>
      </c>
      <c r="T24" s="41">
        <v>11761321.5</v>
      </c>
      <c r="U24" s="30">
        <v>7.87</v>
      </c>
      <c r="V24" s="41">
        <v>7.87</v>
      </c>
      <c r="W24" s="41">
        <v>220.36</v>
      </c>
      <c r="X24" s="41">
        <v>1494450</v>
      </c>
      <c r="Y24" s="41"/>
      <c r="Z24" s="41">
        <v>747225</v>
      </c>
      <c r="AA24" s="41"/>
      <c r="AB24" s="41">
        <v>2044</v>
      </c>
      <c r="AC24" s="41">
        <v>16086.28</v>
      </c>
      <c r="AD24" s="41">
        <v>745181</v>
      </c>
      <c r="AE24" s="41">
        <v>5864574.4699999997</v>
      </c>
      <c r="AF24" s="41">
        <v>53373.214285714283</v>
      </c>
      <c r="AG24" s="41">
        <v>53374</v>
      </c>
      <c r="AH24" s="36">
        <v>44986</v>
      </c>
      <c r="AI24" s="36">
        <v>45352</v>
      </c>
      <c r="AJ24" s="36"/>
      <c r="AK24" s="36">
        <v>45000</v>
      </c>
      <c r="AL24" s="36">
        <v>45383</v>
      </c>
      <c r="AM24" s="46"/>
      <c r="AN24" s="40" t="s">
        <v>243</v>
      </c>
      <c r="AO24" s="40" t="s">
        <v>244</v>
      </c>
      <c r="AP24" s="40" t="s">
        <v>245</v>
      </c>
      <c r="AQ24" s="40" t="s">
        <v>80</v>
      </c>
      <c r="AR24" s="48">
        <v>100</v>
      </c>
      <c r="AS24" s="37">
        <v>0</v>
      </c>
      <c r="AT24" s="37" t="s">
        <v>59</v>
      </c>
      <c r="AU24" s="47">
        <v>28</v>
      </c>
      <c r="AV24" s="37" t="s">
        <v>60</v>
      </c>
      <c r="AW24" s="37">
        <v>10</v>
      </c>
      <c r="AX24" s="30">
        <v>140015020.5</v>
      </c>
      <c r="AY24" s="40" t="s">
        <v>61</v>
      </c>
    </row>
    <row r="25" spans="1:51" ht="76.5" customHeight="1" x14ac:dyDescent="0.25">
      <c r="A25" s="35" t="s">
        <v>246</v>
      </c>
      <c r="B25" s="36">
        <v>44708</v>
      </c>
      <c r="C25" s="37">
        <v>1416</v>
      </c>
      <c r="D25" s="35" t="s">
        <v>247</v>
      </c>
      <c r="E25" s="39" t="s">
        <v>248</v>
      </c>
      <c r="F25" s="36">
        <v>44739</v>
      </c>
      <c r="G25" s="37" t="s">
        <v>249</v>
      </c>
      <c r="H25" s="40" t="s">
        <v>250</v>
      </c>
      <c r="I25" s="40" t="s">
        <v>251</v>
      </c>
      <c r="J25" s="41">
        <v>761721856</v>
      </c>
      <c r="K25" s="41" t="s">
        <v>252</v>
      </c>
      <c r="L25" s="41" t="s">
        <v>252</v>
      </c>
      <c r="M25" s="41">
        <v>0</v>
      </c>
      <c r="N25" s="42">
        <v>0</v>
      </c>
      <c r="O25" s="43">
        <v>0</v>
      </c>
      <c r="P25" s="41">
        <v>761721856</v>
      </c>
      <c r="Q25" s="43">
        <v>0</v>
      </c>
      <c r="R25" s="41">
        <v>380860928</v>
      </c>
      <c r="S25" s="30">
        <v>380860928</v>
      </c>
      <c r="T25" s="30">
        <v>761721856</v>
      </c>
      <c r="U25" s="30">
        <v>258.39999999999998</v>
      </c>
      <c r="V25" s="41">
        <v>258.39999999999998</v>
      </c>
      <c r="W25" s="41">
        <v>7235.1999999999989</v>
      </c>
      <c r="X25" s="41">
        <v>2947840</v>
      </c>
      <c r="Y25" s="41"/>
      <c r="Z25" s="41">
        <v>1473920</v>
      </c>
      <c r="AA25" s="41"/>
      <c r="AB25" s="41">
        <v>1820</v>
      </c>
      <c r="AC25" s="41">
        <v>470287.99999999994</v>
      </c>
      <c r="AD25" s="41">
        <v>1472100</v>
      </c>
      <c r="AE25" s="41">
        <v>380390639.99999994</v>
      </c>
      <c r="AF25" s="41">
        <v>105280</v>
      </c>
      <c r="AG25" s="41">
        <v>105280</v>
      </c>
      <c r="AH25" s="36">
        <v>44958</v>
      </c>
      <c r="AI25" s="36">
        <v>45323</v>
      </c>
      <c r="AJ25" s="36"/>
      <c r="AK25" s="36">
        <v>44972</v>
      </c>
      <c r="AL25" s="36">
        <v>45352</v>
      </c>
      <c r="AM25" s="46"/>
      <c r="AN25" s="40" t="s">
        <v>115</v>
      </c>
      <c r="AO25" s="40" t="s">
        <v>253</v>
      </c>
      <c r="AP25" s="40" t="s">
        <v>254</v>
      </c>
      <c r="AQ25" s="40" t="s">
        <v>80</v>
      </c>
      <c r="AR25" s="37">
        <v>100</v>
      </c>
      <c r="AS25" s="37">
        <v>0</v>
      </c>
      <c r="AT25" s="37" t="s">
        <v>81</v>
      </c>
      <c r="AU25" s="47">
        <v>28</v>
      </c>
      <c r="AV25" s="37" t="s">
        <v>60</v>
      </c>
      <c r="AW25" s="37">
        <v>10</v>
      </c>
      <c r="AX25" s="30">
        <v>76172185.599999994</v>
      </c>
      <c r="AY25" s="40" t="s">
        <v>95</v>
      </c>
    </row>
    <row r="26" spans="1:51" ht="78.75" x14ac:dyDescent="0.25">
      <c r="A26" s="35" t="s">
        <v>255</v>
      </c>
      <c r="B26" s="36">
        <v>44706</v>
      </c>
      <c r="C26" s="37">
        <v>1416</v>
      </c>
      <c r="D26" s="35" t="s">
        <v>256</v>
      </c>
      <c r="E26" s="39" t="s">
        <v>257</v>
      </c>
      <c r="F26" s="36">
        <v>44729</v>
      </c>
      <c r="G26" s="37" t="s">
        <v>258</v>
      </c>
      <c r="H26" s="40" t="s">
        <v>139</v>
      </c>
      <c r="I26" s="40" t="s">
        <v>259</v>
      </c>
      <c r="J26" s="41">
        <v>274032460.80000001</v>
      </c>
      <c r="K26" s="41" t="s">
        <v>260</v>
      </c>
      <c r="L26" s="41" t="s">
        <v>260</v>
      </c>
      <c r="M26" s="41">
        <v>0</v>
      </c>
      <c r="N26" s="42">
        <v>0</v>
      </c>
      <c r="O26" s="43">
        <v>0</v>
      </c>
      <c r="P26" s="30">
        <v>274032460.80000001</v>
      </c>
      <c r="Q26" s="43">
        <v>0</v>
      </c>
      <c r="R26" s="41">
        <v>137016230.40000001</v>
      </c>
      <c r="S26" s="30">
        <v>136875267.19999999</v>
      </c>
      <c r="T26" s="30">
        <v>273891497.60000002</v>
      </c>
      <c r="U26" s="30">
        <v>2013.7600000000002</v>
      </c>
      <c r="V26" s="41">
        <v>2013.7600000000002</v>
      </c>
      <c r="W26" s="41">
        <v>20137.600000000002</v>
      </c>
      <c r="X26" s="41">
        <v>136010</v>
      </c>
      <c r="Y26" s="41"/>
      <c r="Z26" s="41">
        <v>67970</v>
      </c>
      <c r="AA26" s="41"/>
      <c r="AB26" s="41">
        <v>51570</v>
      </c>
      <c r="AC26" s="41">
        <v>103849603.20000002</v>
      </c>
      <c r="AD26" s="41">
        <v>16400</v>
      </c>
      <c r="AE26" s="41">
        <v>33025664.000000004</v>
      </c>
      <c r="AF26" s="41">
        <v>13601</v>
      </c>
      <c r="AG26" s="41">
        <v>13601</v>
      </c>
      <c r="AH26" s="36">
        <v>45031</v>
      </c>
      <c r="AI26" s="36">
        <v>45397</v>
      </c>
      <c r="AJ26" s="36"/>
      <c r="AK26" s="36">
        <v>45061</v>
      </c>
      <c r="AL26" s="36">
        <v>45427</v>
      </c>
      <c r="AM26" s="46"/>
      <c r="AN26" s="40" t="s">
        <v>261</v>
      </c>
      <c r="AO26" s="40" t="s">
        <v>262</v>
      </c>
      <c r="AP26" s="40" t="s">
        <v>263</v>
      </c>
      <c r="AQ26" s="40" t="s">
        <v>264</v>
      </c>
      <c r="AR26" s="48">
        <v>0</v>
      </c>
      <c r="AS26" s="37">
        <v>100</v>
      </c>
      <c r="AT26" s="37" t="s">
        <v>81</v>
      </c>
      <c r="AU26" s="47">
        <v>10</v>
      </c>
      <c r="AV26" s="37" t="s">
        <v>60</v>
      </c>
      <c r="AW26" s="37">
        <v>10</v>
      </c>
      <c r="AX26" s="30">
        <v>27403246.079999998</v>
      </c>
      <c r="AY26" s="40" t="s">
        <v>61</v>
      </c>
    </row>
    <row r="27" spans="1:51" ht="76.5" customHeight="1" x14ac:dyDescent="0.25">
      <c r="A27" s="35" t="s">
        <v>265</v>
      </c>
      <c r="B27" s="36">
        <v>44715</v>
      </c>
      <c r="C27" s="37">
        <v>1416</v>
      </c>
      <c r="D27" s="35" t="s">
        <v>266</v>
      </c>
      <c r="E27" s="39" t="s">
        <v>267</v>
      </c>
      <c r="F27" s="36">
        <v>44746</v>
      </c>
      <c r="G27" s="37" t="s">
        <v>268</v>
      </c>
      <c r="H27" s="40" t="s">
        <v>269</v>
      </c>
      <c r="I27" s="40" t="s">
        <v>270</v>
      </c>
      <c r="J27" s="41">
        <v>1240064812.8</v>
      </c>
      <c r="K27" s="41" t="s">
        <v>271</v>
      </c>
      <c r="L27" s="41" t="s">
        <v>271</v>
      </c>
      <c r="M27" s="41">
        <v>0</v>
      </c>
      <c r="N27" s="42">
        <v>0</v>
      </c>
      <c r="O27" s="43">
        <v>0</v>
      </c>
      <c r="P27" s="41">
        <v>1240064812.8</v>
      </c>
      <c r="Q27" s="43">
        <v>620032406.39999998</v>
      </c>
      <c r="R27" s="41">
        <v>620032406.39999998</v>
      </c>
      <c r="S27" s="30">
        <v>992041578</v>
      </c>
      <c r="T27" s="30">
        <v>1612073984.4000001</v>
      </c>
      <c r="U27" s="30">
        <v>142.67000000000002</v>
      </c>
      <c r="V27" s="41">
        <v>142.67000000000002</v>
      </c>
      <c r="W27" s="41">
        <v>17120.400000000001</v>
      </c>
      <c r="X27" s="41">
        <v>11299320</v>
      </c>
      <c r="Y27" s="41"/>
      <c r="Z27" s="41">
        <v>6953400</v>
      </c>
      <c r="AA27" s="41"/>
      <c r="AB27" s="41">
        <v>47880</v>
      </c>
      <c r="AC27" s="41">
        <v>6831039.6000000006</v>
      </c>
      <c r="AD27" s="41">
        <v>6905520</v>
      </c>
      <c r="AE27" s="41">
        <v>985210538.4000001</v>
      </c>
      <c r="AF27" s="41">
        <v>72432</v>
      </c>
      <c r="AG27" s="41">
        <v>72432</v>
      </c>
      <c r="AH27" s="36">
        <v>44986</v>
      </c>
      <c r="AI27" s="36">
        <v>45352</v>
      </c>
      <c r="AJ27" s="36"/>
      <c r="AK27" s="36">
        <v>45000</v>
      </c>
      <c r="AL27" s="36">
        <v>45383</v>
      </c>
      <c r="AM27" s="46"/>
      <c r="AN27" s="40" t="s">
        <v>272</v>
      </c>
      <c r="AO27" s="40" t="s">
        <v>273</v>
      </c>
      <c r="AP27" s="40" t="s">
        <v>274</v>
      </c>
      <c r="AQ27" s="40" t="s">
        <v>275</v>
      </c>
      <c r="AR27" s="48">
        <v>0</v>
      </c>
      <c r="AS27" s="37">
        <v>100</v>
      </c>
      <c r="AT27" s="37" t="s">
        <v>276</v>
      </c>
      <c r="AU27" s="47">
        <v>120</v>
      </c>
      <c r="AV27" s="37" t="s">
        <v>60</v>
      </c>
      <c r="AW27" s="37">
        <v>10</v>
      </c>
      <c r="AX27" s="30">
        <v>124006481.28</v>
      </c>
      <c r="AY27" s="40" t="s">
        <v>61</v>
      </c>
    </row>
    <row r="28" spans="1:51" ht="76.5" customHeight="1" x14ac:dyDescent="0.25">
      <c r="A28" s="35" t="s">
        <v>277</v>
      </c>
      <c r="B28" s="36">
        <v>44719</v>
      </c>
      <c r="C28" s="37">
        <v>1416</v>
      </c>
      <c r="D28" s="35" t="s">
        <v>278</v>
      </c>
      <c r="E28" s="39" t="s">
        <v>279</v>
      </c>
      <c r="F28" s="36">
        <v>44746</v>
      </c>
      <c r="G28" s="35" t="s">
        <v>280</v>
      </c>
      <c r="H28" s="40" t="s">
        <v>86</v>
      </c>
      <c r="I28" s="40" t="s">
        <v>281</v>
      </c>
      <c r="J28" s="41">
        <v>117119160</v>
      </c>
      <c r="K28" s="41" t="s">
        <v>282</v>
      </c>
      <c r="L28" s="41" t="s">
        <v>282</v>
      </c>
      <c r="M28" s="41">
        <v>0</v>
      </c>
      <c r="N28" s="42">
        <v>0</v>
      </c>
      <c r="O28" s="43">
        <v>0</v>
      </c>
      <c r="P28" s="41">
        <v>117119160</v>
      </c>
      <c r="Q28" s="43">
        <v>0</v>
      </c>
      <c r="R28" s="41">
        <v>58559580</v>
      </c>
      <c r="S28" s="30">
        <v>93665640</v>
      </c>
      <c r="T28" s="30">
        <v>152225220</v>
      </c>
      <c r="U28" s="30">
        <v>12.37</v>
      </c>
      <c r="V28" s="41">
        <v>12.37</v>
      </c>
      <c r="W28" s="41">
        <v>37110</v>
      </c>
      <c r="X28" s="41">
        <v>12306000</v>
      </c>
      <c r="Y28" s="41"/>
      <c r="Z28" s="41">
        <v>7572000</v>
      </c>
      <c r="AA28" s="41"/>
      <c r="AB28" s="41">
        <v>0</v>
      </c>
      <c r="AC28" s="41">
        <v>0</v>
      </c>
      <c r="AD28" s="41">
        <v>7572000</v>
      </c>
      <c r="AE28" s="41">
        <v>93665640</v>
      </c>
      <c r="AF28" s="41">
        <v>3156</v>
      </c>
      <c r="AG28" s="41">
        <v>3156</v>
      </c>
      <c r="AH28" s="36">
        <v>44986</v>
      </c>
      <c r="AI28" s="36">
        <v>45352</v>
      </c>
      <c r="AJ28" s="36"/>
      <c r="AK28" s="36">
        <v>45000</v>
      </c>
      <c r="AL28" s="36">
        <v>45383</v>
      </c>
      <c r="AM28" s="46"/>
      <c r="AN28" s="40" t="s">
        <v>89</v>
      </c>
      <c r="AO28" s="40" t="s">
        <v>283</v>
      </c>
      <c r="AP28" s="40" t="s">
        <v>91</v>
      </c>
      <c r="AQ28" s="40" t="s">
        <v>92</v>
      </c>
      <c r="AR28" s="48">
        <v>0</v>
      </c>
      <c r="AS28" s="37">
        <v>100</v>
      </c>
      <c r="AT28" s="37" t="s">
        <v>93</v>
      </c>
      <c r="AU28" s="47">
        <v>3000</v>
      </c>
      <c r="AV28" s="37" t="s">
        <v>60</v>
      </c>
      <c r="AW28" s="37">
        <v>10</v>
      </c>
      <c r="AX28" s="30">
        <v>11711916</v>
      </c>
      <c r="AY28" s="40" t="s">
        <v>61</v>
      </c>
    </row>
    <row r="29" spans="1:51" ht="86.25" customHeight="1" x14ac:dyDescent="0.25">
      <c r="A29" s="35" t="s">
        <v>284</v>
      </c>
      <c r="B29" s="36">
        <v>44719</v>
      </c>
      <c r="C29" s="37">
        <v>1416</v>
      </c>
      <c r="D29" s="35" t="s">
        <v>285</v>
      </c>
      <c r="E29" s="39" t="s">
        <v>286</v>
      </c>
      <c r="F29" s="36">
        <v>44750</v>
      </c>
      <c r="G29" s="35" t="s">
        <v>287</v>
      </c>
      <c r="H29" s="40" t="s">
        <v>86</v>
      </c>
      <c r="I29" s="40" t="s">
        <v>288</v>
      </c>
      <c r="J29" s="41">
        <v>1322673000</v>
      </c>
      <c r="K29" s="41" t="s">
        <v>289</v>
      </c>
      <c r="L29" s="41" t="s">
        <v>289</v>
      </c>
      <c r="M29" s="41">
        <v>0</v>
      </c>
      <c r="N29" s="42">
        <v>0</v>
      </c>
      <c r="O29" s="43">
        <v>0</v>
      </c>
      <c r="P29" s="41">
        <v>1322673000</v>
      </c>
      <c r="Q29" s="43">
        <v>0</v>
      </c>
      <c r="R29" s="41">
        <v>661336500</v>
      </c>
      <c r="S29" s="30">
        <v>1058027437.5</v>
      </c>
      <c r="T29" s="41">
        <v>1719363937.5</v>
      </c>
      <c r="U29" s="30">
        <v>3698.75</v>
      </c>
      <c r="V29" s="41">
        <v>3698.75</v>
      </c>
      <c r="W29" s="41">
        <v>3698.75</v>
      </c>
      <c r="X29" s="41">
        <v>464850</v>
      </c>
      <c r="Y29" s="41"/>
      <c r="Z29" s="41">
        <v>286050</v>
      </c>
      <c r="AA29" s="41"/>
      <c r="AB29" s="41">
        <v>219300</v>
      </c>
      <c r="AC29" s="41">
        <v>811135875</v>
      </c>
      <c r="AD29" s="41">
        <v>66750</v>
      </c>
      <c r="AE29" s="41">
        <v>246891562.5</v>
      </c>
      <c r="AF29" s="41">
        <v>357600</v>
      </c>
      <c r="AG29" s="41">
        <v>357600</v>
      </c>
      <c r="AH29" s="36">
        <v>44986</v>
      </c>
      <c r="AI29" s="36">
        <v>45352</v>
      </c>
      <c r="AJ29" s="36"/>
      <c r="AK29" s="36">
        <v>45000</v>
      </c>
      <c r="AL29" s="36">
        <v>45383</v>
      </c>
      <c r="AM29" s="46"/>
      <c r="AN29" s="40" t="s">
        <v>290</v>
      </c>
      <c r="AO29" s="40" t="s">
        <v>291</v>
      </c>
      <c r="AP29" s="40" t="s">
        <v>292</v>
      </c>
      <c r="AQ29" s="40" t="s">
        <v>293</v>
      </c>
      <c r="AR29" s="48">
        <v>0</v>
      </c>
      <c r="AS29" s="37">
        <v>100</v>
      </c>
      <c r="AT29" s="40" t="s">
        <v>294</v>
      </c>
      <c r="AU29" s="50">
        <v>1</v>
      </c>
      <c r="AV29" s="37" t="s">
        <v>60</v>
      </c>
      <c r="AW29" s="37">
        <v>10</v>
      </c>
      <c r="AX29" s="30">
        <v>132267300</v>
      </c>
      <c r="AY29" s="40" t="s">
        <v>95</v>
      </c>
    </row>
    <row r="30" spans="1:51" ht="76.5" customHeight="1" x14ac:dyDescent="0.25">
      <c r="A30" s="35" t="s">
        <v>295</v>
      </c>
      <c r="B30" s="36">
        <v>44721</v>
      </c>
      <c r="C30" s="37">
        <v>1416</v>
      </c>
      <c r="D30" s="35" t="s">
        <v>296</v>
      </c>
      <c r="E30" s="39" t="s">
        <v>297</v>
      </c>
      <c r="F30" s="36">
        <v>44746</v>
      </c>
      <c r="G30" s="37" t="s">
        <v>298</v>
      </c>
      <c r="H30" s="40" t="s">
        <v>139</v>
      </c>
      <c r="I30" s="40" t="s">
        <v>299</v>
      </c>
      <c r="J30" s="41">
        <v>132241909.8</v>
      </c>
      <c r="K30" s="41" t="s">
        <v>300</v>
      </c>
      <c r="L30" s="41" t="s">
        <v>301</v>
      </c>
      <c r="M30" s="41">
        <v>0</v>
      </c>
      <c r="N30" s="42">
        <v>0</v>
      </c>
      <c r="O30" s="43">
        <v>0</v>
      </c>
      <c r="P30" s="41">
        <v>132241909.8</v>
      </c>
      <c r="Q30" s="43">
        <v>0</v>
      </c>
      <c r="R30" s="41">
        <v>48848723</v>
      </c>
      <c r="S30" s="30">
        <v>63519448.299999997</v>
      </c>
      <c r="T30" s="30">
        <v>146912635.09999999</v>
      </c>
      <c r="U30" s="30">
        <v>2013.55</v>
      </c>
      <c r="V30" s="41">
        <v>2013.55</v>
      </c>
      <c r="W30" s="41">
        <v>8054.2</v>
      </c>
      <c r="X30" s="41">
        <v>72962</v>
      </c>
      <c r="Y30" s="41"/>
      <c r="Z30" s="41">
        <v>31546</v>
      </c>
      <c r="AA30" s="41"/>
      <c r="AB30" s="41">
        <v>26078</v>
      </c>
      <c r="AC30" s="41">
        <v>52509356.899999999</v>
      </c>
      <c r="AD30" s="41">
        <v>5468</v>
      </c>
      <c r="AE30" s="41">
        <v>11010091.4</v>
      </c>
      <c r="AF30" s="41">
        <v>16419</v>
      </c>
      <c r="AG30" s="41">
        <v>16419</v>
      </c>
      <c r="AH30" s="36">
        <v>44986</v>
      </c>
      <c r="AI30" s="36">
        <v>45352</v>
      </c>
      <c r="AJ30" s="36"/>
      <c r="AK30" s="36">
        <v>45000</v>
      </c>
      <c r="AL30" s="36">
        <v>45383</v>
      </c>
      <c r="AM30" s="46"/>
      <c r="AN30" s="40" t="s">
        <v>261</v>
      </c>
      <c r="AO30" s="40" t="s">
        <v>302</v>
      </c>
      <c r="AP30" s="40" t="s">
        <v>263</v>
      </c>
      <c r="AQ30" s="40" t="s">
        <v>264</v>
      </c>
      <c r="AR30" s="48">
        <v>0</v>
      </c>
      <c r="AS30" s="37">
        <v>100</v>
      </c>
      <c r="AT30" s="37" t="s">
        <v>81</v>
      </c>
      <c r="AU30" s="47">
        <v>4</v>
      </c>
      <c r="AV30" s="37" t="s">
        <v>60</v>
      </c>
      <c r="AW30" s="37">
        <v>10</v>
      </c>
      <c r="AX30" s="30">
        <v>13224190.98</v>
      </c>
      <c r="AY30" s="40" t="s">
        <v>61</v>
      </c>
    </row>
    <row r="31" spans="1:51" ht="78.75" x14ac:dyDescent="0.25">
      <c r="A31" s="44" t="s">
        <v>602</v>
      </c>
      <c r="B31" s="36">
        <v>45230</v>
      </c>
      <c r="C31" s="37">
        <v>1416</v>
      </c>
      <c r="D31" s="35" t="s">
        <v>603</v>
      </c>
      <c r="E31" s="39" t="s">
        <v>604</v>
      </c>
      <c r="F31" s="36">
        <v>45250</v>
      </c>
      <c r="G31" s="37" t="s">
        <v>605</v>
      </c>
      <c r="H31" s="40" t="s">
        <v>53</v>
      </c>
      <c r="I31" s="40" t="s">
        <v>606</v>
      </c>
      <c r="J31" s="41">
        <v>265649669</v>
      </c>
      <c r="K31" s="41">
        <v>265649669</v>
      </c>
      <c r="L31" s="41">
        <v>0</v>
      </c>
      <c r="M31" s="41">
        <v>0</v>
      </c>
      <c r="N31" s="42">
        <v>0</v>
      </c>
      <c r="O31" s="43">
        <v>0</v>
      </c>
      <c r="P31" s="41">
        <v>265649669</v>
      </c>
      <c r="Q31" s="43">
        <v>0</v>
      </c>
      <c r="R31" s="41">
        <v>265649669</v>
      </c>
      <c r="S31" s="30">
        <v>265649669</v>
      </c>
      <c r="T31" s="30">
        <v>265649669</v>
      </c>
      <c r="U31" s="30">
        <v>25791.23</v>
      </c>
      <c r="V31" s="41">
        <v>25791.23</v>
      </c>
      <c r="W31" s="41">
        <v>257912.3</v>
      </c>
      <c r="X31" s="41">
        <v>10300</v>
      </c>
      <c r="Y31" s="41">
        <v>10300</v>
      </c>
      <c r="Z31" s="41">
        <v>0</v>
      </c>
      <c r="AA31" s="41">
        <v>0</v>
      </c>
      <c r="AB31" s="41">
        <v>0</v>
      </c>
      <c r="AC31" s="41">
        <v>0</v>
      </c>
      <c r="AD31" s="41">
        <v>10300</v>
      </c>
      <c r="AE31" s="41">
        <v>265649669</v>
      </c>
      <c r="AF31" s="41">
        <v>1030</v>
      </c>
      <c r="AG31" s="41">
        <v>1030</v>
      </c>
      <c r="AH31" s="36">
        <v>45301</v>
      </c>
      <c r="AI31" s="36"/>
      <c r="AJ31" s="36"/>
      <c r="AK31" s="36">
        <v>45332</v>
      </c>
      <c r="AL31" s="36"/>
      <c r="AM31" s="46"/>
      <c r="AN31" s="40" t="s">
        <v>607</v>
      </c>
      <c r="AO31" s="40" t="s">
        <v>608</v>
      </c>
      <c r="AP31" s="40" t="s">
        <v>609</v>
      </c>
      <c r="AQ31" s="40" t="s">
        <v>92</v>
      </c>
      <c r="AR31" s="48">
        <v>0</v>
      </c>
      <c r="AS31" s="37">
        <v>100</v>
      </c>
      <c r="AT31" s="37" t="s">
        <v>81</v>
      </c>
      <c r="AU31" s="47">
        <v>10</v>
      </c>
      <c r="AV31" s="37" t="s">
        <v>60</v>
      </c>
      <c r="AW31" s="37">
        <v>10</v>
      </c>
      <c r="AX31" s="30">
        <v>26564966.899999999</v>
      </c>
      <c r="AY31" s="40" t="s">
        <v>95</v>
      </c>
    </row>
    <row r="32" spans="1:51" ht="78.75" x14ac:dyDescent="0.25">
      <c r="A32" s="44" t="s">
        <v>610</v>
      </c>
      <c r="B32" s="36">
        <v>45230</v>
      </c>
      <c r="C32" s="37">
        <v>1416</v>
      </c>
      <c r="D32" s="35" t="s">
        <v>611</v>
      </c>
      <c r="E32" s="39" t="s">
        <v>612</v>
      </c>
      <c r="F32" s="36">
        <v>45250</v>
      </c>
      <c r="G32" s="37" t="s">
        <v>613</v>
      </c>
      <c r="H32" s="40" t="s">
        <v>53</v>
      </c>
      <c r="I32" s="40" t="s">
        <v>606</v>
      </c>
      <c r="J32" s="41">
        <v>299436180.30000001</v>
      </c>
      <c r="K32" s="41">
        <v>299436180.30000001</v>
      </c>
      <c r="L32" s="41">
        <v>0</v>
      </c>
      <c r="M32" s="41">
        <v>0</v>
      </c>
      <c r="N32" s="42">
        <v>0</v>
      </c>
      <c r="O32" s="43">
        <v>0</v>
      </c>
      <c r="P32" s="41">
        <v>299436180.30000001</v>
      </c>
      <c r="Q32" s="43">
        <v>0</v>
      </c>
      <c r="R32" s="41">
        <v>299436180.30000001</v>
      </c>
      <c r="S32" s="30">
        <v>299436180.30000001</v>
      </c>
      <c r="T32" s="30">
        <v>299436180.30000001</v>
      </c>
      <c r="U32" s="30">
        <v>25791.23</v>
      </c>
      <c r="V32" s="41">
        <v>25791.23</v>
      </c>
      <c r="W32" s="41">
        <v>257912.3</v>
      </c>
      <c r="X32" s="41">
        <v>11610</v>
      </c>
      <c r="Y32" s="41">
        <v>11610</v>
      </c>
      <c r="Z32" s="41">
        <v>0</v>
      </c>
      <c r="AA32" s="41">
        <v>0</v>
      </c>
      <c r="AB32" s="41">
        <v>0</v>
      </c>
      <c r="AC32" s="41">
        <v>0</v>
      </c>
      <c r="AD32" s="41">
        <v>11610</v>
      </c>
      <c r="AE32" s="41">
        <v>299436180.30000001</v>
      </c>
      <c r="AF32" s="41">
        <v>1161</v>
      </c>
      <c r="AG32" s="41">
        <v>1161</v>
      </c>
      <c r="AH32" s="36">
        <v>45301</v>
      </c>
      <c r="AI32" s="36"/>
      <c r="AJ32" s="36"/>
      <c r="AK32" s="36">
        <v>45332</v>
      </c>
      <c r="AL32" s="36"/>
      <c r="AM32" s="46"/>
      <c r="AN32" s="40" t="s">
        <v>607</v>
      </c>
      <c r="AO32" s="40" t="s">
        <v>608</v>
      </c>
      <c r="AP32" s="40" t="s">
        <v>609</v>
      </c>
      <c r="AQ32" s="40" t="s">
        <v>92</v>
      </c>
      <c r="AR32" s="48">
        <v>0</v>
      </c>
      <c r="AS32" s="37">
        <v>100</v>
      </c>
      <c r="AT32" s="37" t="s">
        <v>81</v>
      </c>
      <c r="AU32" s="47">
        <v>10</v>
      </c>
      <c r="AV32" s="37" t="s">
        <v>60</v>
      </c>
      <c r="AW32" s="37">
        <v>10</v>
      </c>
      <c r="AX32" s="30">
        <v>29943618.030000001</v>
      </c>
      <c r="AY32" s="40" t="s">
        <v>95</v>
      </c>
    </row>
    <row r="33" spans="1:51" ht="78.75" x14ac:dyDescent="0.25">
      <c r="A33" s="44" t="s">
        <v>614</v>
      </c>
      <c r="B33" s="36">
        <v>45230</v>
      </c>
      <c r="C33" s="37">
        <v>1416</v>
      </c>
      <c r="D33" s="35" t="s">
        <v>615</v>
      </c>
      <c r="E33" s="39" t="s">
        <v>616</v>
      </c>
      <c r="F33" s="36">
        <v>45250</v>
      </c>
      <c r="G33" s="37" t="s">
        <v>617</v>
      </c>
      <c r="H33" s="40" t="s">
        <v>53</v>
      </c>
      <c r="I33" s="40" t="s">
        <v>606</v>
      </c>
      <c r="J33" s="41">
        <v>296857057.30000001</v>
      </c>
      <c r="K33" s="41">
        <v>296857057.30000001</v>
      </c>
      <c r="L33" s="41">
        <v>0</v>
      </c>
      <c r="M33" s="41">
        <v>0</v>
      </c>
      <c r="N33" s="42">
        <v>0</v>
      </c>
      <c r="O33" s="43">
        <v>0</v>
      </c>
      <c r="P33" s="41">
        <v>296857057.30000001</v>
      </c>
      <c r="Q33" s="43">
        <v>0</v>
      </c>
      <c r="R33" s="41">
        <v>296857057.30000001</v>
      </c>
      <c r="S33" s="30">
        <v>296857057.30000001</v>
      </c>
      <c r="T33" s="30">
        <v>296857057.30000001</v>
      </c>
      <c r="U33" s="30">
        <v>25791.23</v>
      </c>
      <c r="V33" s="41">
        <v>25791.23</v>
      </c>
      <c r="W33" s="41">
        <v>257912.3</v>
      </c>
      <c r="X33" s="41">
        <v>11510</v>
      </c>
      <c r="Y33" s="41">
        <v>11510</v>
      </c>
      <c r="Z33" s="41">
        <v>0</v>
      </c>
      <c r="AA33" s="41">
        <v>0</v>
      </c>
      <c r="AB33" s="41">
        <v>0</v>
      </c>
      <c r="AC33" s="41">
        <v>0</v>
      </c>
      <c r="AD33" s="41">
        <v>11510</v>
      </c>
      <c r="AE33" s="41">
        <v>296857057.30000001</v>
      </c>
      <c r="AF33" s="41">
        <v>1151</v>
      </c>
      <c r="AG33" s="41">
        <v>1151</v>
      </c>
      <c r="AH33" s="36">
        <v>45301</v>
      </c>
      <c r="AI33" s="36"/>
      <c r="AJ33" s="36"/>
      <c r="AK33" s="36">
        <v>45332</v>
      </c>
      <c r="AL33" s="36"/>
      <c r="AM33" s="46"/>
      <c r="AN33" s="40" t="s">
        <v>607</v>
      </c>
      <c r="AO33" s="40" t="s">
        <v>608</v>
      </c>
      <c r="AP33" s="40" t="s">
        <v>609</v>
      </c>
      <c r="AQ33" s="40" t="s">
        <v>92</v>
      </c>
      <c r="AR33" s="48">
        <v>0</v>
      </c>
      <c r="AS33" s="37">
        <v>100</v>
      </c>
      <c r="AT33" s="37" t="s">
        <v>81</v>
      </c>
      <c r="AU33" s="47">
        <v>10</v>
      </c>
      <c r="AV33" s="37" t="s">
        <v>60</v>
      </c>
      <c r="AW33" s="37">
        <v>10</v>
      </c>
      <c r="AX33" s="30">
        <v>29685705.73</v>
      </c>
      <c r="AY33" s="40" t="s">
        <v>95</v>
      </c>
    </row>
    <row r="34" spans="1:51" ht="78.75" x14ac:dyDescent="0.25">
      <c r="A34" s="44" t="s">
        <v>618</v>
      </c>
      <c r="B34" s="36">
        <v>45230</v>
      </c>
      <c r="C34" s="37">
        <v>1416</v>
      </c>
      <c r="D34" s="35" t="s">
        <v>619</v>
      </c>
      <c r="E34" s="39" t="s">
        <v>620</v>
      </c>
      <c r="F34" s="36">
        <v>45250</v>
      </c>
      <c r="G34" s="37" t="s">
        <v>621</v>
      </c>
      <c r="H34" s="40" t="s">
        <v>53</v>
      </c>
      <c r="I34" s="40" t="s">
        <v>606</v>
      </c>
      <c r="J34" s="41">
        <v>296341232.69999999</v>
      </c>
      <c r="K34" s="41">
        <v>296341232.69999999</v>
      </c>
      <c r="L34" s="41">
        <v>0</v>
      </c>
      <c r="M34" s="41">
        <v>0</v>
      </c>
      <c r="N34" s="42">
        <v>0</v>
      </c>
      <c r="O34" s="43">
        <v>0</v>
      </c>
      <c r="P34" s="41">
        <v>296341232.69999999</v>
      </c>
      <c r="Q34" s="43">
        <v>0</v>
      </c>
      <c r="R34" s="41">
        <v>296341232.69999999</v>
      </c>
      <c r="S34" s="30">
        <v>296341232.69999999</v>
      </c>
      <c r="T34" s="30">
        <v>296341232.69999999</v>
      </c>
      <c r="U34" s="30">
        <v>25791.23</v>
      </c>
      <c r="V34" s="41">
        <v>25791.23</v>
      </c>
      <c r="W34" s="41">
        <v>257912.3</v>
      </c>
      <c r="X34" s="41">
        <v>11490</v>
      </c>
      <c r="Y34" s="41">
        <v>11490</v>
      </c>
      <c r="Z34" s="41">
        <v>0</v>
      </c>
      <c r="AA34" s="41">
        <v>0</v>
      </c>
      <c r="AB34" s="41">
        <v>0</v>
      </c>
      <c r="AC34" s="41">
        <v>0</v>
      </c>
      <c r="AD34" s="41">
        <v>11490</v>
      </c>
      <c r="AE34" s="41">
        <v>296341232.69999999</v>
      </c>
      <c r="AF34" s="41">
        <v>1149</v>
      </c>
      <c r="AG34" s="41">
        <v>1149</v>
      </c>
      <c r="AH34" s="36">
        <v>45301</v>
      </c>
      <c r="AI34" s="36"/>
      <c r="AJ34" s="36"/>
      <c r="AK34" s="36">
        <v>45332</v>
      </c>
      <c r="AL34" s="36"/>
      <c r="AM34" s="46"/>
      <c r="AN34" s="40" t="s">
        <v>607</v>
      </c>
      <c r="AO34" s="40" t="s">
        <v>608</v>
      </c>
      <c r="AP34" s="40" t="s">
        <v>609</v>
      </c>
      <c r="AQ34" s="40" t="s">
        <v>92</v>
      </c>
      <c r="AR34" s="48">
        <v>0</v>
      </c>
      <c r="AS34" s="37">
        <v>100</v>
      </c>
      <c r="AT34" s="37" t="s">
        <v>81</v>
      </c>
      <c r="AU34" s="47">
        <v>10</v>
      </c>
      <c r="AV34" s="37" t="s">
        <v>60</v>
      </c>
      <c r="AW34" s="37">
        <v>10</v>
      </c>
      <c r="AX34" s="30">
        <v>29634123.27</v>
      </c>
      <c r="AY34" s="40" t="s">
        <v>95</v>
      </c>
    </row>
    <row r="35" spans="1:51" ht="78.75" x14ac:dyDescent="0.25">
      <c r="A35" s="44" t="s">
        <v>622</v>
      </c>
      <c r="B35" s="36">
        <v>45230</v>
      </c>
      <c r="C35" s="37">
        <v>1416</v>
      </c>
      <c r="D35" s="35" t="s">
        <v>623</v>
      </c>
      <c r="E35" s="39" t="s">
        <v>624</v>
      </c>
      <c r="F35" s="36">
        <v>45250</v>
      </c>
      <c r="G35" s="37" t="s">
        <v>625</v>
      </c>
      <c r="H35" s="40" t="s">
        <v>53</v>
      </c>
      <c r="I35" s="40" t="s">
        <v>606</v>
      </c>
      <c r="J35" s="41">
        <v>291698811.30000001</v>
      </c>
      <c r="K35" s="41">
        <v>291698811.30000001</v>
      </c>
      <c r="L35" s="41">
        <v>0</v>
      </c>
      <c r="M35" s="41">
        <v>0</v>
      </c>
      <c r="N35" s="42">
        <v>0</v>
      </c>
      <c r="O35" s="43">
        <v>0</v>
      </c>
      <c r="P35" s="41">
        <v>291698811.30000001</v>
      </c>
      <c r="Q35" s="43">
        <v>0</v>
      </c>
      <c r="R35" s="41">
        <v>291698811.30000001</v>
      </c>
      <c r="S35" s="30">
        <v>291698811.30000001</v>
      </c>
      <c r="T35" s="30">
        <v>291698811.30000001</v>
      </c>
      <c r="U35" s="30">
        <v>25791.23</v>
      </c>
      <c r="V35" s="41">
        <v>25791.23</v>
      </c>
      <c r="W35" s="41">
        <v>257912.3</v>
      </c>
      <c r="X35" s="41">
        <v>11310</v>
      </c>
      <c r="Y35" s="41">
        <v>11310</v>
      </c>
      <c r="Z35" s="41">
        <v>0</v>
      </c>
      <c r="AA35" s="41">
        <v>0</v>
      </c>
      <c r="AB35" s="41">
        <v>0</v>
      </c>
      <c r="AC35" s="41">
        <v>0</v>
      </c>
      <c r="AD35" s="41">
        <v>11310</v>
      </c>
      <c r="AE35" s="41">
        <v>291698811.30000001</v>
      </c>
      <c r="AF35" s="41">
        <v>1131</v>
      </c>
      <c r="AG35" s="41">
        <v>1131</v>
      </c>
      <c r="AH35" s="36">
        <v>45301</v>
      </c>
      <c r="AI35" s="36"/>
      <c r="AJ35" s="36"/>
      <c r="AK35" s="36">
        <v>45332</v>
      </c>
      <c r="AL35" s="36"/>
      <c r="AM35" s="46"/>
      <c r="AN35" s="40" t="s">
        <v>607</v>
      </c>
      <c r="AO35" s="40" t="s">
        <v>608</v>
      </c>
      <c r="AP35" s="40" t="s">
        <v>609</v>
      </c>
      <c r="AQ35" s="40" t="s">
        <v>92</v>
      </c>
      <c r="AR35" s="48">
        <v>0</v>
      </c>
      <c r="AS35" s="37">
        <v>100</v>
      </c>
      <c r="AT35" s="37" t="s">
        <v>81</v>
      </c>
      <c r="AU35" s="47">
        <v>10</v>
      </c>
      <c r="AV35" s="37" t="s">
        <v>60</v>
      </c>
      <c r="AW35" s="37">
        <v>10</v>
      </c>
      <c r="AX35" s="30">
        <v>29169881.129999999</v>
      </c>
      <c r="AY35" s="40" t="s">
        <v>626</v>
      </c>
    </row>
    <row r="36" spans="1:51" ht="78.75" x14ac:dyDescent="0.25">
      <c r="A36" s="44" t="s">
        <v>627</v>
      </c>
      <c r="B36" s="36">
        <v>45230</v>
      </c>
      <c r="C36" s="37">
        <v>1416</v>
      </c>
      <c r="D36" s="35" t="s">
        <v>628</v>
      </c>
      <c r="E36" s="39" t="s">
        <v>629</v>
      </c>
      <c r="F36" s="36">
        <v>45250</v>
      </c>
      <c r="G36" s="37" t="s">
        <v>630</v>
      </c>
      <c r="H36" s="40" t="s">
        <v>53</v>
      </c>
      <c r="I36" s="40" t="s">
        <v>606</v>
      </c>
      <c r="J36" s="41">
        <v>291440899</v>
      </c>
      <c r="K36" s="41">
        <v>291440899</v>
      </c>
      <c r="L36" s="41">
        <v>0</v>
      </c>
      <c r="M36" s="41">
        <v>0</v>
      </c>
      <c r="N36" s="42">
        <v>0</v>
      </c>
      <c r="O36" s="43">
        <v>0</v>
      </c>
      <c r="P36" s="41">
        <v>291440899</v>
      </c>
      <c r="Q36" s="43">
        <v>0</v>
      </c>
      <c r="R36" s="41">
        <v>291440899</v>
      </c>
      <c r="S36" s="30">
        <v>291440899</v>
      </c>
      <c r="T36" s="30">
        <v>291440899</v>
      </c>
      <c r="U36" s="30">
        <v>25791.23</v>
      </c>
      <c r="V36" s="41">
        <v>25791.23</v>
      </c>
      <c r="W36" s="41">
        <v>257912.3</v>
      </c>
      <c r="X36" s="41">
        <v>11300</v>
      </c>
      <c r="Y36" s="41">
        <v>11300</v>
      </c>
      <c r="Z36" s="41">
        <v>0</v>
      </c>
      <c r="AA36" s="41">
        <v>0</v>
      </c>
      <c r="AB36" s="41">
        <v>0</v>
      </c>
      <c r="AC36" s="41">
        <v>0</v>
      </c>
      <c r="AD36" s="41">
        <v>11300</v>
      </c>
      <c r="AE36" s="41">
        <v>291440899</v>
      </c>
      <c r="AF36" s="41">
        <v>1130</v>
      </c>
      <c r="AG36" s="41">
        <v>1130</v>
      </c>
      <c r="AH36" s="36">
        <v>45301</v>
      </c>
      <c r="AI36" s="36"/>
      <c r="AJ36" s="36"/>
      <c r="AK36" s="36">
        <v>45332</v>
      </c>
      <c r="AL36" s="36"/>
      <c r="AM36" s="46"/>
      <c r="AN36" s="40" t="s">
        <v>607</v>
      </c>
      <c r="AO36" s="40" t="s">
        <v>608</v>
      </c>
      <c r="AP36" s="40" t="s">
        <v>609</v>
      </c>
      <c r="AQ36" s="40" t="s">
        <v>92</v>
      </c>
      <c r="AR36" s="48">
        <v>0</v>
      </c>
      <c r="AS36" s="37">
        <v>100</v>
      </c>
      <c r="AT36" s="37" t="s">
        <v>81</v>
      </c>
      <c r="AU36" s="47">
        <v>10</v>
      </c>
      <c r="AV36" s="37" t="s">
        <v>60</v>
      </c>
      <c r="AW36" s="37">
        <v>10</v>
      </c>
      <c r="AX36" s="30">
        <v>29144089.899999999</v>
      </c>
      <c r="AY36" s="40" t="s">
        <v>626</v>
      </c>
    </row>
    <row r="37" spans="1:51" ht="78.75" x14ac:dyDescent="0.25">
      <c r="A37" s="44" t="s">
        <v>631</v>
      </c>
      <c r="B37" s="36">
        <v>45230</v>
      </c>
      <c r="C37" s="37">
        <v>1416</v>
      </c>
      <c r="D37" s="35" t="s">
        <v>632</v>
      </c>
      <c r="E37" s="39" t="s">
        <v>633</v>
      </c>
      <c r="F37" s="36">
        <v>45250</v>
      </c>
      <c r="G37" s="37" t="s">
        <v>634</v>
      </c>
      <c r="H37" s="40" t="s">
        <v>53</v>
      </c>
      <c r="I37" s="40" t="s">
        <v>606</v>
      </c>
      <c r="J37" s="41">
        <v>295051671.19999999</v>
      </c>
      <c r="K37" s="41">
        <v>295051671.19999999</v>
      </c>
      <c r="L37" s="41">
        <v>0</v>
      </c>
      <c r="M37" s="41">
        <v>0</v>
      </c>
      <c r="N37" s="42">
        <v>0</v>
      </c>
      <c r="O37" s="43">
        <v>0</v>
      </c>
      <c r="P37" s="41">
        <v>295051671.19999999</v>
      </c>
      <c r="Q37" s="43">
        <v>0</v>
      </c>
      <c r="R37" s="41">
        <v>295051671.19999999</v>
      </c>
      <c r="S37" s="30">
        <v>295051671.19999999</v>
      </c>
      <c r="T37" s="30">
        <v>295051671.19999999</v>
      </c>
      <c r="U37" s="30">
        <v>25791.23</v>
      </c>
      <c r="V37" s="41">
        <v>25791.23</v>
      </c>
      <c r="W37" s="41">
        <v>257912.3</v>
      </c>
      <c r="X37" s="41">
        <v>11440</v>
      </c>
      <c r="Y37" s="41">
        <v>11440</v>
      </c>
      <c r="Z37" s="41">
        <v>0</v>
      </c>
      <c r="AA37" s="41">
        <v>0</v>
      </c>
      <c r="AB37" s="41">
        <v>0</v>
      </c>
      <c r="AC37" s="41">
        <v>0</v>
      </c>
      <c r="AD37" s="41">
        <v>11440</v>
      </c>
      <c r="AE37" s="41">
        <v>295051671.19999999</v>
      </c>
      <c r="AF37" s="41">
        <v>1144</v>
      </c>
      <c r="AG37" s="41">
        <v>1144</v>
      </c>
      <c r="AH37" s="36">
        <v>45301</v>
      </c>
      <c r="AI37" s="36"/>
      <c r="AJ37" s="36"/>
      <c r="AK37" s="36">
        <v>45332</v>
      </c>
      <c r="AL37" s="36"/>
      <c r="AM37" s="46"/>
      <c r="AN37" s="40" t="s">
        <v>607</v>
      </c>
      <c r="AO37" s="40" t="s">
        <v>608</v>
      </c>
      <c r="AP37" s="40" t="s">
        <v>609</v>
      </c>
      <c r="AQ37" s="40" t="s">
        <v>92</v>
      </c>
      <c r="AR37" s="48">
        <v>0</v>
      </c>
      <c r="AS37" s="37">
        <v>100</v>
      </c>
      <c r="AT37" s="37" t="s">
        <v>81</v>
      </c>
      <c r="AU37" s="47">
        <v>10</v>
      </c>
      <c r="AV37" s="37" t="s">
        <v>60</v>
      </c>
      <c r="AW37" s="37">
        <v>10</v>
      </c>
      <c r="AX37" s="30">
        <v>29505167.120000001</v>
      </c>
      <c r="AY37" s="40" t="s">
        <v>626</v>
      </c>
    </row>
    <row r="38" spans="1:51" ht="78.75" x14ac:dyDescent="0.25">
      <c r="A38" s="44" t="s">
        <v>635</v>
      </c>
      <c r="B38" s="36">
        <v>45230</v>
      </c>
      <c r="C38" s="37">
        <v>1416</v>
      </c>
      <c r="D38" s="35" t="s">
        <v>636</v>
      </c>
      <c r="E38" s="39" t="s">
        <v>637</v>
      </c>
      <c r="F38" s="36">
        <v>45250</v>
      </c>
      <c r="G38" s="37" t="s">
        <v>638</v>
      </c>
      <c r="H38" s="40" t="s">
        <v>53</v>
      </c>
      <c r="I38" s="40" t="s">
        <v>606</v>
      </c>
      <c r="J38" s="41">
        <v>195755435.69999999</v>
      </c>
      <c r="K38" s="41">
        <v>195755435.69999999</v>
      </c>
      <c r="L38" s="41">
        <v>0</v>
      </c>
      <c r="M38" s="41">
        <v>0</v>
      </c>
      <c r="N38" s="42">
        <v>0</v>
      </c>
      <c r="O38" s="43">
        <v>0</v>
      </c>
      <c r="P38" s="41">
        <v>195755435.69999999</v>
      </c>
      <c r="Q38" s="43">
        <v>0</v>
      </c>
      <c r="R38" s="41">
        <v>195755435.69999999</v>
      </c>
      <c r="S38" s="30">
        <v>195755435.69999999</v>
      </c>
      <c r="T38" s="30">
        <v>195755435.69999999</v>
      </c>
      <c r="U38" s="30">
        <v>25791.23</v>
      </c>
      <c r="V38" s="41">
        <v>25791.23</v>
      </c>
      <c r="W38" s="41">
        <v>257912.3</v>
      </c>
      <c r="X38" s="41">
        <v>7590</v>
      </c>
      <c r="Y38" s="41">
        <v>7590</v>
      </c>
      <c r="Z38" s="41">
        <v>0</v>
      </c>
      <c r="AA38" s="41">
        <v>0</v>
      </c>
      <c r="AB38" s="41">
        <v>0</v>
      </c>
      <c r="AC38" s="41">
        <v>0</v>
      </c>
      <c r="AD38" s="41">
        <v>7590</v>
      </c>
      <c r="AE38" s="41">
        <v>195755435.69999999</v>
      </c>
      <c r="AF38" s="41">
        <v>759</v>
      </c>
      <c r="AG38" s="41">
        <v>759</v>
      </c>
      <c r="AH38" s="36">
        <v>45301</v>
      </c>
      <c r="AI38" s="36"/>
      <c r="AJ38" s="36"/>
      <c r="AK38" s="36">
        <v>45332</v>
      </c>
      <c r="AL38" s="36"/>
      <c r="AM38" s="46"/>
      <c r="AN38" s="40" t="s">
        <v>607</v>
      </c>
      <c r="AO38" s="40" t="s">
        <v>608</v>
      </c>
      <c r="AP38" s="40" t="s">
        <v>609</v>
      </c>
      <c r="AQ38" s="40" t="s">
        <v>92</v>
      </c>
      <c r="AR38" s="48">
        <v>0</v>
      </c>
      <c r="AS38" s="37">
        <v>100</v>
      </c>
      <c r="AT38" s="37" t="s">
        <v>81</v>
      </c>
      <c r="AU38" s="47">
        <v>10</v>
      </c>
      <c r="AV38" s="37" t="s">
        <v>60</v>
      </c>
      <c r="AW38" s="37">
        <v>10</v>
      </c>
      <c r="AX38" s="30">
        <v>19575543.57</v>
      </c>
      <c r="AY38" s="40" t="s">
        <v>626</v>
      </c>
    </row>
    <row r="39" spans="1:51" ht="69" customHeight="1" x14ac:dyDescent="0.25">
      <c r="A39" s="44" t="s">
        <v>639</v>
      </c>
      <c r="B39" s="36">
        <v>45230</v>
      </c>
      <c r="C39" s="37">
        <v>1416</v>
      </c>
      <c r="D39" s="35" t="s">
        <v>640</v>
      </c>
      <c r="E39" s="39" t="s">
        <v>641</v>
      </c>
      <c r="F39" s="36">
        <v>45250</v>
      </c>
      <c r="G39" s="37" t="s">
        <v>642</v>
      </c>
      <c r="H39" s="40" t="s">
        <v>53</v>
      </c>
      <c r="I39" s="40" t="s">
        <v>606</v>
      </c>
      <c r="J39" s="41">
        <v>279576933.19999999</v>
      </c>
      <c r="K39" s="41">
        <v>279576933.19999999</v>
      </c>
      <c r="L39" s="41">
        <v>0</v>
      </c>
      <c r="M39" s="41">
        <v>0</v>
      </c>
      <c r="N39" s="42">
        <v>0</v>
      </c>
      <c r="O39" s="43">
        <v>0</v>
      </c>
      <c r="P39" s="41">
        <v>279576933.19999999</v>
      </c>
      <c r="Q39" s="43">
        <v>0</v>
      </c>
      <c r="R39" s="41">
        <v>279576933.19999999</v>
      </c>
      <c r="S39" s="30">
        <v>279576933.19999999</v>
      </c>
      <c r="T39" s="30">
        <v>279576933.19999999</v>
      </c>
      <c r="U39" s="30">
        <v>25791.23</v>
      </c>
      <c r="V39" s="41">
        <v>25791.23</v>
      </c>
      <c r="W39" s="41">
        <v>257912.3</v>
      </c>
      <c r="X39" s="41">
        <v>10840</v>
      </c>
      <c r="Y39" s="41">
        <v>10840</v>
      </c>
      <c r="Z39" s="41">
        <v>0</v>
      </c>
      <c r="AA39" s="41">
        <v>0</v>
      </c>
      <c r="AB39" s="41">
        <v>0</v>
      </c>
      <c r="AC39" s="41">
        <v>0</v>
      </c>
      <c r="AD39" s="41">
        <v>10840</v>
      </c>
      <c r="AE39" s="41">
        <v>279576933.19999999</v>
      </c>
      <c r="AF39" s="41">
        <v>1084</v>
      </c>
      <c r="AG39" s="41">
        <v>1084</v>
      </c>
      <c r="AH39" s="36">
        <v>45301</v>
      </c>
      <c r="AI39" s="36"/>
      <c r="AJ39" s="36"/>
      <c r="AK39" s="36">
        <v>45332</v>
      </c>
      <c r="AL39" s="36"/>
      <c r="AM39" s="46"/>
      <c r="AN39" s="40" t="s">
        <v>607</v>
      </c>
      <c r="AO39" s="40" t="s">
        <v>608</v>
      </c>
      <c r="AP39" s="40" t="s">
        <v>609</v>
      </c>
      <c r="AQ39" s="40" t="s">
        <v>92</v>
      </c>
      <c r="AR39" s="48">
        <v>0</v>
      </c>
      <c r="AS39" s="37">
        <v>100</v>
      </c>
      <c r="AT39" s="37" t="s">
        <v>81</v>
      </c>
      <c r="AU39" s="47">
        <v>10</v>
      </c>
      <c r="AV39" s="37" t="s">
        <v>60</v>
      </c>
      <c r="AW39" s="37">
        <v>10</v>
      </c>
      <c r="AX39" s="30">
        <v>27957693.32</v>
      </c>
      <c r="AY39" s="40" t="s">
        <v>626</v>
      </c>
    </row>
    <row r="40" spans="1:51" ht="69" customHeight="1" x14ac:dyDescent="0.25">
      <c r="A40" s="44" t="s">
        <v>652</v>
      </c>
      <c r="B40" s="46">
        <v>45243</v>
      </c>
      <c r="C40" s="40">
        <v>1416</v>
      </c>
      <c r="D40" s="35" t="s">
        <v>653</v>
      </c>
      <c r="E40" s="39" t="s">
        <v>654</v>
      </c>
      <c r="F40" s="36">
        <v>45264</v>
      </c>
      <c r="G40" s="37" t="s">
        <v>655</v>
      </c>
      <c r="H40" s="40" t="s">
        <v>656</v>
      </c>
      <c r="I40" s="40" t="s">
        <v>657</v>
      </c>
      <c r="J40" s="54">
        <v>5403201.5</v>
      </c>
      <c r="K40" s="54">
        <v>5403201.5</v>
      </c>
      <c r="L40" s="54">
        <v>0</v>
      </c>
      <c r="M40" s="54">
        <v>0</v>
      </c>
      <c r="N40" s="42">
        <v>13.501400974959019</v>
      </c>
      <c r="O40" s="43">
        <v>729507.90000000037</v>
      </c>
      <c r="P40" s="41">
        <v>4673693.5999999996</v>
      </c>
      <c r="Q40" s="43">
        <v>729507.90000000037</v>
      </c>
      <c r="R40" s="41">
        <v>4673693.5999999996</v>
      </c>
      <c r="S40" s="30">
        <v>4673693.5999999996</v>
      </c>
      <c r="T40" s="30">
        <v>4673693.5999999996</v>
      </c>
      <c r="U40" s="30">
        <v>557.71999999999991</v>
      </c>
      <c r="V40" s="41">
        <v>557.71999999999991</v>
      </c>
      <c r="W40" s="41">
        <v>11154.399999999998</v>
      </c>
      <c r="X40" s="41">
        <v>8380</v>
      </c>
      <c r="Y40" s="41">
        <v>8380</v>
      </c>
      <c r="Z40" s="41">
        <v>0</v>
      </c>
      <c r="AA40" s="41">
        <v>0</v>
      </c>
      <c r="AB40" s="41">
        <v>0</v>
      </c>
      <c r="AC40" s="41">
        <v>0</v>
      </c>
      <c r="AD40" s="41">
        <v>8380</v>
      </c>
      <c r="AE40" s="41">
        <v>4673693.5999999996</v>
      </c>
      <c r="AF40" s="41">
        <v>419</v>
      </c>
      <c r="AG40" s="41">
        <v>419</v>
      </c>
      <c r="AH40" s="36">
        <v>45301</v>
      </c>
      <c r="AI40" s="36"/>
      <c r="AJ40" s="36"/>
      <c r="AK40" s="36">
        <v>45332</v>
      </c>
      <c r="AL40" s="36"/>
      <c r="AM40" s="46"/>
      <c r="AN40" s="40" t="s">
        <v>658</v>
      </c>
      <c r="AO40" s="40" t="s">
        <v>659</v>
      </c>
      <c r="AP40" s="40" t="s">
        <v>660</v>
      </c>
      <c r="AQ40" s="40" t="s">
        <v>80</v>
      </c>
      <c r="AR40" s="48">
        <v>100</v>
      </c>
      <c r="AS40" s="37">
        <v>0</v>
      </c>
      <c r="AT40" s="37" t="s">
        <v>81</v>
      </c>
      <c r="AU40" s="47">
        <v>20</v>
      </c>
      <c r="AV40" s="37" t="s">
        <v>60</v>
      </c>
      <c r="AW40" s="37">
        <v>10</v>
      </c>
      <c r="AX40" s="30">
        <v>540320.15</v>
      </c>
      <c r="AY40" s="40" t="s">
        <v>95</v>
      </c>
    </row>
    <row r="41" spans="1:51" ht="69" customHeight="1" x14ac:dyDescent="0.25">
      <c r="A41" s="44" t="s">
        <v>661</v>
      </c>
      <c r="B41" s="46">
        <v>45243</v>
      </c>
      <c r="C41" s="40">
        <v>1416</v>
      </c>
      <c r="D41" s="35" t="s">
        <v>662</v>
      </c>
      <c r="E41" s="39" t="s">
        <v>663</v>
      </c>
      <c r="F41" s="36">
        <v>45264</v>
      </c>
      <c r="G41" s="37" t="s">
        <v>664</v>
      </c>
      <c r="H41" s="40" t="s">
        <v>665</v>
      </c>
      <c r="I41" s="40" t="s">
        <v>666</v>
      </c>
      <c r="J41" s="54">
        <v>4459520</v>
      </c>
      <c r="K41" s="54">
        <v>4459520</v>
      </c>
      <c r="L41" s="54">
        <v>0</v>
      </c>
      <c r="M41" s="54">
        <v>0</v>
      </c>
      <c r="N41" s="42">
        <v>0</v>
      </c>
      <c r="O41" s="43">
        <v>0</v>
      </c>
      <c r="P41" s="41">
        <v>4459520</v>
      </c>
      <c r="Q41" s="43">
        <v>0</v>
      </c>
      <c r="R41" s="41">
        <v>4459520</v>
      </c>
      <c r="S41" s="30">
        <v>4459520</v>
      </c>
      <c r="T41" s="30">
        <v>4459520</v>
      </c>
      <c r="U41" s="30">
        <v>10.72</v>
      </c>
      <c r="V41" s="41">
        <v>10.72</v>
      </c>
      <c r="W41" s="41" t="e">
        <v>#VALUE!</v>
      </c>
      <c r="X41" s="41">
        <v>416000</v>
      </c>
      <c r="Y41" s="41">
        <v>416000</v>
      </c>
      <c r="Z41" s="41">
        <v>0</v>
      </c>
      <c r="AA41" s="41">
        <v>0</v>
      </c>
      <c r="AB41" s="41">
        <v>0</v>
      </c>
      <c r="AC41" s="41">
        <v>0</v>
      </c>
      <c r="AD41" s="41">
        <v>416000</v>
      </c>
      <c r="AE41" s="41">
        <v>4459520</v>
      </c>
      <c r="AF41" s="41" t="e">
        <v>#VALUE!</v>
      </c>
      <c r="AG41" s="41" t="e">
        <v>#VALUE!</v>
      </c>
      <c r="AH41" s="36">
        <v>45301</v>
      </c>
      <c r="AI41" s="36"/>
      <c r="AJ41" s="36"/>
      <c r="AK41" s="36">
        <v>45332</v>
      </c>
      <c r="AL41" s="36"/>
      <c r="AM41" s="46"/>
      <c r="AN41" s="40" t="s">
        <v>667</v>
      </c>
      <c r="AO41" s="40" t="s">
        <v>668</v>
      </c>
      <c r="AP41" s="40" t="s">
        <v>669</v>
      </c>
      <c r="AQ41" s="40" t="s">
        <v>670</v>
      </c>
      <c r="AR41" s="48">
        <v>0</v>
      </c>
      <c r="AS41" s="37">
        <v>100</v>
      </c>
      <c r="AT41" s="37" t="s">
        <v>93</v>
      </c>
      <c r="AU41" s="51" t="s">
        <v>671</v>
      </c>
      <c r="AV41" s="37" t="s">
        <v>60</v>
      </c>
      <c r="AW41" s="37">
        <v>10</v>
      </c>
      <c r="AX41" s="30">
        <v>445952</v>
      </c>
      <c r="AY41" s="40" t="s">
        <v>95</v>
      </c>
    </row>
    <row r="42" spans="1:51" ht="69" customHeight="1" x14ac:dyDescent="0.25">
      <c r="A42" s="44" t="s">
        <v>672</v>
      </c>
      <c r="B42" s="46">
        <v>45243</v>
      </c>
      <c r="C42" s="40">
        <v>1416</v>
      </c>
      <c r="D42" s="35" t="s">
        <v>673</v>
      </c>
      <c r="E42" s="39" t="s">
        <v>674</v>
      </c>
      <c r="F42" s="36">
        <v>45264</v>
      </c>
      <c r="G42" s="37" t="s">
        <v>675</v>
      </c>
      <c r="H42" s="40" t="s">
        <v>665</v>
      </c>
      <c r="I42" s="40" t="s">
        <v>676</v>
      </c>
      <c r="J42" s="54">
        <v>3530112</v>
      </c>
      <c r="K42" s="54">
        <v>3530112</v>
      </c>
      <c r="L42" s="54">
        <v>0</v>
      </c>
      <c r="M42" s="54">
        <v>0</v>
      </c>
      <c r="N42" s="42">
        <v>0</v>
      </c>
      <c r="O42" s="43">
        <v>0</v>
      </c>
      <c r="P42" s="41">
        <v>3530112</v>
      </c>
      <c r="Q42" s="43">
        <v>0</v>
      </c>
      <c r="R42" s="41">
        <v>3530112</v>
      </c>
      <c r="S42" s="30">
        <v>3530112</v>
      </c>
      <c r="T42" s="30">
        <v>3530112</v>
      </c>
      <c r="U42" s="30">
        <v>12.68</v>
      </c>
      <c r="V42" s="41">
        <v>12.68</v>
      </c>
      <c r="W42" s="41">
        <v>15216</v>
      </c>
      <c r="X42" s="41">
        <v>278400</v>
      </c>
      <c r="Y42" s="41">
        <v>278400</v>
      </c>
      <c r="Z42" s="41">
        <v>0</v>
      </c>
      <c r="AA42" s="41">
        <v>0</v>
      </c>
      <c r="AB42" s="41">
        <v>0</v>
      </c>
      <c r="AC42" s="41">
        <v>0</v>
      </c>
      <c r="AD42" s="41">
        <v>278400</v>
      </c>
      <c r="AE42" s="41">
        <v>3530112</v>
      </c>
      <c r="AF42" s="41">
        <v>232</v>
      </c>
      <c r="AG42" s="41">
        <v>232</v>
      </c>
      <c r="AH42" s="36">
        <v>45301</v>
      </c>
      <c r="AI42" s="36"/>
      <c r="AJ42" s="36"/>
      <c r="AK42" s="36">
        <v>45332</v>
      </c>
      <c r="AL42" s="36"/>
      <c r="AM42" s="46"/>
      <c r="AN42" s="40" t="s">
        <v>677</v>
      </c>
      <c r="AO42" s="40" t="s">
        <v>678</v>
      </c>
      <c r="AP42" s="40" t="s">
        <v>679</v>
      </c>
      <c r="AQ42" s="40" t="s">
        <v>92</v>
      </c>
      <c r="AR42" s="48">
        <v>0</v>
      </c>
      <c r="AS42" s="37">
        <v>100</v>
      </c>
      <c r="AT42" s="37" t="s">
        <v>93</v>
      </c>
      <c r="AU42" s="47">
        <v>1200</v>
      </c>
      <c r="AV42" s="37" t="s">
        <v>60</v>
      </c>
      <c r="AW42" s="37">
        <v>10</v>
      </c>
      <c r="AX42" s="30">
        <v>353011.20000000001</v>
      </c>
      <c r="AY42" s="40" t="s">
        <v>95</v>
      </c>
    </row>
    <row r="43" spans="1:51" ht="69" customHeight="1" x14ac:dyDescent="0.25">
      <c r="A43" s="44" t="s">
        <v>680</v>
      </c>
      <c r="B43" s="46">
        <v>45243</v>
      </c>
      <c r="C43" s="40">
        <v>1416</v>
      </c>
      <c r="D43" s="35" t="s">
        <v>681</v>
      </c>
      <c r="E43" s="39" t="s">
        <v>682</v>
      </c>
      <c r="F43" s="36">
        <v>45264</v>
      </c>
      <c r="G43" s="37" t="s">
        <v>683</v>
      </c>
      <c r="H43" s="40" t="s">
        <v>665</v>
      </c>
      <c r="I43" s="40" t="s">
        <v>684</v>
      </c>
      <c r="J43" s="54">
        <v>20764800</v>
      </c>
      <c r="K43" s="54">
        <v>20764800</v>
      </c>
      <c r="L43" s="54">
        <v>0</v>
      </c>
      <c r="M43" s="54">
        <v>0</v>
      </c>
      <c r="N43" s="42">
        <v>0</v>
      </c>
      <c r="O43" s="43">
        <v>0</v>
      </c>
      <c r="P43" s="41">
        <v>20764800</v>
      </c>
      <c r="Q43" s="43">
        <v>0</v>
      </c>
      <c r="R43" s="41">
        <v>20764800</v>
      </c>
      <c r="S43" s="30">
        <v>20764800</v>
      </c>
      <c r="T43" s="30">
        <v>20764800</v>
      </c>
      <c r="U43" s="30">
        <v>12.36</v>
      </c>
      <c r="V43" s="41">
        <v>12.36</v>
      </c>
      <c r="W43" s="41">
        <v>6180</v>
      </c>
      <c r="X43" s="41">
        <v>1680000</v>
      </c>
      <c r="Y43" s="41">
        <v>1680000</v>
      </c>
      <c r="Z43" s="41">
        <v>0</v>
      </c>
      <c r="AA43" s="41">
        <v>0</v>
      </c>
      <c r="AB43" s="41">
        <v>0</v>
      </c>
      <c r="AC43" s="41">
        <v>0</v>
      </c>
      <c r="AD43" s="41">
        <v>1680000</v>
      </c>
      <c r="AE43" s="41">
        <v>20764800</v>
      </c>
      <c r="AF43" s="41">
        <v>3360</v>
      </c>
      <c r="AG43" s="41">
        <v>3360</v>
      </c>
      <c r="AH43" s="36">
        <v>45301</v>
      </c>
      <c r="AI43" s="36"/>
      <c r="AJ43" s="36"/>
      <c r="AK43" s="36">
        <v>45332</v>
      </c>
      <c r="AL43" s="36"/>
      <c r="AM43" s="46"/>
      <c r="AN43" s="40" t="s">
        <v>89</v>
      </c>
      <c r="AO43" s="40" t="s">
        <v>685</v>
      </c>
      <c r="AP43" s="40" t="s">
        <v>91</v>
      </c>
      <c r="AQ43" s="40" t="s">
        <v>146</v>
      </c>
      <c r="AR43" s="48">
        <v>0</v>
      </c>
      <c r="AS43" s="37">
        <v>100</v>
      </c>
      <c r="AT43" s="37" t="s">
        <v>93</v>
      </c>
      <c r="AU43" s="47">
        <v>500</v>
      </c>
      <c r="AV43" s="37" t="s">
        <v>60</v>
      </c>
      <c r="AW43" s="37">
        <v>10</v>
      </c>
      <c r="AX43" s="30">
        <v>2076480</v>
      </c>
      <c r="AY43" s="40" t="s">
        <v>402</v>
      </c>
    </row>
    <row r="44" spans="1:51" ht="66" customHeight="1" x14ac:dyDescent="0.25">
      <c r="A44" s="44" t="s">
        <v>686</v>
      </c>
      <c r="B44" s="46">
        <v>45243</v>
      </c>
      <c r="C44" s="40">
        <v>1416</v>
      </c>
      <c r="D44" s="35" t="s">
        <v>687</v>
      </c>
      <c r="E44" s="39" t="s">
        <v>688</v>
      </c>
      <c r="F44" s="36">
        <v>45264</v>
      </c>
      <c r="G44" s="37" t="s">
        <v>689</v>
      </c>
      <c r="H44" s="40" t="s">
        <v>665</v>
      </c>
      <c r="I44" s="40" t="s">
        <v>690</v>
      </c>
      <c r="J44" s="54">
        <v>5343840</v>
      </c>
      <c r="K44" s="54">
        <v>5343840</v>
      </c>
      <c r="L44" s="54">
        <v>0</v>
      </c>
      <c r="M44" s="54">
        <v>0</v>
      </c>
      <c r="N44" s="42">
        <v>0</v>
      </c>
      <c r="O44" s="43">
        <v>0</v>
      </c>
      <c r="P44" s="41">
        <v>5343840</v>
      </c>
      <c r="Q44" s="43">
        <v>0</v>
      </c>
      <c r="R44" s="41">
        <v>5343840</v>
      </c>
      <c r="S44" s="30">
        <v>5343840</v>
      </c>
      <c r="T44" s="30">
        <v>5343840</v>
      </c>
      <c r="U44" s="30">
        <v>12.37</v>
      </c>
      <c r="V44" s="41">
        <v>12.37</v>
      </c>
      <c r="W44" s="41">
        <v>37110</v>
      </c>
      <c r="X44" s="41">
        <v>432000</v>
      </c>
      <c r="Y44" s="41">
        <v>432000</v>
      </c>
      <c r="Z44" s="41">
        <v>0</v>
      </c>
      <c r="AA44" s="41">
        <v>0</v>
      </c>
      <c r="AB44" s="41">
        <v>0</v>
      </c>
      <c r="AC44" s="41">
        <v>0</v>
      </c>
      <c r="AD44" s="41">
        <v>432000</v>
      </c>
      <c r="AE44" s="41">
        <v>5343840</v>
      </c>
      <c r="AF44" s="41">
        <v>144</v>
      </c>
      <c r="AG44" s="41">
        <v>144</v>
      </c>
      <c r="AH44" s="36">
        <v>45301</v>
      </c>
      <c r="AI44" s="36"/>
      <c r="AJ44" s="36"/>
      <c r="AK44" s="36">
        <v>45332</v>
      </c>
      <c r="AL44" s="36"/>
      <c r="AM44" s="46"/>
      <c r="AN44" s="40" t="s">
        <v>89</v>
      </c>
      <c r="AO44" s="40" t="s">
        <v>691</v>
      </c>
      <c r="AP44" s="40" t="s">
        <v>91</v>
      </c>
      <c r="AQ44" s="40" t="s">
        <v>146</v>
      </c>
      <c r="AR44" s="48">
        <v>0</v>
      </c>
      <c r="AS44" s="37">
        <v>100</v>
      </c>
      <c r="AT44" s="37" t="s">
        <v>93</v>
      </c>
      <c r="AU44" s="47">
        <v>3000</v>
      </c>
      <c r="AV44" s="37" t="s">
        <v>60</v>
      </c>
      <c r="AW44" s="37">
        <v>10</v>
      </c>
      <c r="AX44" s="30">
        <v>534384</v>
      </c>
      <c r="AY44" s="40" t="s">
        <v>95</v>
      </c>
    </row>
    <row r="45" spans="1:51" ht="66" customHeight="1" x14ac:dyDescent="0.25">
      <c r="A45" s="44" t="s">
        <v>692</v>
      </c>
      <c r="B45" s="46">
        <v>45245</v>
      </c>
      <c r="C45" s="40">
        <v>1416</v>
      </c>
      <c r="D45" s="35" t="s">
        <v>693</v>
      </c>
      <c r="E45" s="39" t="s">
        <v>694</v>
      </c>
      <c r="F45" s="36">
        <v>45265</v>
      </c>
      <c r="G45" s="37" t="s">
        <v>695</v>
      </c>
      <c r="H45" s="40" t="s">
        <v>665</v>
      </c>
      <c r="I45" s="40" t="s">
        <v>696</v>
      </c>
      <c r="J45" s="54">
        <v>54898060</v>
      </c>
      <c r="K45" s="54">
        <v>54898060</v>
      </c>
      <c r="L45" s="54">
        <v>0</v>
      </c>
      <c r="M45" s="54">
        <v>0</v>
      </c>
      <c r="N45" s="42">
        <v>0</v>
      </c>
      <c r="O45" s="43">
        <v>0</v>
      </c>
      <c r="P45" s="41">
        <v>54898060</v>
      </c>
      <c r="Q45" s="43">
        <v>0</v>
      </c>
      <c r="R45" s="41">
        <v>54898060</v>
      </c>
      <c r="S45" s="30">
        <v>54898060</v>
      </c>
      <c r="T45" s="30">
        <v>54898060</v>
      </c>
      <c r="U45" s="30">
        <v>12.37</v>
      </c>
      <c r="V45" s="41">
        <v>12.37</v>
      </c>
      <c r="W45" s="41">
        <v>12370</v>
      </c>
      <c r="X45" s="41">
        <v>4438000</v>
      </c>
      <c r="Y45" s="41">
        <v>4438000</v>
      </c>
      <c r="Z45" s="41">
        <v>0</v>
      </c>
      <c r="AA45" s="41">
        <v>0</v>
      </c>
      <c r="AB45" s="41">
        <v>0</v>
      </c>
      <c r="AC45" s="41">
        <v>0</v>
      </c>
      <c r="AD45" s="41">
        <v>4438000</v>
      </c>
      <c r="AE45" s="41">
        <v>54898060</v>
      </c>
      <c r="AF45" s="41">
        <v>4438</v>
      </c>
      <c r="AG45" s="41">
        <v>4438</v>
      </c>
      <c r="AH45" s="36">
        <v>45301</v>
      </c>
      <c r="AI45" s="36"/>
      <c r="AJ45" s="36"/>
      <c r="AK45" s="36">
        <v>45332</v>
      </c>
      <c r="AL45" s="36"/>
      <c r="AM45" s="46"/>
      <c r="AN45" s="40" t="s">
        <v>89</v>
      </c>
      <c r="AO45" s="40" t="s">
        <v>107</v>
      </c>
      <c r="AP45" s="40" t="s">
        <v>91</v>
      </c>
      <c r="AQ45" s="40" t="s">
        <v>697</v>
      </c>
      <c r="AR45" s="48">
        <v>0</v>
      </c>
      <c r="AS45" s="37">
        <v>100</v>
      </c>
      <c r="AT45" s="37" t="s">
        <v>93</v>
      </c>
      <c r="AU45" s="47">
        <v>1000</v>
      </c>
      <c r="AV45" s="37" t="s">
        <v>60</v>
      </c>
      <c r="AW45" s="37">
        <v>10</v>
      </c>
      <c r="AX45" s="30">
        <v>5489806</v>
      </c>
      <c r="AY45" s="40" t="s">
        <v>95</v>
      </c>
    </row>
    <row r="46" spans="1:51" ht="66" customHeight="1" x14ac:dyDescent="0.25">
      <c r="A46" s="44" t="s">
        <v>698</v>
      </c>
      <c r="B46" s="46">
        <v>45246</v>
      </c>
      <c r="C46" s="40">
        <v>1416</v>
      </c>
      <c r="D46" s="35" t="s">
        <v>699</v>
      </c>
      <c r="E46" s="39" t="s">
        <v>700</v>
      </c>
      <c r="F46" s="36">
        <v>45265</v>
      </c>
      <c r="G46" s="37" t="s">
        <v>701</v>
      </c>
      <c r="H46" s="40" t="s">
        <v>665</v>
      </c>
      <c r="I46" s="40" t="s">
        <v>702</v>
      </c>
      <c r="J46" s="54">
        <v>2674640</v>
      </c>
      <c r="K46" s="54">
        <v>2674640</v>
      </c>
      <c r="L46" s="54">
        <v>0</v>
      </c>
      <c r="M46" s="54">
        <v>0</v>
      </c>
      <c r="N46" s="42">
        <v>0</v>
      </c>
      <c r="O46" s="43">
        <v>0</v>
      </c>
      <c r="P46" s="41">
        <v>2674640</v>
      </c>
      <c r="Q46" s="43">
        <v>0</v>
      </c>
      <c r="R46" s="41">
        <v>2674640</v>
      </c>
      <c r="S46" s="30">
        <v>2674640</v>
      </c>
      <c r="T46" s="30">
        <v>2674640</v>
      </c>
      <c r="U46" s="30">
        <v>10.72</v>
      </c>
      <c r="V46" s="41">
        <v>10.72</v>
      </c>
      <c r="W46" s="41">
        <v>5360</v>
      </c>
      <c r="X46" s="41">
        <v>249500</v>
      </c>
      <c r="Y46" s="41">
        <v>249500</v>
      </c>
      <c r="Z46" s="41">
        <v>0</v>
      </c>
      <c r="AA46" s="41">
        <v>0</v>
      </c>
      <c r="AB46" s="41">
        <v>0</v>
      </c>
      <c r="AC46" s="41">
        <v>0</v>
      </c>
      <c r="AD46" s="41">
        <v>249500</v>
      </c>
      <c r="AE46" s="41">
        <v>2674640</v>
      </c>
      <c r="AF46" s="41">
        <v>499</v>
      </c>
      <c r="AG46" s="41">
        <v>499</v>
      </c>
      <c r="AH46" s="36">
        <v>45301</v>
      </c>
      <c r="AI46" s="36"/>
      <c r="AJ46" s="36"/>
      <c r="AK46" s="36">
        <v>45332</v>
      </c>
      <c r="AL46" s="36"/>
      <c r="AM46" s="46"/>
      <c r="AN46" s="40" t="s">
        <v>703</v>
      </c>
      <c r="AO46" s="40" t="s">
        <v>704</v>
      </c>
      <c r="AP46" s="40" t="s">
        <v>705</v>
      </c>
      <c r="AQ46" s="40" t="s">
        <v>670</v>
      </c>
      <c r="AR46" s="48">
        <v>0</v>
      </c>
      <c r="AS46" s="37">
        <v>100</v>
      </c>
      <c r="AT46" s="37" t="s">
        <v>93</v>
      </c>
      <c r="AU46" s="47">
        <v>500</v>
      </c>
      <c r="AV46" s="37" t="s">
        <v>60</v>
      </c>
      <c r="AW46" s="37">
        <v>10</v>
      </c>
      <c r="AX46" s="30">
        <v>267464</v>
      </c>
      <c r="AY46" s="40" t="s">
        <v>95</v>
      </c>
    </row>
    <row r="47" spans="1:51" ht="66" customHeight="1" x14ac:dyDescent="0.25">
      <c r="A47" s="44" t="s">
        <v>706</v>
      </c>
      <c r="B47" s="46">
        <v>45246</v>
      </c>
      <c r="C47" s="40">
        <v>1416</v>
      </c>
      <c r="D47" s="35" t="s">
        <v>707</v>
      </c>
      <c r="E47" s="39" t="s">
        <v>708</v>
      </c>
      <c r="F47" s="36">
        <v>45265</v>
      </c>
      <c r="G47" s="37" t="s">
        <v>709</v>
      </c>
      <c r="H47" s="40" t="s">
        <v>665</v>
      </c>
      <c r="I47" s="40" t="s">
        <v>710</v>
      </c>
      <c r="J47" s="54">
        <v>10963680</v>
      </c>
      <c r="K47" s="54">
        <v>10963680</v>
      </c>
      <c r="L47" s="54">
        <v>0</v>
      </c>
      <c r="M47" s="54">
        <v>0</v>
      </c>
      <c r="N47" s="42">
        <v>0</v>
      </c>
      <c r="O47" s="43">
        <v>0</v>
      </c>
      <c r="P47" s="41">
        <v>10963680</v>
      </c>
      <c r="Q47" s="43">
        <v>0</v>
      </c>
      <c r="R47" s="41">
        <v>10963680</v>
      </c>
      <c r="S47" s="30">
        <v>10963680</v>
      </c>
      <c r="T47" s="30">
        <v>10963680</v>
      </c>
      <c r="U47" s="30">
        <v>7.28</v>
      </c>
      <c r="V47" s="41">
        <v>7.28</v>
      </c>
      <c r="W47" s="41">
        <v>7280</v>
      </c>
      <c r="X47" s="41">
        <v>1506000</v>
      </c>
      <c r="Y47" s="41">
        <v>1506000</v>
      </c>
      <c r="Z47" s="41">
        <v>0</v>
      </c>
      <c r="AA47" s="41">
        <v>0</v>
      </c>
      <c r="AB47" s="41">
        <v>0</v>
      </c>
      <c r="AC47" s="41">
        <v>0</v>
      </c>
      <c r="AD47" s="41">
        <v>1506000</v>
      </c>
      <c r="AE47" s="41">
        <v>10963680</v>
      </c>
      <c r="AF47" s="41">
        <v>1506</v>
      </c>
      <c r="AG47" s="41">
        <v>1506</v>
      </c>
      <c r="AH47" s="36">
        <v>45301</v>
      </c>
      <c r="AI47" s="36"/>
      <c r="AJ47" s="36"/>
      <c r="AK47" s="36">
        <v>45332</v>
      </c>
      <c r="AL47" s="36"/>
      <c r="AM47" s="46"/>
      <c r="AN47" s="40" t="s">
        <v>711</v>
      </c>
      <c r="AO47" s="40" t="s">
        <v>712</v>
      </c>
      <c r="AP47" s="40" t="s">
        <v>713</v>
      </c>
      <c r="AQ47" s="40" t="s">
        <v>714</v>
      </c>
      <c r="AR47" s="48">
        <v>0</v>
      </c>
      <c r="AS47" s="37">
        <v>100</v>
      </c>
      <c r="AT47" s="37" t="s">
        <v>93</v>
      </c>
      <c r="AU47" s="47">
        <v>1000</v>
      </c>
      <c r="AV47" s="37" t="s">
        <v>60</v>
      </c>
      <c r="AW47" s="37">
        <v>10</v>
      </c>
      <c r="AX47" s="30">
        <v>1096368</v>
      </c>
      <c r="AY47" s="40" t="s">
        <v>95</v>
      </c>
    </row>
    <row r="48" spans="1:51" ht="66" customHeight="1" x14ac:dyDescent="0.25">
      <c r="A48" s="44" t="s">
        <v>715</v>
      </c>
      <c r="B48" s="46">
        <v>45246</v>
      </c>
      <c r="C48" s="40">
        <v>1416</v>
      </c>
      <c r="D48" s="35" t="s">
        <v>716</v>
      </c>
      <c r="E48" s="39" t="s">
        <v>717</v>
      </c>
      <c r="F48" s="36">
        <v>45265</v>
      </c>
      <c r="G48" s="37" t="s">
        <v>718</v>
      </c>
      <c r="H48" s="40" t="s">
        <v>656</v>
      </c>
      <c r="I48" s="40" t="s">
        <v>719</v>
      </c>
      <c r="J48" s="54">
        <v>20917831.34</v>
      </c>
      <c r="K48" s="54">
        <v>20917831.34</v>
      </c>
      <c r="L48" s="54">
        <v>0</v>
      </c>
      <c r="M48" s="54">
        <v>0</v>
      </c>
      <c r="N48" s="42">
        <v>10.000010546026324</v>
      </c>
      <c r="O48" s="43">
        <v>2091785.3399999999</v>
      </c>
      <c r="P48" s="41">
        <v>18826046</v>
      </c>
      <c r="Q48" s="43">
        <v>2092072.3399999999</v>
      </c>
      <c r="R48" s="41">
        <v>18825759</v>
      </c>
      <c r="S48" s="30">
        <v>18825759</v>
      </c>
      <c r="T48" s="30">
        <v>18825759</v>
      </c>
      <c r="U48" s="30">
        <v>581.94000000000005</v>
      </c>
      <c r="V48" s="41">
        <v>581.94000000000005</v>
      </c>
      <c r="W48" s="41">
        <v>29097.000000000004</v>
      </c>
      <c r="X48" s="41">
        <v>32350</v>
      </c>
      <c r="Y48" s="41">
        <v>32350</v>
      </c>
      <c r="Z48" s="41">
        <v>0</v>
      </c>
      <c r="AA48" s="41">
        <v>0</v>
      </c>
      <c r="AB48" s="41">
        <v>0</v>
      </c>
      <c r="AC48" s="41">
        <v>0</v>
      </c>
      <c r="AD48" s="41">
        <v>32350</v>
      </c>
      <c r="AE48" s="41">
        <v>18825759</v>
      </c>
      <c r="AF48" s="41">
        <v>647</v>
      </c>
      <c r="AG48" s="41">
        <v>647</v>
      </c>
      <c r="AH48" s="36">
        <v>45301</v>
      </c>
      <c r="AI48" s="36"/>
      <c r="AJ48" s="36"/>
      <c r="AK48" s="36">
        <v>45332</v>
      </c>
      <c r="AL48" s="36"/>
      <c r="AM48" s="46"/>
      <c r="AN48" s="40" t="s">
        <v>658</v>
      </c>
      <c r="AO48" s="40" t="s">
        <v>720</v>
      </c>
      <c r="AP48" s="40" t="s">
        <v>660</v>
      </c>
      <c r="AQ48" s="40" t="s">
        <v>80</v>
      </c>
      <c r="AR48" s="48">
        <v>100</v>
      </c>
      <c r="AS48" s="37">
        <v>0</v>
      </c>
      <c r="AT48" s="37" t="s">
        <v>81</v>
      </c>
      <c r="AU48" s="47">
        <v>50</v>
      </c>
      <c r="AV48" s="37" t="s">
        <v>60</v>
      </c>
      <c r="AW48" s="37">
        <v>10</v>
      </c>
      <c r="AX48" s="30">
        <v>2091783.1340000001</v>
      </c>
      <c r="AY48" s="40" t="s">
        <v>95</v>
      </c>
    </row>
    <row r="49" spans="1:51" ht="66" customHeight="1" x14ac:dyDescent="0.25">
      <c r="A49" s="44" t="s">
        <v>721</v>
      </c>
      <c r="B49" s="46">
        <v>45246</v>
      </c>
      <c r="C49" s="40">
        <v>1416</v>
      </c>
      <c r="D49" s="35" t="s">
        <v>722</v>
      </c>
      <c r="E49" s="39" t="s">
        <v>723</v>
      </c>
      <c r="F49" s="36">
        <v>45273</v>
      </c>
      <c r="G49" s="37" t="s">
        <v>724</v>
      </c>
      <c r="H49" s="40" t="s">
        <v>665</v>
      </c>
      <c r="I49" s="40" t="s">
        <v>725</v>
      </c>
      <c r="J49" s="54">
        <v>20509500</v>
      </c>
      <c r="K49" s="54">
        <v>20509500</v>
      </c>
      <c r="L49" s="54">
        <v>0</v>
      </c>
      <c r="M49" s="54">
        <v>0</v>
      </c>
      <c r="N49" s="42">
        <v>0</v>
      </c>
      <c r="O49" s="43">
        <v>0</v>
      </c>
      <c r="P49" s="41">
        <v>20509500</v>
      </c>
      <c r="Q49" s="43">
        <v>0</v>
      </c>
      <c r="R49" s="41">
        <v>20509500</v>
      </c>
      <c r="S49" s="30">
        <v>20509500</v>
      </c>
      <c r="T49" s="30">
        <v>20509500</v>
      </c>
      <c r="U49" s="30">
        <v>7.26</v>
      </c>
      <c r="V49" s="41">
        <v>7.26</v>
      </c>
      <c r="W49" s="41">
        <v>3630</v>
      </c>
      <c r="X49" s="41">
        <v>2825000</v>
      </c>
      <c r="Y49" s="41">
        <v>2825000</v>
      </c>
      <c r="Z49" s="41">
        <v>0</v>
      </c>
      <c r="AA49" s="41">
        <v>0</v>
      </c>
      <c r="AB49" s="41">
        <v>0</v>
      </c>
      <c r="AC49" s="41">
        <v>0</v>
      </c>
      <c r="AD49" s="41">
        <v>2825000</v>
      </c>
      <c r="AE49" s="41">
        <v>20509500</v>
      </c>
      <c r="AF49" s="41">
        <v>5650</v>
      </c>
      <c r="AG49" s="41">
        <v>5650</v>
      </c>
      <c r="AH49" s="36">
        <v>45301</v>
      </c>
      <c r="AI49" s="36"/>
      <c r="AJ49" s="36"/>
      <c r="AK49" s="36">
        <v>45332</v>
      </c>
      <c r="AL49" s="36"/>
      <c r="AM49" s="46"/>
      <c r="AN49" s="40" t="s">
        <v>711</v>
      </c>
      <c r="AO49" s="40" t="s">
        <v>712</v>
      </c>
      <c r="AP49" s="40" t="s">
        <v>713</v>
      </c>
      <c r="AQ49" s="40" t="s">
        <v>313</v>
      </c>
      <c r="AR49" s="48">
        <v>0</v>
      </c>
      <c r="AS49" s="37">
        <v>100</v>
      </c>
      <c r="AT49" s="37" t="s">
        <v>93</v>
      </c>
      <c r="AU49" s="47">
        <v>500</v>
      </c>
      <c r="AV49" s="37"/>
      <c r="AW49" s="37">
        <v>10</v>
      </c>
      <c r="AX49" s="30">
        <v>2050950</v>
      </c>
      <c r="AY49" s="40" t="s">
        <v>402</v>
      </c>
    </row>
    <row r="50" spans="1:51" ht="60.75" customHeight="1" x14ac:dyDescent="0.25">
      <c r="A50" s="44" t="s">
        <v>726</v>
      </c>
      <c r="B50" s="46">
        <v>45252</v>
      </c>
      <c r="C50" s="40">
        <v>1416</v>
      </c>
      <c r="D50" s="35" t="s">
        <v>727</v>
      </c>
      <c r="E50" s="39" t="s">
        <v>728</v>
      </c>
      <c r="F50" s="36">
        <v>45272</v>
      </c>
      <c r="G50" s="37" t="s">
        <v>729</v>
      </c>
      <c r="H50" s="40" t="s">
        <v>730</v>
      </c>
      <c r="I50" s="40" t="s">
        <v>731</v>
      </c>
      <c r="J50" s="54">
        <v>120813651.86</v>
      </c>
      <c r="K50" s="54">
        <v>120813651.86</v>
      </c>
      <c r="L50" s="54">
        <v>0</v>
      </c>
      <c r="M50" s="54">
        <v>0</v>
      </c>
      <c r="N50" s="42">
        <v>0</v>
      </c>
      <c r="O50" s="43">
        <v>0</v>
      </c>
      <c r="P50" s="41">
        <v>120813651.86</v>
      </c>
      <c r="Q50" s="43">
        <v>0</v>
      </c>
      <c r="R50" s="41">
        <v>120813651.86</v>
      </c>
      <c r="S50" s="30">
        <v>120813651.86</v>
      </c>
      <c r="T50" s="30">
        <v>120813651.86</v>
      </c>
      <c r="U50" s="30">
        <v>250650.73</v>
      </c>
      <c r="V50" s="41">
        <v>250650.73</v>
      </c>
      <c r="W50" s="41">
        <v>250650.73</v>
      </c>
      <c r="X50" s="41">
        <v>482</v>
      </c>
      <c r="Y50" s="41">
        <v>482</v>
      </c>
      <c r="Z50" s="41">
        <v>0</v>
      </c>
      <c r="AA50" s="41">
        <v>0</v>
      </c>
      <c r="AB50" s="41">
        <v>0</v>
      </c>
      <c r="AC50" s="41">
        <v>0</v>
      </c>
      <c r="AD50" s="41">
        <v>482</v>
      </c>
      <c r="AE50" s="41">
        <v>120813651.86</v>
      </c>
      <c r="AF50" s="41">
        <v>482</v>
      </c>
      <c r="AG50" s="41">
        <v>482</v>
      </c>
      <c r="AH50" s="36">
        <v>45301</v>
      </c>
      <c r="AI50" s="36"/>
      <c r="AJ50" s="36"/>
      <c r="AK50" s="36">
        <v>45332</v>
      </c>
      <c r="AL50" s="36"/>
      <c r="AM50" s="46"/>
      <c r="AN50" s="40" t="s">
        <v>732</v>
      </c>
      <c r="AO50" s="40" t="s">
        <v>733</v>
      </c>
      <c r="AP50" s="40" t="s">
        <v>734</v>
      </c>
      <c r="AQ50" s="40" t="s">
        <v>264</v>
      </c>
      <c r="AR50" s="48">
        <v>0</v>
      </c>
      <c r="AS50" s="37">
        <v>100</v>
      </c>
      <c r="AT50" s="37" t="s">
        <v>81</v>
      </c>
      <c r="AU50" s="47">
        <v>1</v>
      </c>
      <c r="AV50" s="37" t="s">
        <v>60</v>
      </c>
      <c r="AW50" s="37">
        <v>10</v>
      </c>
      <c r="AX50" s="30">
        <v>12081365.185999999</v>
      </c>
      <c r="AY50" s="40" t="s">
        <v>95</v>
      </c>
    </row>
    <row r="51" spans="1:51" ht="60.75" customHeight="1" x14ac:dyDescent="0.25">
      <c r="A51" s="44" t="s">
        <v>735</v>
      </c>
      <c r="B51" s="46">
        <v>45252</v>
      </c>
      <c r="C51" s="40">
        <v>1416</v>
      </c>
      <c r="D51" s="35" t="s">
        <v>736</v>
      </c>
      <c r="E51" s="39" t="s">
        <v>737</v>
      </c>
      <c r="F51" s="36">
        <v>45272</v>
      </c>
      <c r="G51" s="37" t="s">
        <v>738</v>
      </c>
      <c r="H51" s="40" t="s">
        <v>307</v>
      </c>
      <c r="I51" s="40" t="s">
        <v>739</v>
      </c>
      <c r="J51" s="54">
        <v>112543483.09999999</v>
      </c>
      <c r="K51" s="54">
        <v>112543483.09999999</v>
      </c>
      <c r="L51" s="54">
        <v>0</v>
      </c>
      <c r="M51" s="54">
        <v>0</v>
      </c>
      <c r="N51" s="42">
        <v>0</v>
      </c>
      <c r="O51" s="43">
        <v>0</v>
      </c>
      <c r="P51" s="41">
        <v>112543483.09999999</v>
      </c>
      <c r="Q51" s="43">
        <v>0</v>
      </c>
      <c r="R51" s="41">
        <v>112543483.09999999</v>
      </c>
      <c r="S51" s="30">
        <v>112543483.09999999</v>
      </c>
      <c r="T51" s="30">
        <v>112543483.09999999</v>
      </c>
      <c r="U51" s="30">
        <v>200397.93999287748</v>
      </c>
      <c r="V51" s="41">
        <v>200397.93999287748</v>
      </c>
      <c r="W51" s="41">
        <v>240477.52799145295</v>
      </c>
      <c r="X51" s="41">
        <v>561.6</v>
      </c>
      <c r="Y51" s="41">
        <v>561.6</v>
      </c>
      <c r="Z51" s="41">
        <v>0</v>
      </c>
      <c r="AA51" s="41">
        <v>0</v>
      </c>
      <c r="AB51" s="41">
        <v>0</v>
      </c>
      <c r="AC51" s="41">
        <v>0</v>
      </c>
      <c r="AD51" s="41">
        <v>561.6</v>
      </c>
      <c r="AE51" s="41">
        <v>112543483.09999999</v>
      </c>
      <c r="AF51" s="41">
        <v>468.00000000000006</v>
      </c>
      <c r="AG51" s="41">
        <v>468</v>
      </c>
      <c r="AH51" s="36">
        <v>45323</v>
      </c>
      <c r="AI51" s="36"/>
      <c r="AJ51" s="36"/>
      <c r="AK51" s="36">
        <v>45352</v>
      </c>
      <c r="AL51" s="36"/>
      <c r="AM51" s="46"/>
      <c r="AN51" s="40" t="s">
        <v>740</v>
      </c>
      <c r="AO51" s="40" t="s">
        <v>741</v>
      </c>
      <c r="AP51" s="40" t="s">
        <v>742</v>
      </c>
      <c r="AQ51" s="40" t="s">
        <v>92</v>
      </c>
      <c r="AR51" s="48">
        <v>0</v>
      </c>
      <c r="AS51" s="37">
        <v>100</v>
      </c>
      <c r="AT51" s="37" t="s">
        <v>81</v>
      </c>
      <c r="AU51" s="52">
        <v>1.2</v>
      </c>
      <c r="AV51" s="37" t="s">
        <v>60</v>
      </c>
      <c r="AW51" s="37">
        <v>10</v>
      </c>
      <c r="AX51" s="30">
        <v>11254348.310000001</v>
      </c>
      <c r="AY51" s="40" t="s">
        <v>95</v>
      </c>
    </row>
    <row r="52" spans="1:51" ht="60.75" customHeight="1" x14ac:dyDescent="0.25">
      <c r="A52" s="44" t="s">
        <v>751</v>
      </c>
      <c r="B52" s="46">
        <v>45254</v>
      </c>
      <c r="C52" s="40">
        <v>1416</v>
      </c>
      <c r="D52" s="35" t="s">
        <v>752</v>
      </c>
      <c r="E52" s="39" t="s">
        <v>753</v>
      </c>
      <c r="F52" s="36">
        <v>45275</v>
      </c>
      <c r="G52" s="37" t="s">
        <v>754</v>
      </c>
      <c r="H52" s="40" t="s">
        <v>86</v>
      </c>
      <c r="I52" s="40" t="s">
        <v>755</v>
      </c>
      <c r="J52" s="54">
        <v>197227280</v>
      </c>
      <c r="K52" s="54">
        <v>197227280</v>
      </c>
      <c r="L52" s="54">
        <v>0</v>
      </c>
      <c r="M52" s="54">
        <v>0</v>
      </c>
      <c r="N52" s="42">
        <v>0</v>
      </c>
      <c r="O52" s="43">
        <v>0</v>
      </c>
      <c r="P52" s="41">
        <v>197227280</v>
      </c>
      <c r="Q52" s="43">
        <v>0</v>
      </c>
      <c r="R52" s="41">
        <v>197227280</v>
      </c>
      <c r="S52" s="30">
        <v>197227280</v>
      </c>
      <c r="T52" s="30">
        <v>197227280</v>
      </c>
      <c r="U52" s="30">
        <v>12.37</v>
      </c>
      <c r="V52" s="41">
        <v>12.37</v>
      </c>
      <c r="W52" s="41">
        <v>24740</v>
      </c>
      <c r="X52" s="41">
        <v>15944000</v>
      </c>
      <c r="Y52" s="41">
        <v>15944000</v>
      </c>
      <c r="Z52" s="41">
        <v>0</v>
      </c>
      <c r="AA52" s="41">
        <v>0</v>
      </c>
      <c r="AB52" s="41">
        <v>0</v>
      </c>
      <c r="AC52" s="41">
        <v>0</v>
      </c>
      <c r="AD52" s="41">
        <v>15944000</v>
      </c>
      <c r="AE52" s="41">
        <v>197227280</v>
      </c>
      <c r="AF52" s="41">
        <v>7972</v>
      </c>
      <c r="AG52" s="41">
        <v>7972</v>
      </c>
      <c r="AH52" s="36">
        <v>45323</v>
      </c>
      <c r="AI52" s="36"/>
      <c r="AJ52" s="36"/>
      <c r="AK52" s="36">
        <v>44986</v>
      </c>
      <c r="AL52" s="36"/>
      <c r="AM52" s="46"/>
      <c r="AN52" s="40" t="s">
        <v>756</v>
      </c>
      <c r="AO52" s="40" t="s">
        <v>757</v>
      </c>
      <c r="AP52" s="40" t="s">
        <v>758</v>
      </c>
      <c r="AQ52" s="40" t="s">
        <v>759</v>
      </c>
      <c r="AR52" s="48">
        <v>0</v>
      </c>
      <c r="AS52" s="37">
        <v>100</v>
      </c>
      <c r="AT52" s="37" t="s">
        <v>93</v>
      </c>
      <c r="AU52" s="47">
        <v>2000</v>
      </c>
      <c r="AV52" s="37" t="s">
        <v>60</v>
      </c>
      <c r="AW52" s="37">
        <v>10</v>
      </c>
      <c r="AX52" s="30">
        <v>19722728</v>
      </c>
      <c r="AY52" s="40" t="s">
        <v>402</v>
      </c>
    </row>
    <row r="53" spans="1:51" ht="60.75" customHeight="1" x14ac:dyDescent="0.25">
      <c r="A53" s="44" t="s">
        <v>760</v>
      </c>
      <c r="B53" s="46">
        <v>45254</v>
      </c>
      <c r="C53" s="40">
        <v>1416</v>
      </c>
      <c r="D53" s="35" t="s">
        <v>761</v>
      </c>
      <c r="E53" s="39" t="s">
        <v>762</v>
      </c>
      <c r="F53" s="36">
        <v>45282</v>
      </c>
      <c r="G53" s="37" t="s">
        <v>763</v>
      </c>
      <c r="H53" s="40" t="s">
        <v>730</v>
      </c>
      <c r="I53" s="40" t="s">
        <v>764</v>
      </c>
      <c r="J53" s="54">
        <v>968144403.38</v>
      </c>
      <c r="K53" s="54">
        <v>968144403.38</v>
      </c>
      <c r="L53" s="54">
        <v>0</v>
      </c>
      <c r="M53" s="54">
        <v>0</v>
      </c>
      <c r="N53" s="42">
        <v>0</v>
      </c>
      <c r="O53" s="43">
        <v>0</v>
      </c>
      <c r="P53" s="41">
        <v>968144403.38</v>
      </c>
      <c r="Q53" s="43">
        <v>0</v>
      </c>
      <c r="R53" s="41">
        <v>968144403.38</v>
      </c>
      <c r="S53" s="30">
        <v>968144403.38</v>
      </c>
      <c r="T53" s="30">
        <v>968144403.38</v>
      </c>
      <c r="U53" s="30">
        <v>263842.7</v>
      </c>
      <c r="V53" s="41">
        <v>263842.7</v>
      </c>
      <c r="W53" s="41">
        <v>184689.88999999998</v>
      </c>
      <c r="X53" s="41">
        <v>3669.4</v>
      </c>
      <c r="Y53" s="41">
        <v>606.9</v>
      </c>
      <c r="Z53" s="41">
        <v>3062.5</v>
      </c>
      <c r="AA53" s="41">
        <v>0</v>
      </c>
      <c r="AB53" s="41">
        <v>0</v>
      </c>
      <c r="AC53" s="41">
        <v>0</v>
      </c>
      <c r="AD53" s="41">
        <v>3669.4</v>
      </c>
      <c r="AE53" s="41">
        <v>968144403.38000011</v>
      </c>
      <c r="AF53" s="41">
        <v>5242.0000000000009</v>
      </c>
      <c r="AG53" s="41">
        <v>5242</v>
      </c>
      <c r="AH53" s="36">
        <v>45306</v>
      </c>
      <c r="AI53" s="36">
        <v>45413</v>
      </c>
      <c r="AJ53" s="36"/>
      <c r="AK53" s="36">
        <v>45337</v>
      </c>
      <c r="AL53" s="36">
        <v>45444</v>
      </c>
      <c r="AM53" s="46"/>
      <c r="AN53" s="40" t="s">
        <v>732</v>
      </c>
      <c r="AO53" s="40" t="s">
        <v>765</v>
      </c>
      <c r="AP53" s="40" t="s">
        <v>734</v>
      </c>
      <c r="AQ53" s="40" t="s">
        <v>264</v>
      </c>
      <c r="AR53" s="48">
        <v>0</v>
      </c>
      <c r="AS53" s="37">
        <v>100</v>
      </c>
      <c r="AT53" s="37" t="s">
        <v>81</v>
      </c>
      <c r="AU53" s="52">
        <v>0.7</v>
      </c>
      <c r="AV53" s="37" t="s">
        <v>60</v>
      </c>
      <c r="AW53" s="37">
        <v>10</v>
      </c>
      <c r="AX53" s="30">
        <v>96814440.338</v>
      </c>
      <c r="AY53" s="40" t="s">
        <v>325</v>
      </c>
    </row>
    <row r="54" spans="1:51" ht="60.75" customHeight="1" x14ac:dyDescent="0.25">
      <c r="A54" s="44" t="s">
        <v>766</v>
      </c>
      <c r="B54" s="46">
        <v>45254</v>
      </c>
      <c r="C54" s="40">
        <v>1416</v>
      </c>
      <c r="D54" s="35" t="s">
        <v>767</v>
      </c>
      <c r="E54" s="39" t="s">
        <v>768</v>
      </c>
      <c r="F54" s="36">
        <v>45275</v>
      </c>
      <c r="G54" s="37" t="s">
        <v>769</v>
      </c>
      <c r="H54" s="40" t="s">
        <v>86</v>
      </c>
      <c r="I54" s="40" t="s">
        <v>770</v>
      </c>
      <c r="J54" s="54">
        <v>58205312</v>
      </c>
      <c r="K54" s="54">
        <v>58205312</v>
      </c>
      <c r="L54" s="54">
        <v>0</v>
      </c>
      <c r="M54" s="54">
        <v>0</v>
      </c>
      <c r="N54" s="42">
        <v>0</v>
      </c>
      <c r="O54" s="43">
        <v>0</v>
      </c>
      <c r="P54" s="41">
        <v>58205312</v>
      </c>
      <c r="Q54" s="43">
        <v>0</v>
      </c>
      <c r="R54" s="41">
        <v>58205312</v>
      </c>
      <c r="S54" s="30">
        <v>58205312</v>
      </c>
      <c r="T54" s="30">
        <v>58205312</v>
      </c>
      <c r="U54" s="30">
        <v>29.48</v>
      </c>
      <c r="V54" s="41">
        <v>29.48</v>
      </c>
      <c r="W54" s="41">
        <v>11792</v>
      </c>
      <c r="X54" s="41">
        <v>1974400</v>
      </c>
      <c r="Y54" s="41">
        <v>1974400</v>
      </c>
      <c r="Z54" s="41">
        <v>0</v>
      </c>
      <c r="AA54" s="41">
        <v>0</v>
      </c>
      <c r="AB54" s="41">
        <v>0</v>
      </c>
      <c r="AC54" s="41">
        <v>0</v>
      </c>
      <c r="AD54" s="41">
        <v>1974400</v>
      </c>
      <c r="AE54" s="41">
        <v>58205312</v>
      </c>
      <c r="AF54" s="41">
        <v>4936</v>
      </c>
      <c r="AG54" s="41">
        <v>4936</v>
      </c>
      <c r="AH54" s="36">
        <v>45323</v>
      </c>
      <c r="AI54" s="36"/>
      <c r="AJ54" s="36"/>
      <c r="AK54" s="36">
        <v>45352</v>
      </c>
      <c r="AL54" s="36"/>
      <c r="AM54" s="46"/>
      <c r="AN54" s="40" t="s">
        <v>771</v>
      </c>
      <c r="AO54" s="40" t="s">
        <v>772</v>
      </c>
      <c r="AP54" s="40" t="s">
        <v>773</v>
      </c>
      <c r="AQ54" s="40" t="s">
        <v>774</v>
      </c>
      <c r="AR54" s="48">
        <v>0</v>
      </c>
      <c r="AS54" s="37">
        <v>100</v>
      </c>
      <c r="AT54" s="37" t="s">
        <v>93</v>
      </c>
      <c r="AU54" s="47">
        <v>400</v>
      </c>
      <c r="AV54" s="37" t="s">
        <v>60</v>
      </c>
      <c r="AW54" s="37">
        <v>10</v>
      </c>
      <c r="AX54" s="30">
        <v>5820531.2000000002</v>
      </c>
      <c r="AY54" s="40" t="s">
        <v>95</v>
      </c>
    </row>
    <row r="55" spans="1:51" ht="60.75" customHeight="1" x14ac:dyDescent="0.25">
      <c r="A55" s="44" t="s">
        <v>775</v>
      </c>
      <c r="B55" s="46">
        <v>45254</v>
      </c>
      <c r="C55" s="40">
        <v>1416</v>
      </c>
      <c r="D55" s="35" t="s">
        <v>776</v>
      </c>
      <c r="E55" s="39" t="s">
        <v>777</v>
      </c>
      <c r="F55" s="36">
        <v>45275</v>
      </c>
      <c r="G55" s="37" t="s">
        <v>778</v>
      </c>
      <c r="H55" s="40" t="s">
        <v>86</v>
      </c>
      <c r="I55" s="40" t="s">
        <v>779</v>
      </c>
      <c r="J55" s="54">
        <v>46219245</v>
      </c>
      <c r="K55" s="54">
        <v>46219245</v>
      </c>
      <c r="L55" s="54">
        <v>0</v>
      </c>
      <c r="M55" s="54">
        <v>0</v>
      </c>
      <c r="N55" s="42">
        <v>0</v>
      </c>
      <c r="O55" s="43">
        <v>0</v>
      </c>
      <c r="P55" s="41">
        <v>46219245</v>
      </c>
      <c r="Q55" s="43">
        <v>0</v>
      </c>
      <c r="R55" s="41">
        <v>46219245</v>
      </c>
      <c r="S55" s="30">
        <v>46219245</v>
      </c>
      <c r="T55" s="30">
        <v>46219245</v>
      </c>
      <c r="U55" s="30">
        <v>12.49</v>
      </c>
      <c r="V55" s="41">
        <v>12.49</v>
      </c>
      <c r="W55" s="41">
        <v>6245</v>
      </c>
      <c r="X55" s="41">
        <v>3700500</v>
      </c>
      <c r="Y55" s="41">
        <v>3700500</v>
      </c>
      <c r="Z55" s="41">
        <v>0</v>
      </c>
      <c r="AA55" s="41">
        <v>0</v>
      </c>
      <c r="AB55" s="41">
        <v>0</v>
      </c>
      <c r="AC55" s="41">
        <v>0</v>
      </c>
      <c r="AD55" s="41">
        <v>3700500</v>
      </c>
      <c r="AE55" s="41">
        <v>46219245</v>
      </c>
      <c r="AF55" s="41">
        <v>7401</v>
      </c>
      <c r="AG55" s="41">
        <v>7401</v>
      </c>
      <c r="AH55" s="36">
        <v>45301</v>
      </c>
      <c r="AI55" s="36"/>
      <c r="AJ55" s="36"/>
      <c r="AK55" s="36">
        <v>45332</v>
      </c>
      <c r="AL55" s="36"/>
      <c r="AM55" s="46"/>
      <c r="AN55" s="40" t="s">
        <v>780</v>
      </c>
      <c r="AO55" s="40" t="s">
        <v>781</v>
      </c>
      <c r="AP55" s="40" t="s">
        <v>782</v>
      </c>
      <c r="AQ55" s="40" t="s">
        <v>759</v>
      </c>
      <c r="AR55" s="48">
        <v>0</v>
      </c>
      <c r="AS55" s="37">
        <v>100</v>
      </c>
      <c r="AT55" s="37" t="s">
        <v>93</v>
      </c>
      <c r="AU55" s="47">
        <v>500</v>
      </c>
      <c r="AV55" s="37" t="s">
        <v>60</v>
      </c>
      <c r="AW55" s="37">
        <v>10</v>
      </c>
      <c r="AX55" s="30">
        <v>4621924.5</v>
      </c>
      <c r="AY55" s="40" t="s">
        <v>95</v>
      </c>
    </row>
    <row r="56" spans="1:51" ht="60.75" customHeight="1" x14ac:dyDescent="0.25">
      <c r="A56" s="44" t="s">
        <v>783</v>
      </c>
      <c r="B56" s="46">
        <v>45254</v>
      </c>
      <c r="C56" s="40">
        <v>1416</v>
      </c>
      <c r="D56" s="35" t="s">
        <v>784</v>
      </c>
      <c r="E56" s="39" t="s">
        <v>785</v>
      </c>
      <c r="F56" s="36">
        <v>45282</v>
      </c>
      <c r="G56" s="37" t="s">
        <v>786</v>
      </c>
      <c r="H56" s="40" t="s">
        <v>86</v>
      </c>
      <c r="I56" s="40" t="s">
        <v>787</v>
      </c>
      <c r="J56" s="54">
        <v>332011680</v>
      </c>
      <c r="K56" s="54">
        <v>332011680</v>
      </c>
      <c r="L56" s="54">
        <v>0</v>
      </c>
      <c r="M56" s="54">
        <v>0</v>
      </c>
      <c r="N56" s="42">
        <v>0</v>
      </c>
      <c r="O56" s="43">
        <v>0</v>
      </c>
      <c r="P56" s="41">
        <v>332011680</v>
      </c>
      <c r="Q56" s="43">
        <v>0</v>
      </c>
      <c r="R56" s="41">
        <v>332011680</v>
      </c>
      <c r="S56" s="30">
        <v>332011680</v>
      </c>
      <c r="T56" s="30">
        <v>332011680</v>
      </c>
      <c r="U56" s="30">
        <v>12.32</v>
      </c>
      <c r="V56" s="41">
        <v>12.32</v>
      </c>
      <c r="W56" s="41">
        <v>12320</v>
      </c>
      <c r="X56" s="41">
        <v>26949000</v>
      </c>
      <c r="Y56" s="41">
        <v>26949000</v>
      </c>
      <c r="Z56" s="41">
        <v>0</v>
      </c>
      <c r="AA56" s="41">
        <v>0</v>
      </c>
      <c r="AB56" s="41">
        <v>0</v>
      </c>
      <c r="AC56" s="41">
        <v>0</v>
      </c>
      <c r="AD56" s="41">
        <v>26949000</v>
      </c>
      <c r="AE56" s="41">
        <v>332011680</v>
      </c>
      <c r="AF56" s="41">
        <v>26949</v>
      </c>
      <c r="AG56" s="41">
        <v>26949</v>
      </c>
      <c r="AH56" s="36">
        <v>45301</v>
      </c>
      <c r="AI56" s="36"/>
      <c r="AJ56" s="36"/>
      <c r="AK56" s="36">
        <v>45332</v>
      </c>
      <c r="AL56" s="36"/>
      <c r="AM56" s="46"/>
      <c r="AN56" s="40" t="s">
        <v>780</v>
      </c>
      <c r="AO56" s="40" t="s">
        <v>788</v>
      </c>
      <c r="AP56" s="40" t="s">
        <v>782</v>
      </c>
      <c r="AQ56" s="40" t="s">
        <v>759</v>
      </c>
      <c r="AR56" s="48">
        <v>0</v>
      </c>
      <c r="AS56" s="37">
        <v>100</v>
      </c>
      <c r="AT56" s="37" t="s">
        <v>93</v>
      </c>
      <c r="AU56" s="47">
        <v>1000</v>
      </c>
      <c r="AV56" s="37" t="s">
        <v>60</v>
      </c>
      <c r="AW56" s="37">
        <v>10</v>
      </c>
      <c r="AX56" s="30">
        <v>33201168</v>
      </c>
      <c r="AY56" s="40" t="s">
        <v>95</v>
      </c>
    </row>
    <row r="57" spans="1:51" ht="42.6" customHeight="1" x14ac:dyDescent="0.25">
      <c r="A57" s="44" t="s">
        <v>798</v>
      </c>
      <c r="B57" s="46">
        <v>45259</v>
      </c>
      <c r="C57" s="40">
        <v>1416</v>
      </c>
      <c r="D57" s="35" t="s">
        <v>799</v>
      </c>
      <c r="E57" s="39" t="s">
        <v>800</v>
      </c>
      <c r="F57" s="36">
        <v>45279</v>
      </c>
      <c r="G57" s="37" t="s">
        <v>801</v>
      </c>
      <c r="H57" s="40" t="s">
        <v>86</v>
      </c>
      <c r="I57" s="40" t="s">
        <v>802</v>
      </c>
      <c r="J57" s="54">
        <v>225303312</v>
      </c>
      <c r="K57" s="54">
        <v>225303312</v>
      </c>
      <c r="L57" s="54">
        <v>0</v>
      </c>
      <c r="M57" s="54">
        <v>0</v>
      </c>
      <c r="N57" s="42">
        <v>0</v>
      </c>
      <c r="O57" s="43">
        <v>0</v>
      </c>
      <c r="P57" s="41">
        <v>225303312</v>
      </c>
      <c r="Q57" s="43">
        <v>0</v>
      </c>
      <c r="R57" s="41">
        <v>225303312</v>
      </c>
      <c r="S57" s="30">
        <v>225303312</v>
      </c>
      <c r="T57" s="30">
        <v>225303312</v>
      </c>
      <c r="U57" s="30">
        <v>12.68</v>
      </c>
      <c r="V57" s="41">
        <v>12.68</v>
      </c>
      <c r="W57" s="41">
        <v>15216</v>
      </c>
      <c r="X57" s="41">
        <v>17768400</v>
      </c>
      <c r="Y57" s="41">
        <v>9120000</v>
      </c>
      <c r="Z57" s="41">
        <v>8648400</v>
      </c>
      <c r="AA57" s="41">
        <v>0</v>
      </c>
      <c r="AB57" s="41">
        <v>0</v>
      </c>
      <c r="AC57" s="41">
        <v>0</v>
      </c>
      <c r="AD57" s="41">
        <v>17768400</v>
      </c>
      <c r="AE57" s="41">
        <v>225303312</v>
      </c>
      <c r="AF57" s="41">
        <v>14807</v>
      </c>
      <c r="AG57" s="41">
        <v>14807</v>
      </c>
      <c r="AH57" s="36">
        <v>45352</v>
      </c>
      <c r="AI57" s="36">
        <v>45443</v>
      </c>
      <c r="AJ57" s="36"/>
      <c r="AK57" s="36">
        <v>45383</v>
      </c>
      <c r="AL57" s="36">
        <v>45474</v>
      </c>
      <c r="AM57" s="46"/>
      <c r="AN57" s="40" t="s">
        <v>677</v>
      </c>
      <c r="AO57" s="40" t="s">
        <v>678</v>
      </c>
      <c r="AP57" s="40" t="s">
        <v>679</v>
      </c>
      <c r="AQ57" s="40" t="s">
        <v>92</v>
      </c>
      <c r="AR57" s="48">
        <v>0</v>
      </c>
      <c r="AS57" s="37">
        <v>100</v>
      </c>
      <c r="AT57" s="37" t="s">
        <v>93</v>
      </c>
      <c r="AU57" s="47">
        <v>1200</v>
      </c>
      <c r="AV57" s="37" t="s">
        <v>60</v>
      </c>
      <c r="AW57" s="37">
        <v>10</v>
      </c>
      <c r="AX57" s="30">
        <v>22530331.199999999</v>
      </c>
      <c r="AY57" s="40" t="s">
        <v>325</v>
      </c>
    </row>
    <row r="58" spans="1:51" ht="41.45" customHeight="1" x14ac:dyDescent="0.25">
      <c r="A58" s="44" t="s">
        <v>803</v>
      </c>
      <c r="B58" s="46">
        <v>45259</v>
      </c>
      <c r="C58" s="40">
        <v>1416</v>
      </c>
      <c r="D58" s="35" t="s">
        <v>431</v>
      </c>
      <c r="E58" s="39" t="s">
        <v>804</v>
      </c>
      <c r="F58" s="36" t="s">
        <v>431</v>
      </c>
      <c r="G58" s="37" t="s">
        <v>431</v>
      </c>
      <c r="H58" s="40" t="s">
        <v>431</v>
      </c>
      <c r="I58" s="40" t="s">
        <v>805</v>
      </c>
      <c r="J58" s="54">
        <v>11989016.76</v>
      </c>
      <c r="K58" s="54">
        <v>11989016.76</v>
      </c>
      <c r="L58" s="54"/>
      <c r="M58" s="54"/>
      <c r="N58" s="42">
        <v>100</v>
      </c>
      <c r="O58" s="43">
        <v>11989016.76</v>
      </c>
      <c r="P58" s="41"/>
      <c r="Q58" s="43">
        <v>11989016.76</v>
      </c>
      <c r="R58" s="41">
        <v>0</v>
      </c>
      <c r="S58" s="30">
        <v>0</v>
      </c>
      <c r="T58" s="30">
        <v>0</v>
      </c>
      <c r="U58" s="30" t="e">
        <v>#DIV/0!</v>
      </c>
      <c r="V58" s="41" t="e">
        <v>#DIV/0!</v>
      </c>
      <c r="W58" s="41" t="e">
        <v>#DIV/0!</v>
      </c>
      <c r="X58" s="41">
        <v>0</v>
      </c>
      <c r="Y58" s="41">
        <v>0</v>
      </c>
      <c r="Z58" s="41">
        <v>0</v>
      </c>
      <c r="AA58" s="41">
        <v>0</v>
      </c>
      <c r="AB58" s="41"/>
      <c r="AC58" s="41" t="e">
        <v>#DIV/0!</v>
      </c>
      <c r="AD58" s="41"/>
      <c r="AE58" s="41" t="e">
        <v>#DIV/0!</v>
      </c>
      <c r="AF58" s="41" t="e">
        <v>#DIV/0!</v>
      </c>
      <c r="AG58" s="41" t="e">
        <v>#DIV/0!</v>
      </c>
      <c r="AH58" s="36">
        <v>45413</v>
      </c>
      <c r="AI58" s="36"/>
      <c r="AJ58" s="36"/>
      <c r="AK58" s="36"/>
      <c r="AL58" s="36"/>
      <c r="AM58" s="46"/>
      <c r="AN58" s="40"/>
      <c r="AO58" s="40"/>
      <c r="AP58" s="40"/>
      <c r="AQ58" s="40"/>
      <c r="AR58" s="48"/>
      <c r="AS58" s="37"/>
      <c r="AT58" s="37"/>
      <c r="AU58" s="47"/>
      <c r="AV58" s="37"/>
      <c r="AW58" s="37">
        <v>10</v>
      </c>
      <c r="AX58" s="30">
        <v>1198901.676</v>
      </c>
      <c r="AY58" s="40" t="s">
        <v>431</v>
      </c>
    </row>
    <row r="59" spans="1:51" ht="42" customHeight="1" x14ac:dyDescent="0.25">
      <c r="A59" s="44" t="s">
        <v>819</v>
      </c>
      <c r="B59" s="46">
        <v>45264</v>
      </c>
      <c r="C59" s="40">
        <v>1416</v>
      </c>
      <c r="D59" s="35" t="s">
        <v>820</v>
      </c>
      <c r="E59" s="39" t="s">
        <v>821</v>
      </c>
      <c r="F59" s="36">
        <v>45285</v>
      </c>
      <c r="G59" s="37" t="s">
        <v>822</v>
      </c>
      <c r="H59" s="40" t="s">
        <v>224</v>
      </c>
      <c r="I59" s="40" t="s">
        <v>823</v>
      </c>
      <c r="J59" s="54">
        <v>10021808.16</v>
      </c>
      <c r="K59" s="54">
        <v>10021808.16</v>
      </c>
      <c r="L59" s="54">
        <v>0</v>
      </c>
      <c r="M59" s="54">
        <v>0</v>
      </c>
      <c r="N59" s="42">
        <v>87.736469303958415</v>
      </c>
      <c r="O59" s="43">
        <v>8792780.6400000006</v>
      </c>
      <c r="P59" s="41">
        <v>1229027.52</v>
      </c>
      <c r="Q59" s="43">
        <v>8792780.6400000006</v>
      </c>
      <c r="R59" s="41">
        <v>1229027.52</v>
      </c>
      <c r="S59" s="30">
        <v>1229027.52</v>
      </c>
      <c r="T59" s="30">
        <v>1229027.52</v>
      </c>
      <c r="U59" s="30">
        <v>98.86</v>
      </c>
      <c r="V59" s="41">
        <v>98.86</v>
      </c>
      <c r="W59" s="41">
        <v>2076.06</v>
      </c>
      <c r="X59" s="41">
        <v>12432</v>
      </c>
      <c r="Y59" s="41">
        <v>12432</v>
      </c>
      <c r="Z59" s="41">
        <v>0</v>
      </c>
      <c r="AA59" s="41">
        <v>0</v>
      </c>
      <c r="AB59" s="41">
        <v>0</v>
      </c>
      <c r="AC59" s="41">
        <v>0</v>
      </c>
      <c r="AD59" s="41">
        <v>12432</v>
      </c>
      <c r="AE59" s="41">
        <v>1229027.52</v>
      </c>
      <c r="AF59" s="41">
        <v>592</v>
      </c>
      <c r="AG59" s="41">
        <v>592</v>
      </c>
      <c r="AH59" s="36">
        <v>45352</v>
      </c>
      <c r="AI59" s="36"/>
      <c r="AJ59" s="36"/>
      <c r="AK59" s="36">
        <v>45383</v>
      </c>
      <c r="AL59" s="36"/>
      <c r="AM59" s="46"/>
      <c r="AN59" s="40" t="s">
        <v>824</v>
      </c>
      <c r="AO59" s="40" t="s">
        <v>825</v>
      </c>
      <c r="AP59" s="40" t="s">
        <v>826</v>
      </c>
      <c r="AQ59" s="40" t="s">
        <v>80</v>
      </c>
      <c r="AR59" s="48">
        <v>100</v>
      </c>
      <c r="AS59" s="37">
        <v>0</v>
      </c>
      <c r="AT59" s="37" t="s">
        <v>386</v>
      </c>
      <c r="AU59" s="47">
        <v>21</v>
      </c>
      <c r="AV59" s="37" t="s">
        <v>60</v>
      </c>
      <c r="AW59" s="37">
        <v>10</v>
      </c>
      <c r="AX59" s="30">
        <v>1002180.816</v>
      </c>
      <c r="AY59" s="40" t="s">
        <v>402</v>
      </c>
    </row>
    <row r="60" spans="1:51" ht="42" customHeight="1" x14ac:dyDescent="0.25">
      <c r="A60" s="44" t="s">
        <v>835</v>
      </c>
      <c r="B60" s="46">
        <v>45264</v>
      </c>
      <c r="C60" s="40">
        <v>1416</v>
      </c>
      <c r="D60" s="35" t="s">
        <v>836</v>
      </c>
      <c r="E60" s="39" t="s">
        <v>837</v>
      </c>
      <c r="F60" s="36">
        <v>45285</v>
      </c>
      <c r="G60" s="37" t="s">
        <v>838</v>
      </c>
      <c r="H60" s="40" t="s">
        <v>53</v>
      </c>
      <c r="I60" s="40" t="s">
        <v>839</v>
      </c>
      <c r="J60" s="54">
        <v>24725220.030000001</v>
      </c>
      <c r="K60" s="54">
        <v>24725220.030000001</v>
      </c>
      <c r="L60" s="54">
        <v>0</v>
      </c>
      <c r="M60" s="54">
        <v>0</v>
      </c>
      <c r="N60" s="42">
        <v>0.499999999393338</v>
      </c>
      <c r="O60" s="43">
        <v>123626.10000000149</v>
      </c>
      <c r="P60" s="41">
        <v>24601593.93</v>
      </c>
      <c r="Q60" s="43">
        <v>123626.10000000149</v>
      </c>
      <c r="R60" s="41">
        <v>24601593.93</v>
      </c>
      <c r="S60" s="30">
        <v>24601583.789999999</v>
      </c>
      <c r="T60" s="30">
        <v>24601583.789999999</v>
      </c>
      <c r="U60" s="30">
        <v>10554.09</v>
      </c>
      <c r="V60" s="41">
        <v>10554.09</v>
      </c>
      <c r="W60" s="41">
        <v>221635.89</v>
      </c>
      <c r="X60" s="41">
        <v>2331</v>
      </c>
      <c r="Y60" s="41">
        <v>2331</v>
      </c>
      <c r="Z60" s="41">
        <v>0</v>
      </c>
      <c r="AA60" s="41">
        <v>0</v>
      </c>
      <c r="AB60" s="41">
        <v>0</v>
      </c>
      <c r="AC60" s="41">
        <v>0</v>
      </c>
      <c r="AD60" s="41">
        <v>2331</v>
      </c>
      <c r="AE60" s="41">
        <v>24601583.789999999</v>
      </c>
      <c r="AF60" s="41">
        <v>111</v>
      </c>
      <c r="AG60" s="41">
        <v>111</v>
      </c>
      <c r="AH60" s="36">
        <v>45352</v>
      </c>
      <c r="AI60" s="36"/>
      <c r="AJ60" s="36"/>
      <c r="AK60" s="36">
        <v>45017</v>
      </c>
      <c r="AL60" s="36"/>
      <c r="AM60" s="46"/>
      <c r="AN60" s="40" t="s">
        <v>840</v>
      </c>
      <c r="AO60" s="40" t="s">
        <v>841</v>
      </c>
      <c r="AP60" s="40" t="s">
        <v>842</v>
      </c>
      <c r="AQ60" s="40" t="s">
        <v>80</v>
      </c>
      <c r="AR60" s="48">
        <v>100</v>
      </c>
      <c r="AS60" s="37">
        <v>0</v>
      </c>
      <c r="AT60" s="37" t="s">
        <v>386</v>
      </c>
      <c r="AU60" s="47">
        <v>21</v>
      </c>
      <c r="AV60" s="37" t="s">
        <v>60</v>
      </c>
      <c r="AW60" s="37">
        <v>10</v>
      </c>
      <c r="AX60" s="30">
        <v>2472522.003</v>
      </c>
      <c r="AY60" s="40" t="s">
        <v>402</v>
      </c>
    </row>
    <row r="61" spans="1:51" ht="75" x14ac:dyDescent="0.25">
      <c r="A61" s="44" t="s">
        <v>843</v>
      </c>
      <c r="B61" s="46">
        <v>45264</v>
      </c>
      <c r="C61" s="40">
        <v>1416</v>
      </c>
      <c r="D61" s="35" t="s">
        <v>431</v>
      </c>
      <c r="E61" s="39" t="s">
        <v>844</v>
      </c>
      <c r="F61" s="36" t="s">
        <v>431</v>
      </c>
      <c r="G61" s="37" t="s">
        <v>431</v>
      </c>
      <c r="H61" s="40" t="s">
        <v>431</v>
      </c>
      <c r="I61" s="40" t="s">
        <v>845</v>
      </c>
      <c r="J61" s="54">
        <v>1009470</v>
      </c>
      <c r="K61" s="54">
        <v>1009470</v>
      </c>
      <c r="L61" s="54"/>
      <c r="M61" s="54"/>
      <c r="N61" s="42">
        <v>100</v>
      </c>
      <c r="O61" s="43">
        <v>1009470</v>
      </c>
      <c r="P61" s="41"/>
      <c r="Q61" s="43">
        <v>1009470</v>
      </c>
      <c r="R61" s="41">
        <v>0</v>
      </c>
      <c r="S61" s="30">
        <v>0</v>
      </c>
      <c r="T61" s="30">
        <v>0</v>
      </c>
      <c r="U61" s="30" t="e">
        <v>#DIV/0!</v>
      </c>
      <c r="V61" s="41" t="e">
        <v>#DIV/0!</v>
      </c>
      <c r="W61" s="41" t="e">
        <v>#DIV/0!</v>
      </c>
      <c r="X61" s="41">
        <v>0</v>
      </c>
      <c r="Y61" s="41">
        <v>0</v>
      </c>
      <c r="Z61" s="41">
        <v>0</v>
      </c>
      <c r="AA61" s="41">
        <v>0</v>
      </c>
      <c r="AB61" s="41"/>
      <c r="AC61" s="41" t="e">
        <v>#DIV/0!</v>
      </c>
      <c r="AD61" s="41"/>
      <c r="AE61" s="41" t="e">
        <v>#DIV/0!</v>
      </c>
      <c r="AF61" s="41" t="e">
        <v>#DIV/0!</v>
      </c>
      <c r="AG61" s="41" t="e">
        <v>#DIV/0!</v>
      </c>
      <c r="AH61" s="36">
        <v>45352</v>
      </c>
      <c r="AI61" s="36"/>
      <c r="AJ61" s="36"/>
      <c r="AK61" s="36"/>
      <c r="AL61" s="36"/>
      <c r="AM61" s="46"/>
      <c r="AN61" s="40"/>
      <c r="AO61" s="40"/>
      <c r="AP61" s="40"/>
      <c r="AQ61" s="40"/>
      <c r="AR61" s="48"/>
      <c r="AS61" s="37"/>
      <c r="AT61" s="37"/>
      <c r="AU61" s="47"/>
      <c r="AV61" s="37"/>
      <c r="AW61" s="37">
        <v>10</v>
      </c>
      <c r="AX61" s="30">
        <v>100947</v>
      </c>
      <c r="AY61" s="40" t="s">
        <v>431</v>
      </c>
    </row>
    <row r="62" spans="1:51" ht="87" customHeight="1" x14ac:dyDescent="0.25">
      <c r="A62" s="44" t="s">
        <v>846</v>
      </c>
      <c r="B62" s="46">
        <v>45268</v>
      </c>
      <c r="C62" s="40">
        <v>1416</v>
      </c>
      <c r="D62" s="35" t="s">
        <v>847</v>
      </c>
      <c r="E62" s="39" t="s">
        <v>848</v>
      </c>
      <c r="F62" s="36">
        <v>45289</v>
      </c>
      <c r="G62" s="37" t="s">
        <v>849</v>
      </c>
      <c r="H62" s="40" t="s">
        <v>139</v>
      </c>
      <c r="I62" s="40" t="s">
        <v>850</v>
      </c>
      <c r="J62" s="54">
        <v>14412600</v>
      </c>
      <c r="K62" s="54">
        <v>14412600</v>
      </c>
      <c r="L62" s="54">
        <v>0</v>
      </c>
      <c r="M62" s="54">
        <v>0</v>
      </c>
      <c r="N62" s="42">
        <v>0</v>
      </c>
      <c r="O62" s="43">
        <v>0</v>
      </c>
      <c r="P62" s="41">
        <v>14412600</v>
      </c>
      <c r="Q62" s="43">
        <v>0</v>
      </c>
      <c r="R62" s="41">
        <v>14412600</v>
      </c>
      <c r="S62" s="30">
        <v>14412600</v>
      </c>
      <c r="T62" s="30">
        <v>14412600</v>
      </c>
      <c r="U62" s="30">
        <v>7.85</v>
      </c>
      <c r="V62" s="41">
        <v>7.85</v>
      </c>
      <c r="W62" s="41">
        <v>3925</v>
      </c>
      <c r="X62" s="41">
        <v>1836000</v>
      </c>
      <c r="Y62" s="41">
        <v>1836000</v>
      </c>
      <c r="Z62" s="41">
        <v>0</v>
      </c>
      <c r="AA62" s="41">
        <v>0</v>
      </c>
      <c r="AB62" s="41">
        <v>613000</v>
      </c>
      <c r="AC62" s="41">
        <v>4812050</v>
      </c>
      <c r="AD62" s="41">
        <v>1223000</v>
      </c>
      <c r="AE62" s="41">
        <v>9600550</v>
      </c>
      <c r="AF62" s="41">
        <v>3672</v>
      </c>
      <c r="AG62" s="41">
        <v>3672</v>
      </c>
      <c r="AH62" s="36">
        <v>45383</v>
      </c>
      <c r="AI62" s="36"/>
      <c r="AJ62" s="36"/>
      <c r="AK62" s="36">
        <v>45413</v>
      </c>
      <c r="AL62" s="36"/>
      <c r="AM62" s="46"/>
      <c r="AN62" s="40" t="s">
        <v>851</v>
      </c>
      <c r="AO62" s="40" t="s">
        <v>852</v>
      </c>
      <c r="AP62" s="40" t="s">
        <v>853</v>
      </c>
      <c r="AQ62" s="40" t="s">
        <v>80</v>
      </c>
      <c r="AR62" s="48">
        <v>100</v>
      </c>
      <c r="AS62" s="37">
        <v>0</v>
      </c>
      <c r="AT62" s="37" t="s">
        <v>93</v>
      </c>
      <c r="AU62" s="47">
        <v>500</v>
      </c>
      <c r="AV62" s="37" t="s">
        <v>60</v>
      </c>
      <c r="AW62" s="37">
        <v>10</v>
      </c>
      <c r="AX62" s="30">
        <v>1441260</v>
      </c>
      <c r="AY62" s="40" t="s">
        <v>402</v>
      </c>
    </row>
    <row r="63" spans="1:51" ht="87" customHeight="1" x14ac:dyDescent="0.25">
      <c r="A63" s="44" t="s">
        <v>854</v>
      </c>
      <c r="B63" s="46">
        <v>45268</v>
      </c>
      <c r="C63" s="40">
        <v>1416</v>
      </c>
      <c r="D63" s="35" t="s">
        <v>855</v>
      </c>
      <c r="E63" s="39" t="s">
        <v>856</v>
      </c>
      <c r="F63" s="36">
        <v>45302</v>
      </c>
      <c r="G63" s="37" t="s">
        <v>857</v>
      </c>
      <c r="H63" s="40" t="s">
        <v>86</v>
      </c>
      <c r="I63" s="40" t="s">
        <v>858</v>
      </c>
      <c r="J63" s="54">
        <v>312035112</v>
      </c>
      <c r="K63" s="54">
        <v>312035112</v>
      </c>
      <c r="L63" s="54">
        <v>0</v>
      </c>
      <c r="M63" s="54">
        <v>0</v>
      </c>
      <c r="N63" s="42">
        <v>0</v>
      </c>
      <c r="O63" s="43">
        <v>0</v>
      </c>
      <c r="P63" s="41">
        <v>312035112</v>
      </c>
      <c r="Q63" s="43">
        <v>0</v>
      </c>
      <c r="R63" s="41">
        <v>312035112</v>
      </c>
      <c r="S63" s="30">
        <v>312035112</v>
      </c>
      <c r="T63" s="30">
        <v>312035112</v>
      </c>
      <c r="U63" s="30">
        <v>12.84</v>
      </c>
      <c r="V63" s="41">
        <v>12.84</v>
      </c>
      <c r="W63" s="41">
        <v>30816</v>
      </c>
      <c r="X63" s="41">
        <v>24301800</v>
      </c>
      <c r="Y63" s="41">
        <v>11232000</v>
      </c>
      <c r="Z63" s="41">
        <v>13069800</v>
      </c>
      <c r="AA63" s="41">
        <v>0</v>
      </c>
      <c r="AB63" s="41">
        <v>9834600</v>
      </c>
      <c r="AC63" s="41">
        <v>126276264</v>
      </c>
      <c r="AD63" s="41">
        <v>14467200</v>
      </c>
      <c r="AE63" s="41">
        <v>185758848</v>
      </c>
      <c r="AF63" s="41">
        <v>10125.75</v>
      </c>
      <c r="AG63" s="41">
        <v>10126</v>
      </c>
      <c r="AH63" s="36">
        <v>45352</v>
      </c>
      <c r="AI63" s="36">
        <v>45444</v>
      </c>
      <c r="AJ63" s="36"/>
      <c r="AK63" s="36">
        <v>45383</v>
      </c>
      <c r="AL63" s="36">
        <v>45474</v>
      </c>
      <c r="AM63" s="46"/>
      <c r="AN63" s="40" t="s">
        <v>677</v>
      </c>
      <c r="AO63" s="40" t="s">
        <v>859</v>
      </c>
      <c r="AP63" s="40" t="s">
        <v>679</v>
      </c>
      <c r="AQ63" s="40" t="s">
        <v>92</v>
      </c>
      <c r="AR63" s="48">
        <v>0</v>
      </c>
      <c r="AS63" s="37">
        <v>100</v>
      </c>
      <c r="AT63" s="37" t="s">
        <v>93</v>
      </c>
      <c r="AU63" s="47">
        <v>2400</v>
      </c>
      <c r="AV63" s="37" t="s">
        <v>60</v>
      </c>
      <c r="AW63" s="37">
        <v>10</v>
      </c>
      <c r="AX63" s="30">
        <v>31203511.199999999</v>
      </c>
      <c r="AY63" s="40" t="s">
        <v>325</v>
      </c>
    </row>
    <row r="64" spans="1:51" ht="75" x14ac:dyDescent="0.25">
      <c r="A64" s="44" t="s">
        <v>860</v>
      </c>
      <c r="B64" s="46">
        <v>45268</v>
      </c>
      <c r="C64" s="40">
        <v>1416</v>
      </c>
      <c r="D64" s="35" t="s">
        <v>861</v>
      </c>
      <c r="E64" s="39" t="s">
        <v>862</v>
      </c>
      <c r="F64" s="36">
        <v>45300</v>
      </c>
      <c r="G64" s="37" t="s">
        <v>863</v>
      </c>
      <c r="H64" s="40" t="s">
        <v>224</v>
      </c>
      <c r="I64" s="40" t="s">
        <v>864</v>
      </c>
      <c r="J64" s="54">
        <v>26867326.5</v>
      </c>
      <c r="K64" s="54">
        <v>26867326.5</v>
      </c>
      <c r="L64" s="54">
        <v>0</v>
      </c>
      <c r="M64" s="54">
        <v>0</v>
      </c>
      <c r="N64" s="42">
        <v>0.49999999069501372</v>
      </c>
      <c r="O64" s="43">
        <v>134336.62999999896</v>
      </c>
      <c r="P64" s="41">
        <v>26732989.870000001</v>
      </c>
      <c r="Q64" s="43">
        <v>134336.62999999896</v>
      </c>
      <c r="R64" s="41">
        <v>26732989.870000001</v>
      </c>
      <c r="S64" s="30">
        <v>26723938.5</v>
      </c>
      <c r="T64" s="30">
        <v>26723938.5</v>
      </c>
      <c r="U64" s="30">
        <v>14.91</v>
      </c>
      <c r="V64" s="41">
        <v>14.91</v>
      </c>
      <c r="W64" s="41">
        <v>745.5</v>
      </c>
      <c r="X64" s="41">
        <v>1792350</v>
      </c>
      <c r="Y64" s="41">
        <v>1792350</v>
      </c>
      <c r="Z64" s="41">
        <v>0</v>
      </c>
      <c r="AA64" s="41">
        <v>0</v>
      </c>
      <c r="AB64" s="41">
        <v>57100</v>
      </c>
      <c r="AC64" s="41">
        <v>851361</v>
      </c>
      <c r="AD64" s="41">
        <v>1735250</v>
      </c>
      <c r="AE64" s="41">
        <v>25872577.5</v>
      </c>
      <c r="AF64" s="41">
        <v>35847</v>
      </c>
      <c r="AG64" s="41">
        <v>35847</v>
      </c>
      <c r="AH64" s="36">
        <v>45323</v>
      </c>
      <c r="AI64" s="36"/>
      <c r="AJ64" s="36"/>
      <c r="AK64" s="36">
        <v>45352</v>
      </c>
      <c r="AL64" s="36"/>
      <c r="AM64" s="46"/>
      <c r="AN64" s="40" t="s">
        <v>865</v>
      </c>
      <c r="AO64" s="40" t="s">
        <v>866</v>
      </c>
      <c r="AP64" s="40" t="s">
        <v>867</v>
      </c>
      <c r="AQ64" s="40" t="s">
        <v>80</v>
      </c>
      <c r="AR64" s="48">
        <v>100</v>
      </c>
      <c r="AS64" s="37">
        <v>0</v>
      </c>
      <c r="AT64" s="37" t="s">
        <v>386</v>
      </c>
      <c r="AU64" s="47">
        <v>50</v>
      </c>
      <c r="AV64" s="37" t="s">
        <v>60</v>
      </c>
      <c r="AW64" s="37">
        <v>10</v>
      </c>
      <c r="AX64" s="30">
        <v>2686732.65</v>
      </c>
      <c r="AY64" s="40" t="s">
        <v>402</v>
      </c>
    </row>
    <row r="65" spans="1:51" ht="75" x14ac:dyDescent="0.25">
      <c r="A65" s="44" t="s">
        <v>868</v>
      </c>
      <c r="B65" s="46">
        <v>45264</v>
      </c>
      <c r="C65" s="40">
        <v>1416</v>
      </c>
      <c r="D65" s="35" t="s">
        <v>431</v>
      </c>
      <c r="E65" s="39" t="s">
        <v>869</v>
      </c>
      <c r="F65" s="36" t="s">
        <v>431</v>
      </c>
      <c r="G65" s="37" t="s">
        <v>431</v>
      </c>
      <c r="H65" s="40" t="s">
        <v>431</v>
      </c>
      <c r="I65" s="40" t="s">
        <v>870</v>
      </c>
      <c r="J65" s="54">
        <v>90409106.969999999</v>
      </c>
      <c r="K65" s="54">
        <v>90409106.969999999</v>
      </c>
      <c r="L65" s="54"/>
      <c r="M65" s="54"/>
      <c r="N65" s="42">
        <v>100</v>
      </c>
      <c r="O65" s="43">
        <v>90409106.969999999</v>
      </c>
      <c r="P65" s="41"/>
      <c r="Q65" s="43">
        <v>90409106.969999999</v>
      </c>
      <c r="R65" s="41">
        <v>0</v>
      </c>
      <c r="S65" s="30">
        <v>0</v>
      </c>
      <c r="T65" s="30">
        <v>0</v>
      </c>
      <c r="U65" s="30" t="e">
        <v>#DIV/0!</v>
      </c>
      <c r="V65" s="41" t="e">
        <v>#DIV/0!</v>
      </c>
      <c r="W65" s="41" t="e">
        <v>#DIV/0!</v>
      </c>
      <c r="X65" s="41">
        <v>0</v>
      </c>
      <c r="Y65" s="41">
        <v>0</v>
      </c>
      <c r="Z65" s="41">
        <v>0</v>
      </c>
      <c r="AA65" s="41">
        <v>0</v>
      </c>
      <c r="AB65" s="41"/>
      <c r="AC65" s="41" t="e">
        <v>#DIV/0!</v>
      </c>
      <c r="AD65" s="41"/>
      <c r="AE65" s="41" t="e">
        <v>#DIV/0!</v>
      </c>
      <c r="AF65" s="41" t="e">
        <v>#DIV/0!</v>
      </c>
      <c r="AG65" s="41" t="e">
        <v>#DIV/0!</v>
      </c>
      <c r="AH65" s="36">
        <v>45412</v>
      </c>
      <c r="AI65" s="36"/>
      <c r="AJ65" s="36"/>
      <c r="AK65" s="36"/>
      <c r="AL65" s="36"/>
      <c r="AM65" s="46"/>
      <c r="AN65" s="40"/>
      <c r="AO65" s="40"/>
      <c r="AP65" s="40"/>
      <c r="AQ65" s="40"/>
      <c r="AR65" s="48"/>
      <c r="AS65" s="37"/>
      <c r="AT65" s="37"/>
      <c r="AU65" s="47"/>
      <c r="AV65" s="37"/>
      <c r="AW65" s="37">
        <v>10</v>
      </c>
      <c r="AX65" s="30">
        <v>9040910.6970000006</v>
      </c>
      <c r="AY65" s="40" t="s">
        <v>431</v>
      </c>
    </row>
    <row r="66" spans="1:51" ht="81.75" customHeight="1" x14ac:dyDescent="0.25">
      <c r="A66" s="44" t="s">
        <v>879</v>
      </c>
      <c r="B66" s="46">
        <v>45268</v>
      </c>
      <c r="C66" s="40">
        <v>1416</v>
      </c>
      <c r="D66" s="35" t="s">
        <v>880</v>
      </c>
      <c r="E66" s="39" t="s">
        <v>881</v>
      </c>
      <c r="F66" s="36">
        <v>45289</v>
      </c>
      <c r="G66" s="37" t="s">
        <v>882</v>
      </c>
      <c r="H66" s="40" t="s">
        <v>224</v>
      </c>
      <c r="I66" s="40" t="s">
        <v>883</v>
      </c>
      <c r="J66" s="54">
        <v>215192050</v>
      </c>
      <c r="K66" s="54">
        <v>215192050</v>
      </c>
      <c r="L66" s="54">
        <v>0</v>
      </c>
      <c r="M66" s="54">
        <v>0</v>
      </c>
      <c r="N66" s="42">
        <v>0</v>
      </c>
      <c r="O66" s="43">
        <v>0</v>
      </c>
      <c r="P66" s="41">
        <v>215192050</v>
      </c>
      <c r="Q66" s="43">
        <v>0</v>
      </c>
      <c r="R66" s="41">
        <v>215192050</v>
      </c>
      <c r="S66" s="30">
        <v>215192050</v>
      </c>
      <c r="T66" s="30">
        <v>215192050</v>
      </c>
      <c r="U66" s="30">
        <v>7.85</v>
      </c>
      <c r="V66" s="41">
        <v>7.85</v>
      </c>
      <c r="W66" s="41">
        <v>7850</v>
      </c>
      <c r="X66" s="41">
        <v>27413000</v>
      </c>
      <c r="Y66" s="41">
        <v>27413000</v>
      </c>
      <c r="Z66" s="41">
        <v>0</v>
      </c>
      <c r="AA66" s="41">
        <v>0</v>
      </c>
      <c r="AB66" s="41">
        <v>7264000</v>
      </c>
      <c r="AC66" s="41">
        <v>57022400</v>
      </c>
      <c r="AD66" s="41">
        <v>20149000</v>
      </c>
      <c r="AE66" s="41">
        <v>158169650</v>
      </c>
      <c r="AF66" s="41">
        <v>27413</v>
      </c>
      <c r="AG66" s="41">
        <v>27413</v>
      </c>
      <c r="AH66" s="36">
        <v>45383</v>
      </c>
      <c r="AI66" s="36"/>
      <c r="AJ66" s="36"/>
      <c r="AK66" s="36"/>
      <c r="AL66" s="36"/>
      <c r="AM66" s="46"/>
      <c r="AN66" s="40" t="s">
        <v>884</v>
      </c>
      <c r="AO66" s="40" t="s">
        <v>885</v>
      </c>
      <c r="AP66" s="40" t="s">
        <v>886</v>
      </c>
      <c r="AQ66" s="40" t="s">
        <v>80</v>
      </c>
      <c r="AR66" s="48">
        <v>100</v>
      </c>
      <c r="AS66" s="37">
        <v>0</v>
      </c>
      <c r="AT66" s="37" t="s">
        <v>93</v>
      </c>
      <c r="AU66" s="47">
        <v>1000</v>
      </c>
      <c r="AV66" s="37" t="s">
        <v>60</v>
      </c>
      <c r="AW66" s="37">
        <v>10</v>
      </c>
      <c r="AX66" s="30">
        <v>21519205</v>
      </c>
      <c r="AY66" s="40" t="s">
        <v>402</v>
      </c>
    </row>
    <row r="67" spans="1:51" ht="78.75" x14ac:dyDescent="0.25">
      <c r="A67" s="44" t="s">
        <v>887</v>
      </c>
      <c r="B67" s="46">
        <v>45268</v>
      </c>
      <c r="C67" s="40">
        <v>1416</v>
      </c>
      <c r="D67" s="35" t="s">
        <v>431</v>
      </c>
      <c r="E67" s="39" t="s">
        <v>888</v>
      </c>
      <c r="F67" s="36" t="s">
        <v>431</v>
      </c>
      <c r="G67" s="37" t="s">
        <v>431</v>
      </c>
      <c r="H67" s="40" t="s">
        <v>431</v>
      </c>
      <c r="I67" s="40" t="s">
        <v>889</v>
      </c>
      <c r="J67" s="54">
        <v>378638760</v>
      </c>
      <c r="K67" s="54">
        <v>378638760</v>
      </c>
      <c r="L67" s="54"/>
      <c r="M67" s="54"/>
      <c r="N67" s="42">
        <v>100</v>
      </c>
      <c r="O67" s="43">
        <v>378638760</v>
      </c>
      <c r="P67" s="41"/>
      <c r="Q67" s="43">
        <v>378638760</v>
      </c>
      <c r="R67" s="41">
        <v>0</v>
      </c>
      <c r="S67" s="30">
        <v>0</v>
      </c>
      <c r="T67" s="30">
        <v>0</v>
      </c>
      <c r="U67" s="30" t="e">
        <v>#DIV/0!</v>
      </c>
      <c r="V67" s="41" t="e">
        <v>#DIV/0!</v>
      </c>
      <c r="W67" s="41" t="e">
        <v>#DIV/0!</v>
      </c>
      <c r="X67" s="41">
        <v>0</v>
      </c>
      <c r="Y67" s="41">
        <v>0</v>
      </c>
      <c r="Z67" s="41">
        <v>0</v>
      </c>
      <c r="AA67" s="41">
        <v>0</v>
      </c>
      <c r="AB67" s="41"/>
      <c r="AC67" s="41" t="e">
        <v>#DIV/0!</v>
      </c>
      <c r="AD67" s="41"/>
      <c r="AE67" s="41" t="e">
        <v>#DIV/0!</v>
      </c>
      <c r="AF67" s="41" t="e">
        <v>#DIV/0!</v>
      </c>
      <c r="AG67" s="41" t="e">
        <v>#DIV/0!</v>
      </c>
      <c r="AH67" s="36">
        <v>45323</v>
      </c>
      <c r="AI67" s="36"/>
      <c r="AJ67" s="36"/>
      <c r="AK67" s="36"/>
      <c r="AL67" s="36"/>
      <c r="AM67" s="46"/>
      <c r="AN67" s="40"/>
      <c r="AO67" s="40"/>
      <c r="AP67" s="40"/>
      <c r="AQ67" s="40"/>
      <c r="AR67" s="48"/>
      <c r="AS67" s="37"/>
      <c r="AT67" s="37"/>
      <c r="AU67" s="47"/>
      <c r="AV67" s="37"/>
      <c r="AW67" s="37">
        <v>10</v>
      </c>
      <c r="AX67" s="30">
        <v>37863876</v>
      </c>
      <c r="AY67" s="40" t="s">
        <v>431</v>
      </c>
    </row>
    <row r="68" spans="1:51" ht="75" x14ac:dyDescent="0.25">
      <c r="A68" s="44" t="s">
        <v>890</v>
      </c>
      <c r="B68" s="46">
        <v>45268</v>
      </c>
      <c r="C68" s="40">
        <v>1416</v>
      </c>
      <c r="D68" s="35" t="s">
        <v>431</v>
      </c>
      <c r="E68" s="39" t="s">
        <v>891</v>
      </c>
      <c r="F68" s="36" t="s">
        <v>431</v>
      </c>
      <c r="G68" s="37" t="s">
        <v>431</v>
      </c>
      <c r="H68" s="40" t="s">
        <v>431</v>
      </c>
      <c r="I68" s="40" t="s">
        <v>892</v>
      </c>
      <c r="J68" s="54">
        <v>2719716153</v>
      </c>
      <c r="K68" s="54">
        <v>2719716153</v>
      </c>
      <c r="L68" s="54"/>
      <c r="M68" s="54"/>
      <c r="N68" s="42">
        <v>100</v>
      </c>
      <c r="O68" s="43">
        <v>2719716153</v>
      </c>
      <c r="P68" s="41"/>
      <c r="Q68" s="43">
        <v>2719716153</v>
      </c>
      <c r="R68" s="41">
        <v>0</v>
      </c>
      <c r="S68" s="30">
        <v>0</v>
      </c>
      <c r="T68" s="30">
        <v>0</v>
      </c>
      <c r="U68" s="30" t="e">
        <v>#DIV/0!</v>
      </c>
      <c r="V68" s="41" t="e">
        <v>#DIV/0!</v>
      </c>
      <c r="W68" s="41" t="e">
        <v>#DIV/0!</v>
      </c>
      <c r="X68" s="41">
        <v>0</v>
      </c>
      <c r="Y68" s="41">
        <v>0</v>
      </c>
      <c r="Z68" s="41">
        <v>0</v>
      </c>
      <c r="AA68" s="41">
        <v>0</v>
      </c>
      <c r="AB68" s="41"/>
      <c r="AC68" s="41" t="e">
        <v>#DIV/0!</v>
      </c>
      <c r="AD68" s="41"/>
      <c r="AE68" s="41" t="e">
        <v>#DIV/0!</v>
      </c>
      <c r="AF68" s="41" t="e">
        <v>#DIV/0!</v>
      </c>
      <c r="AG68" s="41" t="e">
        <v>#DIV/0!</v>
      </c>
      <c r="AH68" s="36">
        <v>45352</v>
      </c>
      <c r="AI68" s="36">
        <v>45427</v>
      </c>
      <c r="AJ68" s="36">
        <v>45458</v>
      </c>
      <c r="AK68" s="36"/>
      <c r="AL68" s="36"/>
      <c r="AM68" s="46"/>
      <c r="AN68" s="40"/>
      <c r="AO68" s="40"/>
      <c r="AP68" s="40"/>
      <c r="AQ68" s="40"/>
      <c r="AR68" s="48"/>
      <c r="AS68" s="37"/>
      <c r="AT68" s="37"/>
      <c r="AU68" s="47"/>
      <c r="AV68" s="37"/>
      <c r="AW68" s="37">
        <v>10</v>
      </c>
      <c r="AX68" s="30">
        <v>271971615.30000001</v>
      </c>
      <c r="AY68" s="40" t="s">
        <v>431</v>
      </c>
    </row>
    <row r="69" spans="1:51" ht="75" x14ac:dyDescent="0.25">
      <c r="A69" s="44" t="s">
        <v>893</v>
      </c>
      <c r="B69" s="46">
        <v>45268</v>
      </c>
      <c r="C69" s="40">
        <v>1416</v>
      </c>
      <c r="D69" s="35" t="s">
        <v>431</v>
      </c>
      <c r="E69" s="39" t="s">
        <v>894</v>
      </c>
      <c r="F69" s="36" t="s">
        <v>431</v>
      </c>
      <c r="G69" s="37" t="s">
        <v>431</v>
      </c>
      <c r="H69" s="40" t="s">
        <v>431</v>
      </c>
      <c r="I69" s="40" t="s">
        <v>895</v>
      </c>
      <c r="J69" s="54">
        <v>360840</v>
      </c>
      <c r="K69" s="54">
        <v>360840</v>
      </c>
      <c r="L69" s="54"/>
      <c r="M69" s="54"/>
      <c r="N69" s="42">
        <v>100</v>
      </c>
      <c r="O69" s="43">
        <v>360840</v>
      </c>
      <c r="P69" s="41"/>
      <c r="Q69" s="43">
        <v>360840</v>
      </c>
      <c r="R69" s="41">
        <v>0</v>
      </c>
      <c r="S69" s="30">
        <v>0</v>
      </c>
      <c r="T69" s="30">
        <v>0</v>
      </c>
      <c r="U69" s="30" t="e">
        <v>#DIV/0!</v>
      </c>
      <c r="V69" s="41" t="e">
        <v>#DIV/0!</v>
      </c>
      <c r="W69" s="41" t="e">
        <v>#DIV/0!</v>
      </c>
      <c r="X69" s="41">
        <v>0</v>
      </c>
      <c r="Y69" s="41">
        <v>0</v>
      </c>
      <c r="Z69" s="41">
        <v>0</v>
      </c>
      <c r="AA69" s="41">
        <v>0</v>
      </c>
      <c r="AB69" s="41"/>
      <c r="AC69" s="41" t="e">
        <v>#DIV/0!</v>
      </c>
      <c r="AD69" s="41"/>
      <c r="AE69" s="41" t="e">
        <v>#DIV/0!</v>
      </c>
      <c r="AF69" s="41" t="e">
        <v>#DIV/0!</v>
      </c>
      <c r="AG69" s="41" t="e">
        <v>#DIV/0!</v>
      </c>
      <c r="AH69" s="36">
        <v>45323</v>
      </c>
      <c r="AI69" s="36"/>
      <c r="AJ69" s="36"/>
      <c r="AK69" s="36"/>
      <c r="AL69" s="36"/>
      <c r="AM69" s="46"/>
      <c r="AN69" s="40"/>
      <c r="AO69" s="40"/>
      <c r="AP69" s="40"/>
      <c r="AQ69" s="40"/>
      <c r="AR69" s="48"/>
      <c r="AS69" s="37"/>
      <c r="AT69" s="37"/>
      <c r="AU69" s="47"/>
      <c r="AV69" s="37"/>
      <c r="AW69" s="37">
        <v>10</v>
      </c>
      <c r="AX69" s="30">
        <v>36084</v>
      </c>
      <c r="AY69" s="40" t="s">
        <v>431</v>
      </c>
    </row>
    <row r="70" spans="1:51" ht="75" x14ac:dyDescent="0.25">
      <c r="A70" s="44" t="s">
        <v>896</v>
      </c>
      <c r="B70" s="46">
        <v>45268</v>
      </c>
      <c r="C70" s="40">
        <v>1416</v>
      </c>
      <c r="D70" s="35" t="s">
        <v>897</v>
      </c>
      <c r="E70" s="39" t="s">
        <v>898</v>
      </c>
      <c r="F70" s="36">
        <v>45300</v>
      </c>
      <c r="G70" s="37" t="s">
        <v>899</v>
      </c>
      <c r="H70" s="57" t="s">
        <v>203</v>
      </c>
      <c r="I70" s="40" t="s">
        <v>900</v>
      </c>
      <c r="J70" s="54">
        <v>16921827.09</v>
      </c>
      <c r="K70" s="54">
        <v>16921827.09</v>
      </c>
      <c r="L70" s="54">
        <v>0</v>
      </c>
      <c r="M70" s="54">
        <v>0</v>
      </c>
      <c r="N70" s="42">
        <v>90.109767928139249</v>
      </c>
      <c r="O70" s="43">
        <v>15248219.119999999</v>
      </c>
      <c r="P70" s="41">
        <v>1673607.97</v>
      </c>
      <c r="Q70" s="43">
        <v>15248219.119999999</v>
      </c>
      <c r="R70" s="41">
        <v>1673607.97</v>
      </c>
      <c r="S70" s="30">
        <v>1672673.31</v>
      </c>
      <c r="T70" s="30">
        <v>1672673.31</v>
      </c>
      <c r="U70" s="30">
        <v>92.51</v>
      </c>
      <c r="V70" s="41">
        <v>92.51</v>
      </c>
      <c r="W70" s="41">
        <v>1942.71</v>
      </c>
      <c r="X70" s="41">
        <v>18081</v>
      </c>
      <c r="Y70" s="41">
        <v>18081</v>
      </c>
      <c r="Z70" s="41">
        <v>0</v>
      </c>
      <c r="AA70" s="41">
        <v>0</v>
      </c>
      <c r="AB70" s="41">
        <v>0</v>
      </c>
      <c r="AC70" s="41">
        <v>0</v>
      </c>
      <c r="AD70" s="41">
        <v>18081</v>
      </c>
      <c r="AE70" s="41">
        <v>1672673.31</v>
      </c>
      <c r="AF70" s="41">
        <v>861</v>
      </c>
      <c r="AG70" s="41">
        <v>861</v>
      </c>
      <c r="AH70" s="36">
        <v>45323</v>
      </c>
      <c r="AI70" s="36"/>
      <c r="AJ70" s="36"/>
      <c r="AK70" s="36">
        <v>45352</v>
      </c>
      <c r="AL70" s="36"/>
      <c r="AM70" s="46"/>
      <c r="AN70" s="40" t="s">
        <v>901</v>
      </c>
      <c r="AO70" s="40" t="s">
        <v>902</v>
      </c>
      <c r="AP70" s="40" t="s">
        <v>903</v>
      </c>
      <c r="AQ70" s="40" t="s">
        <v>80</v>
      </c>
      <c r="AR70" s="48">
        <v>100</v>
      </c>
      <c r="AS70" s="37">
        <v>0</v>
      </c>
      <c r="AT70" s="37" t="s">
        <v>386</v>
      </c>
      <c r="AU70" s="47">
        <v>21</v>
      </c>
      <c r="AV70" s="37" t="s">
        <v>219</v>
      </c>
      <c r="AW70" s="37">
        <v>10</v>
      </c>
      <c r="AX70" s="30">
        <v>1692182.709</v>
      </c>
      <c r="AY70" s="40" t="s">
        <v>402</v>
      </c>
    </row>
    <row r="71" spans="1:51" ht="87.75" customHeight="1" x14ac:dyDescent="0.25">
      <c r="A71" s="44" t="s">
        <v>904</v>
      </c>
      <c r="B71" s="46">
        <v>45268</v>
      </c>
      <c r="C71" s="40">
        <v>1416</v>
      </c>
      <c r="D71" s="35" t="s">
        <v>905</v>
      </c>
      <c r="E71" s="39" t="s">
        <v>906</v>
      </c>
      <c r="F71" s="36">
        <v>45289</v>
      </c>
      <c r="G71" s="37" t="s">
        <v>907</v>
      </c>
      <c r="H71" s="40" t="s">
        <v>86</v>
      </c>
      <c r="I71" s="40" t="s">
        <v>908</v>
      </c>
      <c r="J71" s="54">
        <v>9649710</v>
      </c>
      <c r="K71" s="54" t="s">
        <v>909</v>
      </c>
      <c r="L71" s="54" t="s">
        <v>909</v>
      </c>
      <c r="M71" s="54">
        <v>0</v>
      </c>
      <c r="N71" s="42">
        <v>0</v>
      </c>
      <c r="O71" s="43">
        <v>0</v>
      </c>
      <c r="P71" s="41">
        <v>9649710</v>
      </c>
      <c r="Q71" s="43">
        <v>0</v>
      </c>
      <c r="R71" s="41">
        <v>4824855</v>
      </c>
      <c r="S71" s="30">
        <v>4824855</v>
      </c>
      <c r="T71" s="30">
        <v>9649710</v>
      </c>
      <c r="U71" s="30">
        <v>7.42</v>
      </c>
      <c r="V71" s="41">
        <v>7.42</v>
      </c>
      <c r="W71" s="41">
        <v>1855</v>
      </c>
      <c r="X71" s="41">
        <v>1300500</v>
      </c>
      <c r="Y71" s="41">
        <v>433750</v>
      </c>
      <c r="Z71" s="41">
        <v>216500</v>
      </c>
      <c r="AA71" s="41"/>
      <c r="AB71" s="41">
        <v>424250</v>
      </c>
      <c r="AC71" s="41">
        <v>3147935</v>
      </c>
      <c r="AD71" s="41">
        <v>226000</v>
      </c>
      <c r="AE71" s="41">
        <v>1676920</v>
      </c>
      <c r="AF71" s="41">
        <v>5202</v>
      </c>
      <c r="AG71" s="41">
        <v>5202</v>
      </c>
      <c r="AH71" s="36">
        <v>45352</v>
      </c>
      <c r="AI71" s="36">
        <v>45565</v>
      </c>
      <c r="AJ71" s="36">
        <v>45717</v>
      </c>
      <c r="AK71" s="36">
        <v>45383</v>
      </c>
      <c r="AL71" s="36">
        <v>45597</v>
      </c>
      <c r="AM71" s="46">
        <v>45748</v>
      </c>
      <c r="AN71" s="40" t="s">
        <v>910</v>
      </c>
      <c r="AO71" s="40" t="s">
        <v>911</v>
      </c>
      <c r="AP71" s="40" t="s">
        <v>912</v>
      </c>
      <c r="AQ71" s="40" t="s">
        <v>913</v>
      </c>
      <c r="AR71" s="48">
        <v>0</v>
      </c>
      <c r="AS71" s="37">
        <v>100</v>
      </c>
      <c r="AT71" s="37" t="s">
        <v>93</v>
      </c>
      <c r="AU71" s="47">
        <v>250</v>
      </c>
      <c r="AV71" s="37" t="s">
        <v>60</v>
      </c>
      <c r="AW71" s="37">
        <v>10</v>
      </c>
      <c r="AX71" s="30">
        <v>964971</v>
      </c>
      <c r="AY71" s="40" t="s">
        <v>402</v>
      </c>
    </row>
    <row r="72" spans="1:51" ht="78.75" x14ac:dyDescent="0.25">
      <c r="A72" s="44" t="s">
        <v>914</v>
      </c>
      <c r="B72" s="46">
        <v>45268</v>
      </c>
      <c r="C72" s="40">
        <v>1416</v>
      </c>
      <c r="D72" s="35" t="s">
        <v>915</v>
      </c>
      <c r="E72" s="39" t="s">
        <v>916</v>
      </c>
      <c r="F72" s="36">
        <v>45303</v>
      </c>
      <c r="G72" s="37" t="s">
        <v>917</v>
      </c>
      <c r="H72" s="40" t="s">
        <v>139</v>
      </c>
      <c r="I72" s="40" t="s">
        <v>918</v>
      </c>
      <c r="J72" s="54">
        <v>4389001226.3999996</v>
      </c>
      <c r="K72" s="54">
        <v>4389001226.3999996</v>
      </c>
      <c r="L72" s="54">
        <v>0</v>
      </c>
      <c r="M72" s="54">
        <v>0</v>
      </c>
      <c r="N72" s="42">
        <v>0</v>
      </c>
      <c r="O72" s="43">
        <v>0</v>
      </c>
      <c r="P72" s="41">
        <v>4389001226.3999996</v>
      </c>
      <c r="Q72" s="43">
        <v>0</v>
      </c>
      <c r="R72" s="41">
        <v>4389001226.3999996</v>
      </c>
      <c r="S72" s="30">
        <v>4389001226.3999996</v>
      </c>
      <c r="T72" s="30">
        <v>4389001226.3999996</v>
      </c>
      <c r="U72" s="30">
        <v>9102.7899999999991</v>
      </c>
      <c r="V72" s="41">
        <v>9102.7899999999991</v>
      </c>
      <c r="W72" s="41">
        <v>273083.69999999995</v>
      </c>
      <c r="X72" s="41">
        <v>482160</v>
      </c>
      <c r="Y72" s="41">
        <v>482160</v>
      </c>
      <c r="Z72" s="41">
        <v>0</v>
      </c>
      <c r="AA72" s="41">
        <v>0</v>
      </c>
      <c r="AB72" s="41">
        <v>275430</v>
      </c>
      <c r="AC72" s="41">
        <v>2507181449.6999998</v>
      </c>
      <c r="AD72" s="41">
        <v>206730</v>
      </c>
      <c r="AE72" s="41">
        <v>1881819776.6999998</v>
      </c>
      <c r="AF72" s="41">
        <v>16072</v>
      </c>
      <c r="AG72" s="41">
        <v>16072</v>
      </c>
      <c r="AH72" s="36">
        <v>45381</v>
      </c>
      <c r="AI72" s="36"/>
      <c r="AJ72" s="36"/>
      <c r="AK72" s="36">
        <v>45413</v>
      </c>
      <c r="AL72" s="36"/>
      <c r="AM72" s="46"/>
      <c r="AN72" s="40" t="s">
        <v>919</v>
      </c>
      <c r="AO72" s="40" t="s">
        <v>920</v>
      </c>
      <c r="AP72" s="40" t="s">
        <v>921</v>
      </c>
      <c r="AQ72" s="40" t="s">
        <v>80</v>
      </c>
      <c r="AR72" s="48">
        <v>100</v>
      </c>
      <c r="AS72" s="37">
        <v>0</v>
      </c>
      <c r="AT72" s="37" t="s">
        <v>81</v>
      </c>
      <c r="AU72" s="47">
        <v>30</v>
      </c>
      <c r="AV72" s="37" t="s">
        <v>60</v>
      </c>
      <c r="AW72" s="37">
        <v>10</v>
      </c>
      <c r="AX72" s="30">
        <v>438900122.63999999</v>
      </c>
      <c r="AY72" s="40" t="s">
        <v>402</v>
      </c>
    </row>
    <row r="73" spans="1:51" ht="75" x14ac:dyDescent="0.25">
      <c r="A73" s="44" t="s">
        <v>922</v>
      </c>
      <c r="B73" s="46">
        <v>45268</v>
      </c>
      <c r="C73" s="40">
        <v>1416</v>
      </c>
      <c r="D73" s="35" t="s">
        <v>923</v>
      </c>
      <c r="E73" s="39" t="s">
        <v>924</v>
      </c>
      <c r="F73" s="36">
        <v>45300</v>
      </c>
      <c r="G73" s="37" t="s">
        <v>925</v>
      </c>
      <c r="H73" s="40" t="s">
        <v>213</v>
      </c>
      <c r="I73" s="40" t="s">
        <v>926</v>
      </c>
      <c r="J73" s="54">
        <v>14067507.300000001</v>
      </c>
      <c r="K73" s="54">
        <v>14067507.300000001</v>
      </c>
      <c r="L73" s="54">
        <v>0</v>
      </c>
      <c r="M73" s="54">
        <v>0</v>
      </c>
      <c r="N73" s="42">
        <v>95.026197711658554</v>
      </c>
      <c r="O73" s="43">
        <v>13367817.300000001</v>
      </c>
      <c r="P73" s="41">
        <v>699690</v>
      </c>
      <c r="Q73" s="43">
        <v>13367817.300000001</v>
      </c>
      <c r="R73" s="41">
        <v>699690</v>
      </c>
      <c r="S73" s="30">
        <v>699649.44</v>
      </c>
      <c r="T73" s="30">
        <v>699649.44</v>
      </c>
      <c r="U73" s="30">
        <v>220.64</v>
      </c>
      <c r="V73" s="41">
        <v>220.64</v>
      </c>
      <c r="W73" s="41">
        <v>4633.4399999999996</v>
      </c>
      <c r="X73" s="41">
        <v>3171</v>
      </c>
      <c r="Y73" s="41">
        <v>3171</v>
      </c>
      <c r="Z73" s="41">
        <v>0</v>
      </c>
      <c r="AA73" s="41">
        <v>0</v>
      </c>
      <c r="AB73" s="41">
        <v>0</v>
      </c>
      <c r="AC73" s="41">
        <v>0</v>
      </c>
      <c r="AD73" s="41">
        <v>3171</v>
      </c>
      <c r="AE73" s="41">
        <v>699649.44</v>
      </c>
      <c r="AF73" s="41">
        <v>151</v>
      </c>
      <c r="AG73" s="41">
        <v>151</v>
      </c>
      <c r="AH73" s="36">
        <v>45383</v>
      </c>
      <c r="AI73" s="36"/>
      <c r="AJ73" s="36"/>
      <c r="AK73" s="36">
        <v>45413</v>
      </c>
      <c r="AL73" s="36"/>
      <c r="AM73" s="46"/>
      <c r="AN73" s="40" t="s">
        <v>216</v>
      </c>
      <c r="AO73" s="40" t="s">
        <v>236</v>
      </c>
      <c r="AP73" s="40" t="s">
        <v>218</v>
      </c>
      <c r="AQ73" s="40" t="s">
        <v>80</v>
      </c>
      <c r="AR73" s="48">
        <v>100</v>
      </c>
      <c r="AS73" s="37">
        <v>0</v>
      </c>
      <c r="AT73" s="37" t="s">
        <v>386</v>
      </c>
      <c r="AU73" s="47">
        <v>21</v>
      </c>
      <c r="AV73" s="37" t="s">
        <v>219</v>
      </c>
      <c r="AW73" s="37">
        <v>10</v>
      </c>
      <c r="AX73" s="30">
        <v>1406750.73</v>
      </c>
      <c r="AY73" s="40" t="s">
        <v>402</v>
      </c>
    </row>
    <row r="74" spans="1:51" ht="108" customHeight="1" x14ac:dyDescent="0.25">
      <c r="A74" s="44" t="s">
        <v>927</v>
      </c>
      <c r="B74" s="46">
        <v>45268</v>
      </c>
      <c r="C74" s="40">
        <v>1416</v>
      </c>
      <c r="D74" s="35" t="s">
        <v>928</v>
      </c>
      <c r="E74" s="39" t="s">
        <v>929</v>
      </c>
      <c r="F74" s="36">
        <v>45289</v>
      </c>
      <c r="G74" s="37" t="s">
        <v>930</v>
      </c>
      <c r="H74" s="40" t="s">
        <v>86</v>
      </c>
      <c r="I74" s="40" t="s">
        <v>931</v>
      </c>
      <c r="J74" s="54">
        <v>41731032</v>
      </c>
      <c r="K74" s="54">
        <v>41731032</v>
      </c>
      <c r="L74" s="54">
        <v>0</v>
      </c>
      <c r="M74" s="54">
        <v>0</v>
      </c>
      <c r="N74" s="42">
        <v>0</v>
      </c>
      <c r="O74" s="43">
        <v>0</v>
      </c>
      <c r="P74" s="41">
        <v>41731032</v>
      </c>
      <c r="Q74" s="43">
        <v>0</v>
      </c>
      <c r="R74" s="41">
        <v>41731032</v>
      </c>
      <c r="S74" s="30">
        <v>41731032</v>
      </c>
      <c r="T74" s="30">
        <v>41731032</v>
      </c>
      <c r="U74" s="30">
        <v>24.92</v>
      </c>
      <c r="V74" s="41">
        <v>24.92</v>
      </c>
      <c r="W74" s="41">
        <v>14952.000000000002</v>
      </c>
      <c r="X74" s="41">
        <v>1674600</v>
      </c>
      <c r="Y74" s="41">
        <v>1134600</v>
      </c>
      <c r="Z74" s="41">
        <v>540000</v>
      </c>
      <c r="AA74" s="41">
        <v>0</v>
      </c>
      <c r="AB74" s="41">
        <v>0</v>
      </c>
      <c r="AC74" s="41">
        <v>0</v>
      </c>
      <c r="AD74" s="41">
        <v>1674600</v>
      </c>
      <c r="AE74" s="41">
        <v>41731032</v>
      </c>
      <c r="AF74" s="41">
        <v>2791</v>
      </c>
      <c r="AG74" s="41">
        <v>2791</v>
      </c>
      <c r="AH74" s="36">
        <v>45323</v>
      </c>
      <c r="AI74" s="36">
        <v>45412</v>
      </c>
      <c r="AJ74" s="36"/>
      <c r="AK74" s="36">
        <v>45352</v>
      </c>
      <c r="AL74" s="36">
        <v>45444</v>
      </c>
      <c r="AM74" s="46"/>
      <c r="AN74" s="40" t="s">
        <v>677</v>
      </c>
      <c r="AO74" s="40" t="s">
        <v>932</v>
      </c>
      <c r="AP74" s="40" t="s">
        <v>679</v>
      </c>
      <c r="AQ74" s="40" t="s">
        <v>92</v>
      </c>
      <c r="AR74" s="48">
        <v>0</v>
      </c>
      <c r="AS74" s="37">
        <v>100</v>
      </c>
      <c r="AT74" s="37" t="s">
        <v>93</v>
      </c>
      <c r="AU74" s="47">
        <v>600</v>
      </c>
      <c r="AV74" s="37" t="s">
        <v>60</v>
      </c>
      <c r="AW74" s="37">
        <v>10</v>
      </c>
      <c r="AX74" s="30">
        <v>4173103.2</v>
      </c>
      <c r="AY74" s="40" t="s">
        <v>325</v>
      </c>
    </row>
    <row r="75" spans="1:51" ht="75" x14ac:dyDescent="0.25">
      <c r="A75" s="44" t="s">
        <v>933</v>
      </c>
      <c r="B75" s="46">
        <v>45268</v>
      </c>
      <c r="C75" s="40">
        <v>1416</v>
      </c>
      <c r="D75" s="37" t="s">
        <v>493</v>
      </c>
      <c r="E75" s="39" t="s">
        <v>934</v>
      </c>
      <c r="F75" s="37" t="s">
        <v>493</v>
      </c>
      <c r="G75" s="37" t="s">
        <v>493</v>
      </c>
      <c r="H75" s="37" t="s">
        <v>493</v>
      </c>
      <c r="I75" s="40" t="s">
        <v>935</v>
      </c>
      <c r="J75" s="54">
        <v>468865320</v>
      </c>
      <c r="K75" s="54">
        <v>468865320</v>
      </c>
      <c r="L75" s="54"/>
      <c r="M75" s="54"/>
      <c r="N75" s="42">
        <v>100</v>
      </c>
      <c r="O75" s="43">
        <v>468865320</v>
      </c>
      <c r="P75" s="41"/>
      <c r="Q75" s="43">
        <v>468865320</v>
      </c>
      <c r="R75" s="41">
        <v>0</v>
      </c>
      <c r="S75" s="30">
        <v>0</v>
      </c>
      <c r="T75" s="30">
        <v>0</v>
      </c>
      <c r="U75" s="30" t="e">
        <v>#DIV/0!</v>
      </c>
      <c r="V75" s="41" t="e">
        <v>#DIV/0!</v>
      </c>
      <c r="W75" s="41" t="e">
        <v>#DIV/0!</v>
      </c>
      <c r="X75" s="41">
        <v>0</v>
      </c>
      <c r="Y75" s="41">
        <v>0</v>
      </c>
      <c r="Z75" s="41">
        <v>0</v>
      </c>
      <c r="AA75" s="41">
        <v>0</v>
      </c>
      <c r="AB75" s="41"/>
      <c r="AC75" s="41" t="e">
        <v>#DIV/0!</v>
      </c>
      <c r="AD75" s="41"/>
      <c r="AE75" s="41" t="e">
        <v>#DIV/0!</v>
      </c>
      <c r="AF75" s="41" t="e">
        <v>#DIV/0!</v>
      </c>
      <c r="AG75" s="41" t="e">
        <v>#DIV/0!</v>
      </c>
      <c r="AH75" s="36">
        <v>45352</v>
      </c>
      <c r="AI75" s="36">
        <v>45565</v>
      </c>
      <c r="AJ75" s="36">
        <v>45717</v>
      </c>
      <c r="AK75" s="36"/>
      <c r="AL75" s="36"/>
      <c r="AM75" s="46"/>
      <c r="AN75" s="40"/>
      <c r="AO75" s="40"/>
      <c r="AP75" s="40"/>
      <c r="AQ75" s="40"/>
      <c r="AR75" s="48"/>
      <c r="AS75" s="37"/>
      <c r="AT75" s="37"/>
      <c r="AU75" s="47"/>
      <c r="AV75" s="37"/>
      <c r="AW75" s="37">
        <v>10</v>
      </c>
      <c r="AX75" s="30">
        <v>46886532</v>
      </c>
      <c r="AY75" s="40" t="s">
        <v>431</v>
      </c>
    </row>
    <row r="76" spans="1:51" ht="114.75" customHeight="1" x14ac:dyDescent="0.25">
      <c r="A76" s="44" t="s">
        <v>936</v>
      </c>
      <c r="B76" s="46">
        <v>45268</v>
      </c>
      <c r="C76" s="40">
        <v>1416</v>
      </c>
      <c r="D76" s="35" t="s">
        <v>937</v>
      </c>
      <c r="E76" s="39" t="s">
        <v>938</v>
      </c>
      <c r="F76" s="36">
        <v>45289</v>
      </c>
      <c r="G76" s="37" t="s">
        <v>939</v>
      </c>
      <c r="H76" s="40" t="s">
        <v>139</v>
      </c>
      <c r="I76" s="40" t="s">
        <v>940</v>
      </c>
      <c r="J76" s="54">
        <v>85205610</v>
      </c>
      <c r="K76" s="54">
        <v>85205610</v>
      </c>
      <c r="L76" s="54">
        <v>0</v>
      </c>
      <c r="M76" s="54">
        <v>0</v>
      </c>
      <c r="N76" s="42">
        <v>0</v>
      </c>
      <c r="O76" s="43">
        <v>0</v>
      </c>
      <c r="P76" s="41">
        <v>85205610</v>
      </c>
      <c r="Q76" s="43">
        <v>0</v>
      </c>
      <c r="R76" s="41">
        <v>85205610</v>
      </c>
      <c r="S76" s="30">
        <v>85205610</v>
      </c>
      <c r="T76" s="30">
        <v>85205610</v>
      </c>
      <c r="U76" s="30">
        <v>12.51</v>
      </c>
      <c r="V76" s="41">
        <v>12.51</v>
      </c>
      <c r="W76" s="41">
        <v>6255</v>
      </c>
      <c r="X76" s="41">
        <v>6811000</v>
      </c>
      <c r="Y76" s="41">
        <v>6811000</v>
      </c>
      <c r="Z76" s="41">
        <v>0</v>
      </c>
      <c r="AA76" s="41">
        <v>0</v>
      </c>
      <c r="AB76" s="41">
        <v>260000</v>
      </c>
      <c r="AC76" s="41">
        <v>3252600</v>
      </c>
      <c r="AD76" s="41">
        <v>6551000</v>
      </c>
      <c r="AE76" s="41">
        <v>81953010</v>
      </c>
      <c r="AF76" s="41">
        <v>13622</v>
      </c>
      <c r="AG76" s="41">
        <v>13622</v>
      </c>
      <c r="AH76" s="36">
        <v>45381</v>
      </c>
      <c r="AI76" s="36"/>
      <c r="AJ76" s="36"/>
      <c r="AK76" s="36">
        <v>45413</v>
      </c>
      <c r="AL76" s="36"/>
      <c r="AM76" s="46"/>
      <c r="AN76" s="40" t="s">
        <v>941</v>
      </c>
      <c r="AO76" s="40" t="s">
        <v>942</v>
      </c>
      <c r="AP76" s="40" t="s">
        <v>943</v>
      </c>
      <c r="AQ76" s="40" t="s">
        <v>80</v>
      </c>
      <c r="AR76" s="48">
        <v>100</v>
      </c>
      <c r="AS76" s="37">
        <v>0</v>
      </c>
      <c r="AT76" s="37" t="s">
        <v>93</v>
      </c>
      <c r="AU76" s="47">
        <v>500</v>
      </c>
      <c r="AV76" s="37" t="s">
        <v>60</v>
      </c>
      <c r="AW76" s="37">
        <v>10</v>
      </c>
      <c r="AX76" s="30">
        <v>8520561</v>
      </c>
      <c r="AY76" s="40" t="s">
        <v>402</v>
      </c>
    </row>
    <row r="77" spans="1:51" ht="75" x14ac:dyDescent="0.25">
      <c r="A77" s="44" t="s">
        <v>944</v>
      </c>
      <c r="B77" s="46">
        <v>45268</v>
      </c>
      <c r="C77" s="40">
        <v>1416</v>
      </c>
      <c r="D77" s="35" t="s">
        <v>945</v>
      </c>
      <c r="E77" s="39" t="s">
        <v>946</v>
      </c>
      <c r="F77" s="36">
        <v>45310</v>
      </c>
      <c r="G77" s="37" t="s">
        <v>947</v>
      </c>
      <c r="H77" s="40" t="s">
        <v>139</v>
      </c>
      <c r="I77" s="40" t="s">
        <v>948</v>
      </c>
      <c r="J77" s="54">
        <v>6881444100</v>
      </c>
      <c r="K77" s="54">
        <v>3440722050</v>
      </c>
      <c r="L77" s="54">
        <v>3440722050</v>
      </c>
      <c r="M77" s="54">
        <v>0</v>
      </c>
      <c r="N77" s="42">
        <v>0</v>
      </c>
      <c r="O77" s="43">
        <v>0</v>
      </c>
      <c r="P77" s="41">
        <v>6881444100</v>
      </c>
      <c r="Q77" s="43">
        <v>3440722050</v>
      </c>
      <c r="R77" s="41">
        <v>3440722050</v>
      </c>
      <c r="S77" s="30">
        <v>3440722050</v>
      </c>
      <c r="T77" s="30">
        <v>6881444100</v>
      </c>
      <c r="U77" s="30">
        <v>5594.67</v>
      </c>
      <c r="V77" s="41">
        <v>5594.67</v>
      </c>
      <c r="W77" s="41">
        <v>83920.05</v>
      </c>
      <c r="X77" s="41">
        <v>1230000</v>
      </c>
      <c r="Y77" s="41">
        <v>379500</v>
      </c>
      <c r="Z77" s="41">
        <v>235500</v>
      </c>
      <c r="AA77" s="41">
        <v>0</v>
      </c>
      <c r="AB77" s="41">
        <v>1660</v>
      </c>
      <c r="AC77" s="41">
        <v>9287152.1999999993</v>
      </c>
      <c r="AD77" s="41">
        <v>613340</v>
      </c>
      <c r="AE77" s="41">
        <v>3431434897.8000002</v>
      </c>
      <c r="AF77" s="41">
        <v>82000</v>
      </c>
      <c r="AG77" s="41">
        <v>82000</v>
      </c>
      <c r="AH77" s="36">
        <v>45397</v>
      </c>
      <c r="AI77" s="36">
        <v>45474</v>
      </c>
      <c r="AJ77" s="36" t="s">
        <v>949</v>
      </c>
      <c r="AK77" s="36">
        <v>45427</v>
      </c>
      <c r="AL77" s="36">
        <v>45505</v>
      </c>
      <c r="AM77" s="46" t="s">
        <v>950</v>
      </c>
      <c r="AN77" s="40" t="s">
        <v>951</v>
      </c>
      <c r="AO77" s="40" t="s">
        <v>952</v>
      </c>
      <c r="AP77" s="40" t="s">
        <v>953</v>
      </c>
      <c r="AQ77" s="40" t="s">
        <v>92</v>
      </c>
      <c r="AR77" s="48">
        <v>0</v>
      </c>
      <c r="AS77" s="37">
        <v>100</v>
      </c>
      <c r="AT77" s="37" t="s">
        <v>81</v>
      </c>
      <c r="AU77" s="47">
        <v>15</v>
      </c>
      <c r="AV77" s="37" t="s">
        <v>60</v>
      </c>
      <c r="AW77" s="37">
        <v>10</v>
      </c>
      <c r="AX77" s="30">
        <v>688144410</v>
      </c>
      <c r="AY77" s="40" t="s">
        <v>402</v>
      </c>
    </row>
    <row r="78" spans="1:51" ht="75" x14ac:dyDescent="0.25">
      <c r="A78" s="44" t="s">
        <v>954</v>
      </c>
      <c r="B78" s="46">
        <v>45268</v>
      </c>
      <c r="C78" s="40">
        <v>1416</v>
      </c>
      <c r="D78" s="35" t="s">
        <v>955</v>
      </c>
      <c r="E78" s="39" t="s">
        <v>956</v>
      </c>
      <c r="F78" s="36">
        <v>45289</v>
      </c>
      <c r="G78" s="37" t="s">
        <v>957</v>
      </c>
      <c r="H78" s="40" t="s">
        <v>319</v>
      </c>
      <c r="I78" s="40" t="s">
        <v>958</v>
      </c>
      <c r="J78" s="54">
        <v>41597582.399999999</v>
      </c>
      <c r="K78" s="54">
        <v>41597582.399999999</v>
      </c>
      <c r="L78" s="54">
        <v>0</v>
      </c>
      <c r="M78" s="54">
        <v>0</v>
      </c>
      <c r="N78" s="42">
        <v>0</v>
      </c>
      <c r="O78" s="43">
        <v>0</v>
      </c>
      <c r="P78" s="41">
        <v>41597582.399999999</v>
      </c>
      <c r="Q78" s="43">
        <v>0</v>
      </c>
      <c r="R78" s="41">
        <v>41597582.399999999</v>
      </c>
      <c r="S78" s="30">
        <v>41597582.399999999</v>
      </c>
      <c r="T78" s="30">
        <v>41597582.399999999</v>
      </c>
      <c r="U78" s="30">
        <v>16048.449999999999</v>
      </c>
      <c r="V78" s="41">
        <v>16048.449999999999</v>
      </c>
      <c r="W78" s="41">
        <v>57774.42</v>
      </c>
      <c r="X78" s="41">
        <v>2592</v>
      </c>
      <c r="Y78" s="41">
        <v>2592</v>
      </c>
      <c r="Z78" s="41">
        <v>0</v>
      </c>
      <c r="AA78" s="41">
        <v>0</v>
      </c>
      <c r="AB78" s="41">
        <v>1976.4</v>
      </c>
      <c r="AC78" s="41">
        <v>31718156.579999998</v>
      </c>
      <c r="AD78" s="41">
        <v>615.6</v>
      </c>
      <c r="AE78" s="41">
        <v>9879425.8200000003</v>
      </c>
      <c r="AF78" s="41">
        <v>720</v>
      </c>
      <c r="AG78" s="41">
        <v>720</v>
      </c>
      <c r="AH78" s="36">
        <v>45323</v>
      </c>
      <c r="AI78" s="36"/>
      <c r="AJ78" s="36"/>
      <c r="AK78" s="36">
        <v>45352</v>
      </c>
      <c r="AL78" s="36"/>
      <c r="AM78" s="46"/>
      <c r="AN78" s="40" t="s">
        <v>261</v>
      </c>
      <c r="AO78" s="40" t="s">
        <v>959</v>
      </c>
      <c r="AP78" s="40" t="s">
        <v>960</v>
      </c>
      <c r="AQ78" s="40" t="s">
        <v>92</v>
      </c>
      <c r="AR78" s="48">
        <v>0</v>
      </c>
      <c r="AS78" s="37">
        <v>100</v>
      </c>
      <c r="AT78" s="37">
        <v>100</v>
      </c>
      <c r="AU78" s="52">
        <v>3.6</v>
      </c>
      <c r="AV78" s="37" t="s">
        <v>60</v>
      </c>
      <c r="AW78" s="37">
        <v>10</v>
      </c>
      <c r="AX78" s="30">
        <v>4159758.24</v>
      </c>
      <c r="AY78" s="40" t="s">
        <v>402</v>
      </c>
    </row>
    <row r="79" spans="1:51" ht="75" x14ac:dyDescent="0.25">
      <c r="A79" s="44" t="s">
        <v>961</v>
      </c>
      <c r="B79" s="46">
        <v>45268</v>
      </c>
      <c r="C79" s="40">
        <v>1416</v>
      </c>
      <c r="D79" s="35"/>
      <c r="E79" s="39" t="s">
        <v>962</v>
      </c>
      <c r="F79" s="36"/>
      <c r="G79" s="37"/>
      <c r="H79" s="40"/>
      <c r="I79" s="40" t="s">
        <v>710</v>
      </c>
      <c r="J79" s="54">
        <v>2676317280</v>
      </c>
      <c r="K79" s="54">
        <v>2676317280</v>
      </c>
      <c r="L79" s="54"/>
      <c r="M79" s="54"/>
      <c r="N79" s="42">
        <v>100</v>
      </c>
      <c r="O79" s="43">
        <v>2676317280</v>
      </c>
      <c r="P79" s="41"/>
      <c r="Q79" s="43">
        <v>2676317280</v>
      </c>
      <c r="R79" s="41">
        <v>0</v>
      </c>
      <c r="S79" s="30">
        <v>0</v>
      </c>
      <c r="T79" s="30">
        <v>0</v>
      </c>
      <c r="U79" s="30" t="e">
        <v>#DIV/0!</v>
      </c>
      <c r="V79" s="41" t="e">
        <v>#DIV/0!</v>
      </c>
      <c r="W79" s="41" t="e">
        <v>#DIV/0!</v>
      </c>
      <c r="X79" s="41">
        <v>0</v>
      </c>
      <c r="Y79" s="41">
        <v>0</v>
      </c>
      <c r="Z79" s="41">
        <v>0</v>
      </c>
      <c r="AA79" s="41">
        <v>0</v>
      </c>
      <c r="AB79" s="41"/>
      <c r="AC79" s="41" t="e">
        <v>#DIV/0!</v>
      </c>
      <c r="AD79" s="41"/>
      <c r="AE79" s="41" t="e">
        <v>#DIV/0!</v>
      </c>
      <c r="AF79" s="41" t="e">
        <v>#DIV/0!</v>
      </c>
      <c r="AG79" s="41" t="e">
        <v>#DIV/0!</v>
      </c>
      <c r="AH79" s="36">
        <v>45352</v>
      </c>
      <c r="AI79" s="36">
        <v>45504</v>
      </c>
      <c r="AJ79" s="36">
        <v>45717</v>
      </c>
      <c r="AK79" s="36"/>
      <c r="AL79" s="36"/>
      <c r="AM79" s="46"/>
      <c r="AN79" s="40"/>
      <c r="AO79" s="40"/>
      <c r="AP79" s="40"/>
      <c r="AQ79" s="40"/>
      <c r="AR79" s="48"/>
      <c r="AS79" s="37"/>
      <c r="AT79" s="37"/>
      <c r="AU79" s="47"/>
      <c r="AV79" s="37"/>
      <c r="AW79" s="37">
        <v>10</v>
      </c>
      <c r="AX79" s="30">
        <v>267631728</v>
      </c>
      <c r="AY79" s="40" t="s">
        <v>431</v>
      </c>
    </row>
    <row r="80" spans="1:51" ht="75" x14ac:dyDescent="0.25">
      <c r="A80" s="44" t="s">
        <v>963</v>
      </c>
      <c r="B80" s="46">
        <v>45268</v>
      </c>
      <c r="C80" s="40">
        <v>1416</v>
      </c>
      <c r="D80" s="35"/>
      <c r="E80" s="39" t="s">
        <v>964</v>
      </c>
      <c r="F80" s="36"/>
      <c r="G80" s="37"/>
      <c r="H80" s="40"/>
      <c r="I80" s="40" t="s">
        <v>965</v>
      </c>
      <c r="J80" s="54">
        <v>13163854000</v>
      </c>
      <c r="K80" s="54">
        <v>13163854000</v>
      </c>
      <c r="L80" s="54"/>
      <c r="M80" s="54"/>
      <c r="N80" s="42">
        <v>100</v>
      </c>
      <c r="O80" s="43">
        <v>13163854000</v>
      </c>
      <c r="P80" s="41"/>
      <c r="Q80" s="43">
        <v>13163854000</v>
      </c>
      <c r="R80" s="41">
        <v>0</v>
      </c>
      <c r="S80" s="30">
        <v>0</v>
      </c>
      <c r="T80" s="30">
        <v>0</v>
      </c>
      <c r="U80" s="30" t="e">
        <v>#DIV/0!</v>
      </c>
      <c r="V80" s="41" t="e">
        <v>#DIV/0!</v>
      </c>
      <c r="W80" s="41" t="e">
        <v>#DIV/0!</v>
      </c>
      <c r="X80" s="41">
        <v>0</v>
      </c>
      <c r="Y80" s="41">
        <v>0</v>
      </c>
      <c r="Z80" s="41">
        <v>0</v>
      </c>
      <c r="AA80" s="41">
        <v>0</v>
      </c>
      <c r="AB80" s="41"/>
      <c r="AC80" s="41" t="e">
        <v>#DIV/0!</v>
      </c>
      <c r="AD80" s="41"/>
      <c r="AE80" s="41" t="e">
        <v>#DIV/0!</v>
      </c>
      <c r="AF80" s="41" t="e">
        <v>#DIV/0!</v>
      </c>
      <c r="AG80" s="41" t="e">
        <v>#DIV/0!</v>
      </c>
      <c r="AH80" s="36">
        <v>45352</v>
      </c>
      <c r="AI80" s="36">
        <v>45717</v>
      </c>
      <c r="AJ80" s="36"/>
      <c r="AK80" s="36"/>
      <c r="AL80" s="36"/>
      <c r="AM80" s="46"/>
      <c r="AN80" s="40"/>
      <c r="AO80" s="40"/>
      <c r="AP80" s="40"/>
      <c r="AQ80" s="40"/>
      <c r="AR80" s="48"/>
      <c r="AS80" s="37"/>
      <c r="AT80" s="37"/>
      <c r="AU80" s="47"/>
      <c r="AV80" s="37"/>
      <c r="AW80" s="37">
        <v>10</v>
      </c>
      <c r="AX80" s="30">
        <v>1316385400</v>
      </c>
      <c r="AY80" s="40" t="s">
        <v>431</v>
      </c>
    </row>
    <row r="81" spans="1:51" ht="93" customHeight="1" x14ac:dyDescent="0.25">
      <c r="A81" s="44" t="s">
        <v>966</v>
      </c>
      <c r="B81" s="46">
        <v>45271</v>
      </c>
      <c r="C81" s="40">
        <v>1416</v>
      </c>
      <c r="D81" s="35" t="s">
        <v>967</v>
      </c>
      <c r="E81" s="39" t="s">
        <v>968</v>
      </c>
      <c r="F81" s="36">
        <v>45307</v>
      </c>
      <c r="G81" s="37" t="s">
        <v>969</v>
      </c>
      <c r="H81" s="40" t="s">
        <v>139</v>
      </c>
      <c r="I81" s="40" t="s">
        <v>970</v>
      </c>
      <c r="J81" s="54">
        <v>522671220</v>
      </c>
      <c r="K81" s="54">
        <v>522671220</v>
      </c>
      <c r="L81" s="54">
        <v>0</v>
      </c>
      <c r="M81" s="54">
        <v>0</v>
      </c>
      <c r="N81" s="42">
        <v>0</v>
      </c>
      <c r="O81" s="43">
        <v>0</v>
      </c>
      <c r="P81" s="54">
        <v>522671220</v>
      </c>
      <c r="Q81" s="43">
        <v>0</v>
      </c>
      <c r="R81" s="54">
        <v>522671220</v>
      </c>
      <c r="S81" s="30">
        <v>522671220</v>
      </c>
      <c r="T81" s="30">
        <v>522671220</v>
      </c>
      <c r="U81" s="30">
        <v>12.38</v>
      </c>
      <c r="V81" s="41">
        <v>12.38</v>
      </c>
      <c r="W81" s="41">
        <v>12380</v>
      </c>
      <c r="X81" s="41">
        <v>42219000</v>
      </c>
      <c r="Y81" s="41">
        <v>42219000</v>
      </c>
      <c r="Z81" s="41">
        <v>0</v>
      </c>
      <c r="AA81" s="41">
        <v>0</v>
      </c>
      <c r="AB81" s="41">
        <v>1393000</v>
      </c>
      <c r="AC81" s="41">
        <v>17245340</v>
      </c>
      <c r="AD81" s="41">
        <v>40826000</v>
      </c>
      <c r="AE81" s="41">
        <v>505425880.00000006</v>
      </c>
      <c r="AF81" s="41">
        <v>42219</v>
      </c>
      <c r="AG81" s="41">
        <v>42219</v>
      </c>
      <c r="AH81" s="36">
        <v>45381</v>
      </c>
      <c r="AI81" s="36"/>
      <c r="AJ81" s="36"/>
      <c r="AK81" s="36">
        <v>45413</v>
      </c>
      <c r="AL81" s="36"/>
      <c r="AM81" s="46"/>
      <c r="AN81" s="40" t="s">
        <v>971</v>
      </c>
      <c r="AO81" s="40" t="s">
        <v>972</v>
      </c>
      <c r="AP81" s="40" t="s">
        <v>973</v>
      </c>
      <c r="AQ81" s="40" t="s">
        <v>80</v>
      </c>
      <c r="AR81" s="48">
        <v>100</v>
      </c>
      <c r="AS81" s="37">
        <v>0</v>
      </c>
      <c r="AT81" s="37" t="s">
        <v>93</v>
      </c>
      <c r="AU81" s="47">
        <v>1000</v>
      </c>
      <c r="AV81" s="37" t="s">
        <v>60</v>
      </c>
      <c r="AW81" s="37">
        <v>10</v>
      </c>
      <c r="AX81" s="30">
        <v>52267122</v>
      </c>
      <c r="AY81" s="40" t="s">
        <v>402</v>
      </c>
    </row>
    <row r="82" spans="1:51" ht="102.75" customHeight="1" x14ac:dyDescent="0.25">
      <c r="A82" s="44" t="s">
        <v>974</v>
      </c>
      <c r="B82" s="46">
        <v>45271</v>
      </c>
      <c r="C82" s="40">
        <v>1416</v>
      </c>
      <c r="D82" s="35" t="s">
        <v>975</v>
      </c>
      <c r="E82" s="39" t="s">
        <v>976</v>
      </c>
      <c r="F82" s="36">
        <v>45300</v>
      </c>
      <c r="G82" s="37" t="s">
        <v>977</v>
      </c>
      <c r="H82" s="40" t="s">
        <v>224</v>
      </c>
      <c r="I82" s="40" t="s">
        <v>978</v>
      </c>
      <c r="J82" s="54">
        <v>220214728.80000001</v>
      </c>
      <c r="K82" s="54">
        <v>220214728.80000001</v>
      </c>
      <c r="L82" s="54">
        <v>0</v>
      </c>
      <c r="M82" s="54">
        <v>0</v>
      </c>
      <c r="N82" s="42">
        <v>0.50007063832690279</v>
      </c>
      <c r="O82" s="43">
        <v>1101229.2000000179</v>
      </c>
      <c r="P82" s="41">
        <v>219113499.59999999</v>
      </c>
      <c r="Q82" s="43">
        <v>1101229.2000000179</v>
      </c>
      <c r="R82" s="41">
        <v>219113499.59999999</v>
      </c>
      <c r="S82" s="30">
        <v>219113499.59999999</v>
      </c>
      <c r="T82" s="30">
        <v>219113499.59999999</v>
      </c>
      <c r="U82" s="30">
        <v>4084.89</v>
      </c>
      <c r="V82" s="41">
        <v>4084.89</v>
      </c>
      <c r="W82" s="41">
        <v>4084.89</v>
      </c>
      <c r="X82" s="41">
        <v>53640</v>
      </c>
      <c r="Y82" s="41">
        <v>53640</v>
      </c>
      <c r="Z82" s="41">
        <v>0</v>
      </c>
      <c r="AA82" s="41">
        <v>0</v>
      </c>
      <c r="AB82" s="41">
        <v>0</v>
      </c>
      <c r="AC82" s="41">
        <v>0</v>
      </c>
      <c r="AD82" s="41">
        <v>53640</v>
      </c>
      <c r="AE82" s="41">
        <v>219113499.59999999</v>
      </c>
      <c r="AF82" s="41">
        <v>53640</v>
      </c>
      <c r="AG82" s="41">
        <v>53640</v>
      </c>
      <c r="AH82" s="36">
        <v>45352</v>
      </c>
      <c r="AI82" s="36"/>
      <c r="AJ82" s="36"/>
      <c r="AK82" s="36">
        <v>45383</v>
      </c>
      <c r="AL82" s="36"/>
      <c r="AM82" s="46"/>
      <c r="AN82" s="40" t="s">
        <v>979</v>
      </c>
      <c r="AO82" s="40" t="s">
        <v>980</v>
      </c>
      <c r="AP82" s="40" t="s">
        <v>981</v>
      </c>
      <c r="AQ82" s="40" t="s">
        <v>80</v>
      </c>
      <c r="AR82" s="48">
        <v>100</v>
      </c>
      <c r="AS82" s="37">
        <v>0</v>
      </c>
      <c r="AT82" s="37" t="s">
        <v>386</v>
      </c>
      <c r="AU82" s="47">
        <v>1</v>
      </c>
      <c r="AV82" s="37" t="s">
        <v>60</v>
      </c>
      <c r="AW82" s="37">
        <v>10</v>
      </c>
      <c r="AX82" s="30">
        <v>22021472.879999999</v>
      </c>
      <c r="AY82" s="40" t="s">
        <v>402</v>
      </c>
    </row>
    <row r="83" spans="1:51" ht="116.25" customHeight="1" x14ac:dyDescent="0.25">
      <c r="A83" s="44" t="s">
        <v>982</v>
      </c>
      <c r="B83" s="46">
        <v>45273</v>
      </c>
      <c r="C83" s="40">
        <v>1416</v>
      </c>
      <c r="D83" s="35" t="s">
        <v>983</v>
      </c>
      <c r="E83" s="39" t="s">
        <v>984</v>
      </c>
      <c r="F83" s="36">
        <v>45303</v>
      </c>
      <c r="G83" s="37" t="s">
        <v>985</v>
      </c>
      <c r="H83" s="40" t="s">
        <v>139</v>
      </c>
      <c r="I83" s="40" t="s">
        <v>986</v>
      </c>
      <c r="J83" s="54">
        <v>158125500</v>
      </c>
      <c r="K83" s="54">
        <v>158125500</v>
      </c>
      <c r="L83" s="54">
        <v>0</v>
      </c>
      <c r="M83" s="54">
        <v>0</v>
      </c>
      <c r="N83" s="42">
        <v>0</v>
      </c>
      <c r="O83" s="43">
        <v>0</v>
      </c>
      <c r="P83" s="41">
        <v>158125500</v>
      </c>
      <c r="Q83" s="43">
        <v>0</v>
      </c>
      <c r="R83" s="41">
        <v>158125500</v>
      </c>
      <c r="S83" s="30">
        <v>158125500</v>
      </c>
      <c r="T83" s="30">
        <v>158125500</v>
      </c>
      <c r="U83" s="30">
        <v>11.05</v>
      </c>
      <c r="V83" s="41">
        <v>11.05</v>
      </c>
      <c r="W83" s="41">
        <v>22100</v>
      </c>
      <c r="X83" s="41">
        <v>14310000</v>
      </c>
      <c r="Y83" s="41">
        <v>14310000</v>
      </c>
      <c r="Z83" s="41">
        <v>0</v>
      </c>
      <c r="AA83" s="41">
        <v>0</v>
      </c>
      <c r="AB83" s="41">
        <v>216000</v>
      </c>
      <c r="AC83" s="41">
        <v>2386800</v>
      </c>
      <c r="AD83" s="41">
        <v>14094000</v>
      </c>
      <c r="AE83" s="41">
        <v>155738700</v>
      </c>
      <c r="AF83" s="41">
        <v>7155</v>
      </c>
      <c r="AG83" s="41">
        <v>7155</v>
      </c>
      <c r="AH83" s="36">
        <v>45381</v>
      </c>
      <c r="AI83" s="36"/>
      <c r="AJ83" s="36"/>
      <c r="AK83" s="36">
        <v>45413</v>
      </c>
      <c r="AL83" s="36"/>
      <c r="AM83" s="46"/>
      <c r="AN83" s="40" t="s">
        <v>987</v>
      </c>
      <c r="AO83" s="40" t="s">
        <v>988</v>
      </c>
      <c r="AP83" s="40" t="s">
        <v>989</v>
      </c>
      <c r="AQ83" s="40" t="s">
        <v>80</v>
      </c>
      <c r="AR83" s="48">
        <v>100</v>
      </c>
      <c r="AS83" s="37">
        <v>0</v>
      </c>
      <c r="AT83" s="37" t="s">
        <v>93</v>
      </c>
      <c r="AU83" s="47">
        <v>2000</v>
      </c>
      <c r="AV83" s="37" t="s">
        <v>60</v>
      </c>
      <c r="AW83" s="37">
        <v>10</v>
      </c>
      <c r="AX83" s="30">
        <v>15812550</v>
      </c>
      <c r="AY83" s="40" t="s">
        <v>402</v>
      </c>
    </row>
    <row r="84" spans="1:51" ht="75" x14ac:dyDescent="0.25">
      <c r="A84" s="44" t="s">
        <v>990</v>
      </c>
      <c r="B84" s="46">
        <v>45273</v>
      </c>
      <c r="C84" s="40">
        <v>1416</v>
      </c>
      <c r="D84" s="35" t="s">
        <v>991</v>
      </c>
      <c r="E84" s="39" t="s">
        <v>992</v>
      </c>
      <c r="F84" s="36">
        <v>45300</v>
      </c>
      <c r="G84" s="37" t="s">
        <v>993</v>
      </c>
      <c r="H84" s="40" t="s">
        <v>356</v>
      </c>
      <c r="I84" s="40" t="s">
        <v>994</v>
      </c>
      <c r="J84" s="54">
        <v>206377759.94</v>
      </c>
      <c r="K84" s="54">
        <v>206377759.94</v>
      </c>
      <c r="L84" s="54">
        <v>0</v>
      </c>
      <c r="M84" s="54">
        <v>0</v>
      </c>
      <c r="N84" s="42">
        <v>0</v>
      </c>
      <c r="O84" s="43">
        <v>0</v>
      </c>
      <c r="P84" s="41">
        <v>206377759.94</v>
      </c>
      <c r="Q84" s="43">
        <v>0</v>
      </c>
      <c r="R84" s="41">
        <v>206377759.94</v>
      </c>
      <c r="S84" s="30">
        <v>206377759.94</v>
      </c>
      <c r="T84" s="30">
        <v>206377759.94</v>
      </c>
      <c r="U84" s="30">
        <v>52768.54</v>
      </c>
      <c r="V84" s="41">
        <v>52768.54</v>
      </c>
      <c r="W84" s="41">
        <v>52768.54</v>
      </c>
      <c r="X84" s="41">
        <v>3911</v>
      </c>
      <c r="Y84" s="41">
        <v>1326</v>
      </c>
      <c r="Z84" s="41">
        <v>2585</v>
      </c>
      <c r="AA84" s="41">
        <v>0</v>
      </c>
      <c r="AB84" s="41">
        <v>3464</v>
      </c>
      <c r="AC84" s="41">
        <v>182790222.56</v>
      </c>
      <c r="AD84" s="41">
        <v>447</v>
      </c>
      <c r="AE84" s="41">
        <v>23587537.379999999</v>
      </c>
      <c r="AF84" s="41">
        <v>3911</v>
      </c>
      <c r="AG84" s="41">
        <v>3911</v>
      </c>
      <c r="AH84" s="36">
        <v>45366</v>
      </c>
      <c r="AI84" s="36">
        <v>45413</v>
      </c>
      <c r="AJ84" s="36"/>
      <c r="AK84" s="36">
        <v>45397</v>
      </c>
      <c r="AL84" s="36">
        <v>45458</v>
      </c>
      <c r="AM84" s="46"/>
      <c r="AN84" s="40" t="s">
        <v>732</v>
      </c>
      <c r="AO84" s="40" t="s">
        <v>995</v>
      </c>
      <c r="AP84" s="40" t="s">
        <v>734</v>
      </c>
      <c r="AQ84" s="40" t="s">
        <v>264</v>
      </c>
      <c r="AR84" s="48">
        <v>0</v>
      </c>
      <c r="AS84" s="37">
        <v>100</v>
      </c>
      <c r="AT84" s="37" t="s">
        <v>81</v>
      </c>
      <c r="AU84" s="47">
        <v>1</v>
      </c>
      <c r="AV84" s="37" t="s">
        <v>60</v>
      </c>
      <c r="AW84" s="37">
        <v>10</v>
      </c>
      <c r="AX84" s="30">
        <v>20637775.994000003</v>
      </c>
      <c r="AY84" s="40" t="s">
        <v>325</v>
      </c>
    </row>
    <row r="85" spans="1:51" ht="117.75" customHeight="1" x14ac:dyDescent="0.25">
      <c r="A85" s="44" t="s">
        <v>1012</v>
      </c>
      <c r="B85" s="46">
        <v>45273</v>
      </c>
      <c r="C85" s="40">
        <v>1416</v>
      </c>
      <c r="D85" s="35" t="s">
        <v>1013</v>
      </c>
      <c r="E85" s="39" t="s">
        <v>1014</v>
      </c>
      <c r="F85" s="36">
        <v>45310</v>
      </c>
      <c r="G85" s="37" t="s">
        <v>1015</v>
      </c>
      <c r="H85" s="40" t="s">
        <v>1016</v>
      </c>
      <c r="I85" s="40" t="s">
        <v>1017</v>
      </c>
      <c r="J85" s="54">
        <v>1174571925</v>
      </c>
      <c r="K85" s="54">
        <v>1174571925</v>
      </c>
      <c r="L85" s="54">
        <v>0</v>
      </c>
      <c r="M85" s="54">
        <v>0</v>
      </c>
      <c r="N85" s="42">
        <v>0</v>
      </c>
      <c r="O85" s="43">
        <v>0</v>
      </c>
      <c r="P85" s="41">
        <v>1174571925</v>
      </c>
      <c r="Q85" s="43">
        <v>0</v>
      </c>
      <c r="R85" s="41">
        <v>1174571925</v>
      </c>
      <c r="S85" s="30">
        <v>1174571925</v>
      </c>
      <c r="T85" s="30">
        <v>1174571925</v>
      </c>
      <c r="U85" s="30">
        <v>18607.080000000002</v>
      </c>
      <c r="V85" s="41">
        <v>18607.080000000002</v>
      </c>
      <c r="W85" s="41">
        <v>93035.400000000009</v>
      </c>
      <c r="X85" s="41">
        <v>63125</v>
      </c>
      <c r="Y85" s="41">
        <v>20000</v>
      </c>
      <c r="Z85" s="41">
        <v>43125</v>
      </c>
      <c r="AA85" s="41">
        <v>0</v>
      </c>
      <c r="AB85" s="41">
        <v>35700</v>
      </c>
      <c r="AC85" s="41">
        <v>664272756.00000012</v>
      </c>
      <c r="AD85" s="41">
        <v>27425</v>
      </c>
      <c r="AE85" s="41">
        <v>510299169.00000006</v>
      </c>
      <c r="AF85" s="41">
        <v>12625</v>
      </c>
      <c r="AG85" s="41">
        <v>12625</v>
      </c>
      <c r="AH85" s="36">
        <v>45443</v>
      </c>
      <c r="AI85" s="36">
        <v>45596</v>
      </c>
      <c r="AJ85" s="36"/>
      <c r="AK85" s="36">
        <v>45474</v>
      </c>
      <c r="AL85" s="36">
        <v>45627</v>
      </c>
      <c r="AM85" s="46"/>
      <c r="AN85" s="40" t="s">
        <v>1018</v>
      </c>
      <c r="AO85" s="40" t="s">
        <v>1019</v>
      </c>
      <c r="AP85" s="40" t="s">
        <v>1020</v>
      </c>
      <c r="AQ85" s="40" t="s">
        <v>92</v>
      </c>
      <c r="AR85" s="48">
        <v>0</v>
      </c>
      <c r="AS85" s="37">
        <v>100</v>
      </c>
      <c r="AT85" s="37" t="s">
        <v>81</v>
      </c>
      <c r="AU85" s="47">
        <v>5</v>
      </c>
      <c r="AV85" s="37" t="s">
        <v>60</v>
      </c>
      <c r="AW85" s="37">
        <v>10</v>
      </c>
      <c r="AX85" s="30">
        <v>117457192.5</v>
      </c>
      <c r="AY85" s="40" t="s">
        <v>402</v>
      </c>
    </row>
    <row r="86" spans="1:51" ht="66" customHeight="1" x14ac:dyDescent="0.25">
      <c r="A86" s="44" t="s">
        <v>1025</v>
      </c>
      <c r="B86" s="46">
        <v>45274</v>
      </c>
      <c r="C86" s="40">
        <v>1416</v>
      </c>
      <c r="D86" s="35" t="s">
        <v>431</v>
      </c>
      <c r="E86" s="39" t="s">
        <v>1026</v>
      </c>
      <c r="F86" s="36" t="s">
        <v>431</v>
      </c>
      <c r="G86" s="37" t="s">
        <v>431</v>
      </c>
      <c r="H86" s="40" t="s">
        <v>431</v>
      </c>
      <c r="I86" s="40" t="s">
        <v>1027</v>
      </c>
      <c r="J86" s="54">
        <v>1379400</v>
      </c>
      <c r="K86" s="54">
        <v>1379400</v>
      </c>
      <c r="L86" s="54"/>
      <c r="M86" s="54"/>
      <c r="N86" s="42">
        <v>100</v>
      </c>
      <c r="O86" s="43">
        <v>1379400</v>
      </c>
      <c r="P86" s="41"/>
      <c r="Q86" s="43">
        <v>1379400</v>
      </c>
      <c r="R86" s="41">
        <v>0</v>
      </c>
      <c r="S86" s="30">
        <v>0</v>
      </c>
      <c r="T86" s="30">
        <v>0</v>
      </c>
      <c r="U86" s="30" t="e">
        <v>#DIV/0!</v>
      </c>
      <c r="V86" s="41" t="e">
        <v>#DIV/0!</v>
      </c>
      <c r="W86" s="41" t="e">
        <v>#DIV/0!</v>
      </c>
      <c r="X86" s="41">
        <v>0</v>
      </c>
      <c r="Y86" s="41">
        <v>0</v>
      </c>
      <c r="Z86" s="41">
        <v>0</v>
      </c>
      <c r="AA86" s="41">
        <v>0</v>
      </c>
      <c r="AB86" s="41"/>
      <c r="AC86" s="41" t="e">
        <v>#DIV/0!</v>
      </c>
      <c r="AD86" s="41"/>
      <c r="AE86" s="41" t="e">
        <v>#DIV/0!</v>
      </c>
      <c r="AF86" s="41" t="e">
        <v>#DIV/0!</v>
      </c>
      <c r="AG86" s="41" t="e">
        <v>#DIV/0!</v>
      </c>
      <c r="AH86" s="36">
        <v>45352</v>
      </c>
      <c r="AI86" s="36"/>
      <c r="AJ86" s="36"/>
      <c r="AK86" s="36"/>
      <c r="AL86" s="36"/>
      <c r="AM86" s="46"/>
      <c r="AN86" s="40"/>
      <c r="AO86" s="40"/>
      <c r="AP86" s="40"/>
      <c r="AQ86" s="40"/>
      <c r="AR86" s="48"/>
      <c r="AS86" s="37"/>
      <c r="AT86" s="37"/>
      <c r="AU86" s="47"/>
      <c r="AV86" s="37"/>
      <c r="AW86" s="37">
        <v>10</v>
      </c>
      <c r="AX86" s="30">
        <v>137940</v>
      </c>
      <c r="AY86" s="40" t="s">
        <v>431</v>
      </c>
    </row>
    <row r="87" spans="1:51" s="58" customFormat="1" ht="66" customHeight="1" x14ac:dyDescent="0.25">
      <c r="A87" s="44" t="s">
        <v>1039</v>
      </c>
      <c r="B87" s="46">
        <v>45275</v>
      </c>
      <c r="C87" s="40">
        <v>1416</v>
      </c>
      <c r="D87" s="35" t="s">
        <v>1040</v>
      </c>
      <c r="E87" s="39" t="s">
        <v>1041</v>
      </c>
      <c r="F87" s="36">
        <v>45313</v>
      </c>
      <c r="G87" s="37" t="s">
        <v>1042</v>
      </c>
      <c r="H87" s="40" t="s">
        <v>86</v>
      </c>
      <c r="I87" s="40" t="s">
        <v>702</v>
      </c>
      <c r="J87" s="54">
        <v>421756960</v>
      </c>
      <c r="K87" s="54">
        <v>210878480</v>
      </c>
      <c r="L87" s="54">
        <v>210878480</v>
      </c>
      <c r="M87" s="54">
        <v>0</v>
      </c>
      <c r="N87" s="42">
        <v>0</v>
      </c>
      <c r="O87" s="43">
        <v>0</v>
      </c>
      <c r="P87" s="41">
        <v>421756960</v>
      </c>
      <c r="Q87" s="43">
        <v>210878480</v>
      </c>
      <c r="R87" s="41">
        <v>210878480</v>
      </c>
      <c r="S87" s="30">
        <v>210878480</v>
      </c>
      <c r="T87" s="30">
        <v>421756960</v>
      </c>
      <c r="U87" s="30">
        <v>10.72</v>
      </c>
      <c r="V87" s="41">
        <v>10.72</v>
      </c>
      <c r="W87" s="41" t="e">
        <v>#VALUE!</v>
      </c>
      <c r="X87" s="41">
        <v>39343000</v>
      </c>
      <c r="Y87" s="41">
        <v>9838000</v>
      </c>
      <c r="Z87" s="41">
        <v>9833500</v>
      </c>
      <c r="AA87" s="41">
        <v>0</v>
      </c>
      <c r="AB87" s="41">
        <v>12913000</v>
      </c>
      <c r="AC87" s="41">
        <v>138427360</v>
      </c>
      <c r="AD87" s="41">
        <v>6758500</v>
      </c>
      <c r="AE87" s="41">
        <v>72451120</v>
      </c>
      <c r="AF87" s="41" t="s">
        <v>1043</v>
      </c>
      <c r="AG87" s="54" t="s">
        <v>1044</v>
      </c>
      <c r="AH87" s="36">
        <v>45352</v>
      </c>
      <c r="AI87" s="36">
        <v>45504</v>
      </c>
      <c r="AJ87" s="36">
        <v>45717</v>
      </c>
      <c r="AK87" s="36">
        <v>45383</v>
      </c>
      <c r="AL87" s="36">
        <v>45536</v>
      </c>
      <c r="AM87" s="46">
        <v>45748</v>
      </c>
      <c r="AN87" s="40" t="s">
        <v>1045</v>
      </c>
      <c r="AO87" s="40" t="s">
        <v>1046</v>
      </c>
      <c r="AP87" s="40" t="s">
        <v>1047</v>
      </c>
      <c r="AQ87" s="40" t="s">
        <v>1048</v>
      </c>
      <c r="AR87" s="48">
        <v>0</v>
      </c>
      <c r="AS87" s="37">
        <v>100</v>
      </c>
      <c r="AT87" s="37" t="s">
        <v>93</v>
      </c>
      <c r="AU87" s="51" t="s">
        <v>1049</v>
      </c>
      <c r="AV87" s="37" t="s">
        <v>60</v>
      </c>
      <c r="AW87" s="37">
        <v>10</v>
      </c>
      <c r="AX87" s="30">
        <v>42175696</v>
      </c>
      <c r="AY87" s="40" t="s">
        <v>402</v>
      </c>
    </row>
    <row r="88" spans="1:51" ht="66" customHeight="1" x14ac:dyDescent="0.25">
      <c r="A88" s="44" t="s">
        <v>1050</v>
      </c>
      <c r="B88" s="46">
        <v>45275</v>
      </c>
      <c r="C88" s="40">
        <v>1416</v>
      </c>
      <c r="D88" s="35" t="s">
        <v>1051</v>
      </c>
      <c r="E88" s="39" t="s">
        <v>1052</v>
      </c>
      <c r="F88" s="36">
        <v>45314</v>
      </c>
      <c r="G88" s="37" t="s">
        <v>1053</v>
      </c>
      <c r="H88" s="40" t="s">
        <v>356</v>
      </c>
      <c r="I88" s="40" t="s">
        <v>1054</v>
      </c>
      <c r="J88" s="54">
        <v>1696403023.9200001</v>
      </c>
      <c r="K88" s="54">
        <v>1696403023.9200001</v>
      </c>
      <c r="L88" s="54">
        <v>0</v>
      </c>
      <c r="M88" s="54">
        <v>0</v>
      </c>
      <c r="N88" s="42">
        <v>0</v>
      </c>
      <c r="O88" s="43">
        <v>0</v>
      </c>
      <c r="P88" s="41">
        <v>1696403023.9200001</v>
      </c>
      <c r="Q88" s="43">
        <v>0</v>
      </c>
      <c r="R88" s="41">
        <v>1696403023.9200001</v>
      </c>
      <c r="S88" s="30">
        <v>1696403023.9200001</v>
      </c>
      <c r="T88" s="30">
        <v>1696403023.9200001</v>
      </c>
      <c r="U88" s="30">
        <v>263842.7</v>
      </c>
      <c r="V88" s="41">
        <v>263842.7</v>
      </c>
      <c r="W88" s="41">
        <v>105537.08000000002</v>
      </c>
      <c r="X88" s="41">
        <v>6429.6</v>
      </c>
      <c r="Y88" s="41">
        <v>1328.3999999999999</v>
      </c>
      <c r="Z88" s="41">
        <v>5101.2000000000007</v>
      </c>
      <c r="AA88" s="41">
        <v>0</v>
      </c>
      <c r="AB88" s="41">
        <v>5527.2000000000007</v>
      </c>
      <c r="AC88" s="41">
        <v>1458311371.4400003</v>
      </c>
      <c r="AD88" s="41">
        <v>902.40000000000009</v>
      </c>
      <c r="AE88" s="41">
        <v>238091652.48000005</v>
      </c>
      <c r="AF88" s="41">
        <v>16074</v>
      </c>
      <c r="AG88" s="41">
        <v>16074</v>
      </c>
      <c r="AH88" s="36">
        <v>45366</v>
      </c>
      <c r="AI88" s="36">
        <v>45412</v>
      </c>
      <c r="AJ88" s="36"/>
      <c r="AK88" s="36">
        <v>45397</v>
      </c>
      <c r="AL88" s="36">
        <v>45444</v>
      </c>
      <c r="AM88" s="46"/>
      <c r="AN88" s="40" t="s">
        <v>732</v>
      </c>
      <c r="AO88" s="40" t="s">
        <v>1055</v>
      </c>
      <c r="AP88" s="40" t="s">
        <v>734</v>
      </c>
      <c r="AQ88" s="40" t="s">
        <v>264</v>
      </c>
      <c r="AR88" s="48">
        <v>0</v>
      </c>
      <c r="AS88" s="37">
        <v>100</v>
      </c>
      <c r="AT88" s="37" t="s">
        <v>81</v>
      </c>
      <c r="AU88" s="52">
        <v>0.4</v>
      </c>
      <c r="AV88" s="37" t="s">
        <v>60</v>
      </c>
      <c r="AW88" s="37">
        <v>10</v>
      </c>
      <c r="AX88" s="30">
        <v>169640302.39200002</v>
      </c>
      <c r="AY88" s="40" t="s">
        <v>402</v>
      </c>
    </row>
    <row r="89" spans="1:51" ht="66" customHeight="1" x14ac:dyDescent="0.25">
      <c r="A89" s="44" t="s">
        <v>1056</v>
      </c>
      <c r="B89" s="46">
        <v>45275</v>
      </c>
      <c r="C89" s="40">
        <v>1416</v>
      </c>
      <c r="D89" s="35" t="s">
        <v>431</v>
      </c>
      <c r="E89" s="39" t="s">
        <v>1057</v>
      </c>
      <c r="F89" s="36" t="s">
        <v>431</v>
      </c>
      <c r="G89" s="37" t="s">
        <v>431</v>
      </c>
      <c r="H89" s="40" t="s">
        <v>431</v>
      </c>
      <c r="I89" s="40" t="s">
        <v>1058</v>
      </c>
      <c r="J89" s="54">
        <v>63181752.479999997</v>
      </c>
      <c r="K89" s="54">
        <v>63181752.479999997</v>
      </c>
      <c r="L89" s="54"/>
      <c r="M89" s="54"/>
      <c r="N89" s="42">
        <v>100</v>
      </c>
      <c r="O89" s="43">
        <v>63181752.479999997</v>
      </c>
      <c r="P89" s="41"/>
      <c r="Q89" s="43">
        <v>63181752.479999997</v>
      </c>
      <c r="R89" s="41">
        <v>0</v>
      </c>
      <c r="S89" s="30">
        <v>0</v>
      </c>
      <c r="T89" s="30">
        <v>0</v>
      </c>
      <c r="U89" s="30" t="e">
        <v>#DIV/0!</v>
      </c>
      <c r="V89" s="41" t="e">
        <v>#DIV/0!</v>
      </c>
      <c r="W89" s="41" t="e">
        <v>#DIV/0!</v>
      </c>
      <c r="X89" s="41">
        <v>0</v>
      </c>
      <c r="Y89" s="41">
        <v>0</v>
      </c>
      <c r="Z89" s="41">
        <v>0</v>
      </c>
      <c r="AA89" s="41">
        <v>0</v>
      </c>
      <c r="AB89" s="41"/>
      <c r="AC89" s="41" t="e">
        <v>#DIV/0!</v>
      </c>
      <c r="AD89" s="41"/>
      <c r="AE89" s="41" t="e">
        <v>#DIV/0!</v>
      </c>
      <c r="AF89" s="41" t="e">
        <v>#DIV/0!</v>
      </c>
      <c r="AG89" s="41" t="e">
        <v>#DIV/0!</v>
      </c>
      <c r="AH89" s="36">
        <v>45352</v>
      </c>
      <c r="AI89" s="36"/>
      <c r="AJ89" s="36"/>
      <c r="AK89" s="36"/>
      <c r="AL89" s="36"/>
      <c r="AM89" s="46"/>
      <c r="AN89" s="40"/>
      <c r="AO89" s="40"/>
      <c r="AP89" s="40"/>
      <c r="AQ89" s="40"/>
      <c r="AR89" s="48"/>
      <c r="AS89" s="37"/>
      <c r="AT89" s="37"/>
      <c r="AU89" s="47"/>
      <c r="AV89" s="37"/>
      <c r="AW89" s="37">
        <v>10</v>
      </c>
      <c r="AX89" s="30">
        <v>6318175.2479999997</v>
      </c>
      <c r="AY89" s="40" t="s">
        <v>431</v>
      </c>
    </row>
    <row r="90" spans="1:51" ht="66" customHeight="1" x14ac:dyDescent="0.25">
      <c r="A90" s="44" t="s">
        <v>1059</v>
      </c>
      <c r="B90" s="46">
        <v>45275</v>
      </c>
      <c r="C90" s="40">
        <v>1416</v>
      </c>
      <c r="D90" s="35" t="s">
        <v>1060</v>
      </c>
      <c r="E90" s="39" t="s">
        <v>1061</v>
      </c>
      <c r="F90" s="36">
        <v>45313</v>
      </c>
      <c r="G90" s="37" t="s">
        <v>1062</v>
      </c>
      <c r="H90" s="40" t="s">
        <v>86</v>
      </c>
      <c r="I90" s="40" t="s">
        <v>1063</v>
      </c>
      <c r="J90" s="54">
        <v>360340176</v>
      </c>
      <c r="K90" s="54">
        <v>360340176</v>
      </c>
      <c r="L90" s="54">
        <v>0</v>
      </c>
      <c r="M90" s="54">
        <v>0</v>
      </c>
      <c r="N90" s="42">
        <v>0</v>
      </c>
      <c r="O90" s="43">
        <v>0</v>
      </c>
      <c r="P90" s="41">
        <v>360340176</v>
      </c>
      <c r="Q90" s="43">
        <v>0</v>
      </c>
      <c r="R90" s="41">
        <v>360340176</v>
      </c>
      <c r="S90" s="30">
        <v>360340176</v>
      </c>
      <c r="T90" s="30">
        <v>360340176</v>
      </c>
      <c r="U90" s="30">
        <v>175.81</v>
      </c>
      <c r="V90" s="41">
        <v>175.81</v>
      </c>
      <c r="W90" s="41">
        <v>70324</v>
      </c>
      <c r="X90" s="41">
        <v>2049600</v>
      </c>
      <c r="Y90" s="41">
        <v>2049600</v>
      </c>
      <c r="Z90" s="41">
        <v>0</v>
      </c>
      <c r="AA90" s="41">
        <v>0</v>
      </c>
      <c r="AB90" s="41">
        <v>1444800</v>
      </c>
      <c r="AC90" s="41">
        <v>254010288</v>
      </c>
      <c r="AD90" s="41">
        <v>604800</v>
      </c>
      <c r="AE90" s="41">
        <v>106329888</v>
      </c>
      <c r="AF90" s="41">
        <v>5124</v>
      </c>
      <c r="AG90" s="41">
        <v>5124</v>
      </c>
      <c r="AH90" s="36">
        <v>45352</v>
      </c>
      <c r="AI90" s="36"/>
      <c r="AJ90" s="36"/>
      <c r="AK90" s="36">
        <v>45383</v>
      </c>
      <c r="AL90" s="36"/>
      <c r="AM90" s="46"/>
      <c r="AN90" s="40" t="s">
        <v>1064</v>
      </c>
      <c r="AO90" s="40" t="s">
        <v>1065</v>
      </c>
      <c r="AP90" s="40" t="s">
        <v>1066</v>
      </c>
      <c r="AQ90" s="40" t="s">
        <v>92</v>
      </c>
      <c r="AR90" s="48">
        <v>0</v>
      </c>
      <c r="AS90" s="37">
        <v>100</v>
      </c>
      <c r="AT90" s="37" t="s">
        <v>1067</v>
      </c>
      <c r="AU90" s="47">
        <v>400</v>
      </c>
      <c r="AV90" s="37" t="s">
        <v>60</v>
      </c>
      <c r="AW90" s="37">
        <v>10</v>
      </c>
      <c r="AX90" s="30">
        <v>36034017.600000001</v>
      </c>
      <c r="AY90" s="40" t="s">
        <v>95</v>
      </c>
    </row>
    <row r="91" spans="1:51" ht="66" customHeight="1" x14ac:dyDescent="0.25">
      <c r="A91" s="44" t="s">
        <v>1068</v>
      </c>
      <c r="B91" s="46">
        <v>45278</v>
      </c>
      <c r="C91" s="40">
        <v>1416</v>
      </c>
      <c r="D91" s="35" t="s">
        <v>431</v>
      </c>
      <c r="E91" s="39" t="s">
        <v>1069</v>
      </c>
      <c r="F91" s="36" t="s">
        <v>431</v>
      </c>
      <c r="G91" s="37" t="s">
        <v>431</v>
      </c>
      <c r="H91" s="40" t="s">
        <v>431</v>
      </c>
      <c r="I91" s="40" t="s">
        <v>1070</v>
      </c>
      <c r="J91" s="54">
        <v>455563001.51999998</v>
      </c>
      <c r="K91" s="54">
        <v>455563001.51999998</v>
      </c>
      <c r="L91" s="54"/>
      <c r="M91" s="54"/>
      <c r="N91" s="42">
        <v>100</v>
      </c>
      <c r="O91" s="43">
        <v>455563001.51999998</v>
      </c>
      <c r="P91" s="41"/>
      <c r="Q91" s="43">
        <v>455563001.51999998</v>
      </c>
      <c r="R91" s="41">
        <v>0</v>
      </c>
      <c r="S91" s="30">
        <v>0</v>
      </c>
      <c r="T91" s="30">
        <v>0</v>
      </c>
      <c r="U91" s="30" t="e">
        <v>#DIV/0!</v>
      </c>
      <c r="V91" s="41" t="e">
        <v>#DIV/0!</v>
      </c>
      <c r="W91" s="41" t="e">
        <v>#DIV/0!</v>
      </c>
      <c r="X91" s="41">
        <v>0</v>
      </c>
      <c r="Y91" s="41">
        <v>0</v>
      </c>
      <c r="Z91" s="41">
        <v>0</v>
      </c>
      <c r="AA91" s="41">
        <v>0</v>
      </c>
      <c r="AB91" s="41"/>
      <c r="AC91" s="41" t="e">
        <v>#DIV/0!</v>
      </c>
      <c r="AD91" s="41"/>
      <c r="AE91" s="41" t="e">
        <v>#DIV/0!</v>
      </c>
      <c r="AF91" s="41" t="e">
        <v>#DIV/0!</v>
      </c>
      <c r="AG91" s="41" t="e">
        <v>#DIV/0!</v>
      </c>
      <c r="AH91" s="36">
        <v>45352</v>
      </c>
      <c r="AI91" s="36"/>
      <c r="AJ91" s="36"/>
      <c r="AK91" s="36"/>
      <c r="AL91" s="36"/>
      <c r="AM91" s="46"/>
      <c r="AN91" s="40"/>
      <c r="AO91" s="40"/>
      <c r="AP91" s="40"/>
      <c r="AQ91" s="40"/>
      <c r="AR91" s="48"/>
      <c r="AS91" s="37"/>
      <c r="AT91" s="37"/>
      <c r="AU91" s="47"/>
      <c r="AV91" s="37"/>
      <c r="AW91" s="37">
        <v>10</v>
      </c>
      <c r="AX91" s="30">
        <v>45556300.151999995</v>
      </c>
      <c r="AY91" s="40" t="s">
        <v>431</v>
      </c>
    </row>
    <row r="92" spans="1:51" ht="66" customHeight="1" x14ac:dyDescent="0.25">
      <c r="A92" s="44" t="s">
        <v>1079</v>
      </c>
      <c r="B92" s="46">
        <v>45280</v>
      </c>
      <c r="C92" s="40">
        <v>1416</v>
      </c>
      <c r="D92" s="35" t="s">
        <v>1080</v>
      </c>
      <c r="E92" s="39" t="s">
        <v>1081</v>
      </c>
      <c r="F92" s="36">
        <v>45314</v>
      </c>
      <c r="G92" s="37" t="s">
        <v>1082</v>
      </c>
      <c r="H92" s="40" t="s">
        <v>139</v>
      </c>
      <c r="I92" s="40" t="s">
        <v>1083</v>
      </c>
      <c r="J92" s="54">
        <v>466054680</v>
      </c>
      <c r="K92" s="54">
        <v>466054680</v>
      </c>
      <c r="L92" s="54">
        <v>0</v>
      </c>
      <c r="M92" s="54">
        <v>0</v>
      </c>
      <c r="N92" s="42">
        <v>0</v>
      </c>
      <c r="O92" s="43">
        <v>0</v>
      </c>
      <c r="P92" s="41">
        <v>466054680</v>
      </c>
      <c r="Q92" s="43">
        <v>0</v>
      </c>
      <c r="R92" s="41">
        <v>466054680</v>
      </c>
      <c r="S92" s="30">
        <v>466054680</v>
      </c>
      <c r="T92" s="30">
        <v>466054680</v>
      </c>
      <c r="U92" s="30">
        <v>164.15</v>
      </c>
      <c r="V92" s="41">
        <v>164.15</v>
      </c>
      <c r="W92" s="41">
        <v>65660</v>
      </c>
      <c r="X92" s="41">
        <v>2839200</v>
      </c>
      <c r="Y92" s="41">
        <v>2839200</v>
      </c>
      <c r="Z92" s="41">
        <v>0</v>
      </c>
      <c r="AA92" s="41">
        <v>0</v>
      </c>
      <c r="AB92" s="41">
        <v>1536400</v>
      </c>
      <c r="AC92" s="41">
        <v>252200060</v>
      </c>
      <c r="AD92" s="41">
        <v>1302800</v>
      </c>
      <c r="AE92" s="41">
        <v>213854620</v>
      </c>
      <c r="AF92" s="41">
        <v>7098</v>
      </c>
      <c r="AG92" s="41">
        <v>7098</v>
      </c>
      <c r="AH92" s="36">
        <v>45383</v>
      </c>
      <c r="AI92" s="36"/>
      <c r="AJ92" s="36"/>
      <c r="AK92" s="36">
        <v>45413</v>
      </c>
      <c r="AL92" s="36"/>
      <c r="AM92" s="46"/>
      <c r="AN92" s="40" t="s">
        <v>1084</v>
      </c>
      <c r="AO92" s="40" t="s">
        <v>1065</v>
      </c>
      <c r="AP92" s="40" t="s">
        <v>1085</v>
      </c>
      <c r="AQ92" s="40" t="s">
        <v>80</v>
      </c>
      <c r="AR92" s="48">
        <v>100</v>
      </c>
      <c r="AS92" s="37">
        <v>0</v>
      </c>
      <c r="AT92" s="37" t="s">
        <v>1067</v>
      </c>
      <c r="AU92" s="47">
        <v>400</v>
      </c>
      <c r="AV92" s="37" t="s">
        <v>60</v>
      </c>
      <c r="AW92" s="37">
        <v>10</v>
      </c>
      <c r="AX92" s="30">
        <v>46605468</v>
      </c>
      <c r="AY92" s="40" t="s">
        <v>402</v>
      </c>
    </row>
    <row r="93" spans="1:51" ht="66" customHeight="1" x14ac:dyDescent="0.25">
      <c r="A93" s="44" t="s">
        <v>1086</v>
      </c>
      <c r="B93" s="46">
        <v>45280</v>
      </c>
      <c r="C93" s="40">
        <v>1416</v>
      </c>
      <c r="D93" s="35" t="s">
        <v>1087</v>
      </c>
      <c r="E93" s="39" t="s">
        <v>1088</v>
      </c>
      <c r="F93" s="36">
        <v>45313</v>
      </c>
      <c r="G93" s="37" t="s">
        <v>1089</v>
      </c>
      <c r="H93" s="40" t="s">
        <v>502</v>
      </c>
      <c r="I93" s="40" t="s">
        <v>1090</v>
      </c>
      <c r="J93" s="54">
        <v>380020516</v>
      </c>
      <c r="K93" s="54">
        <v>380020516</v>
      </c>
      <c r="L93" s="54">
        <v>0</v>
      </c>
      <c r="M93" s="54">
        <v>0</v>
      </c>
      <c r="N93" s="42">
        <v>0</v>
      </c>
      <c r="O93" s="43">
        <v>0</v>
      </c>
      <c r="P93" s="41">
        <v>380020516</v>
      </c>
      <c r="Q93" s="43">
        <v>0</v>
      </c>
      <c r="R93" s="41">
        <v>380020516</v>
      </c>
      <c r="S93" s="30">
        <v>380020516</v>
      </c>
      <c r="T93" s="30">
        <v>380020516</v>
      </c>
      <c r="U93" s="30">
        <v>7950.22</v>
      </c>
      <c r="V93" s="41">
        <v>7950.22</v>
      </c>
      <c r="W93" s="41">
        <v>39751.1</v>
      </c>
      <c r="X93" s="41">
        <v>47800</v>
      </c>
      <c r="Y93" s="41">
        <v>47800</v>
      </c>
      <c r="Z93" s="41">
        <v>0</v>
      </c>
      <c r="AA93" s="41">
        <v>0</v>
      </c>
      <c r="AB93" s="41">
        <v>38160</v>
      </c>
      <c r="AC93" s="41">
        <v>303380395.19999999</v>
      </c>
      <c r="AD93" s="41">
        <v>9640</v>
      </c>
      <c r="AE93" s="41">
        <v>76640120.799999997</v>
      </c>
      <c r="AF93" s="41">
        <v>9560</v>
      </c>
      <c r="AG93" s="41">
        <v>9560</v>
      </c>
      <c r="AH93" s="36">
        <v>45352</v>
      </c>
      <c r="AI93" s="36"/>
      <c r="AJ93" s="36"/>
      <c r="AK93" s="36">
        <v>45383</v>
      </c>
      <c r="AL93" s="36"/>
      <c r="AM93" s="46"/>
      <c r="AN93" s="40" t="s">
        <v>1091</v>
      </c>
      <c r="AO93" s="40" t="s">
        <v>1092</v>
      </c>
      <c r="AP93" s="40" t="s">
        <v>1093</v>
      </c>
      <c r="AQ93" s="40" t="s">
        <v>92</v>
      </c>
      <c r="AR93" s="48">
        <v>0</v>
      </c>
      <c r="AS93" s="37">
        <v>100</v>
      </c>
      <c r="AT93" s="37" t="s">
        <v>81</v>
      </c>
      <c r="AU93" s="47">
        <v>5</v>
      </c>
      <c r="AV93" s="37" t="s">
        <v>219</v>
      </c>
      <c r="AW93" s="37">
        <v>10</v>
      </c>
      <c r="AX93" s="30">
        <v>38002051.600000001</v>
      </c>
      <c r="AY93" s="40" t="s">
        <v>402</v>
      </c>
    </row>
    <row r="94" spans="1:51" ht="66" customHeight="1" x14ac:dyDescent="0.25">
      <c r="A94" s="44" t="s">
        <v>1094</v>
      </c>
      <c r="B94" s="46">
        <v>45280</v>
      </c>
      <c r="C94" s="40">
        <v>1416</v>
      </c>
      <c r="D94" s="35" t="s">
        <v>1095</v>
      </c>
      <c r="E94" s="39" t="s">
        <v>1096</v>
      </c>
      <c r="F94" s="36">
        <v>45313</v>
      </c>
      <c r="G94" s="37" t="s">
        <v>1097</v>
      </c>
      <c r="H94" s="40" t="s">
        <v>1098</v>
      </c>
      <c r="I94" s="40" t="s">
        <v>1099</v>
      </c>
      <c r="J94" s="54">
        <v>379881680.63999999</v>
      </c>
      <c r="K94" s="54">
        <v>379881680.63999999</v>
      </c>
      <c r="L94" s="54">
        <v>0</v>
      </c>
      <c r="M94" s="54">
        <v>0</v>
      </c>
      <c r="N94" s="42">
        <v>0</v>
      </c>
      <c r="O94" s="43">
        <v>0</v>
      </c>
      <c r="P94" s="41">
        <v>379881680.63999999</v>
      </c>
      <c r="Q94" s="43">
        <v>0</v>
      </c>
      <c r="R94" s="41">
        <v>379881680.63999999</v>
      </c>
      <c r="S94" s="30">
        <v>379881680.63999999</v>
      </c>
      <c r="T94" s="30">
        <v>379881680.63999999</v>
      </c>
      <c r="U94" s="30">
        <v>13332.55</v>
      </c>
      <c r="V94" s="41">
        <v>13332.55</v>
      </c>
      <c r="W94" s="41">
        <v>63996.239999999991</v>
      </c>
      <c r="X94" s="41">
        <v>28492.799999999999</v>
      </c>
      <c r="Y94" s="41">
        <v>28492.799999999999</v>
      </c>
      <c r="Z94" s="41">
        <v>0</v>
      </c>
      <c r="AA94" s="41">
        <v>0</v>
      </c>
      <c r="AB94" s="41">
        <v>17664</v>
      </c>
      <c r="AC94" s="41">
        <v>235506163.19999999</v>
      </c>
      <c r="AD94" s="41">
        <v>10828.8</v>
      </c>
      <c r="AE94" s="41">
        <v>144375517.43999997</v>
      </c>
      <c r="AF94" s="41">
        <v>5936</v>
      </c>
      <c r="AG94" s="41">
        <v>5936</v>
      </c>
      <c r="AH94" s="36">
        <v>45352</v>
      </c>
      <c r="AI94" s="36"/>
      <c r="AJ94" s="36"/>
      <c r="AK94" s="36">
        <v>45383</v>
      </c>
      <c r="AL94" s="36"/>
      <c r="AM94" s="46"/>
      <c r="AN94" s="40" t="s">
        <v>1100</v>
      </c>
      <c r="AO94" s="40" t="s">
        <v>1101</v>
      </c>
      <c r="AP94" s="40" t="s">
        <v>1102</v>
      </c>
      <c r="AQ94" s="40" t="s">
        <v>275</v>
      </c>
      <c r="AR94" s="48">
        <v>0</v>
      </c>
      <c r="AS94" s="37">
        <v>100</v>
      </c>
      <c r="AT94" s="37" t="s">
        <v>324</v>
      </c>
      <c r="AU94" s="52">
        <v>4.8</v>
      </c>
      <c r="AV94" s="37" t="s">
        <v>60</v>
      </c>
      <c r="AW94" s="37">
        <v>10</v>
      </c>
      <c r="AX94" s="30">
        <v>37988168.063999996</v>
      </c>
      <c r="AY94" s="40" t="s">
        <v>402</v>
      </c>
    </row>
    <row r="95" spans="1:51" ht="66" customHeight="1" x14ac:dyDescent="0.25">
      <c r="A95" s="44" t="s">
        <v>1103</v>
      </c>
      <c r="B95" s="46">
        <v>45280</v>
      </c>
      <c r="C95" s="40">
        <v>1416</v>
      </c>
      <c r="D95" s="35" t="s">
        <v>1104</v>
      </c>
      <c r="E95" s="39" t="s">
        <v>1105</v>
      </c>
      <c r="F95" s="36">
        <v>45314</v>
      </c>
      <c r="G95" s="37" t="s">
        <v>1106</v>
      </c>
      <c r="H95" s="40" t="s">
        <v>139</v>
      </c>
      <c r="I95" s="40" t="s">
        <v>1107</v>
      </c>
      <c r="J95" s="54">
        <v>712501307.10000002</v>
      </c>
      <c r="K95" s="54">
        <v>712501307.10000002</v>
      </c>
      <c r="L95" s="54">
        <v>0</v>
      </c>
      <c r="M95" s="54">
        <v>0</v>
      </c>
      <c r="N95" s="42">
        <v>0</v>
      </c>
      <c r="O95" s="43">
        <v>0</v>
      </c>
      <c r="P95" s="41">
        <v>712501307.10000002</v>
      </c>
      <c r="Q95" s="43">
        <v>0</v>
      </c>
      <c r="R95" s="41">
        <v>712501307.10000002</v>
      </c>
      <c r="S95" s="30">
        <v>712501307.10000002</v>
      </c>
      <c r="T95" s="30">
        <v>712501307.10000002</v>
      </c>
      <c r="U95" s="30">
        <v>401.58000000000004</v>
      </c>
      <c r="V95" s="41">
        <v>401.58000000000004</v>
      </c>
      <c r="W95" s="41">
        <v>6023.7000000000007</v>
      </c>
      <c r="X95" s="41">
        <v>1774245</v>
      </c>
      <c r="Y95" s="41">
        <v>1125000</v>
      </c>
      <c r="Z95" s="41">
        <v>649245</v>
      </c>
      <c r="AA95" s="41">
        <v>0</v>
      </c>
      <c r="AB95" s="41">
        <v>1672950</v>
      </c>
      <c r="AC95" s="41">
        <v>671823261.00000012</v>
      </c>
      <c r="AD95" s="41">
        <v>101295</v>
      </c>
      <c r="AE95" s="41">
        <v>40678046.100000001</v>
      </c>
      <c r="AF95" s="41">
        <v>118283</v>
      </c>
      <c r="AG95" s="41">
        <v>118283</v>
      </c>
      <c r="AH95" s="36">
        <v>45352</v>
      </c>
      <c r="AI95" s="36">
        <v>45444</v>
      </c>
      <c r="AJ95" s="36"/>
      <c r="AK95" s="36">
        <v>45383</v>
      </c>
      <c r="AL95" s="36">
        <v>45474</v>
      </c>
      <c r="AM95" s="46"/>
      <c r="AN95" s="40" t="s">
        <v>1108</v>
      </c>
      <c r="AO95" s="40" t="s">
        <v>1109</v>
      </c>
      <c r="AP95" s="40" t="s">
        <v>1110</v>
      </c>
      <c r="AQ95" s="40" t="s">
        <v>80</v>
      </c>
      <c r="AR95" s="48">
        <v>100</v>
      </c>
      <c r="AS95" s="37">
        <v>0</v>
      </c>
      <c r="AT95" s="37" t="s">
        <v>81</v>
      </c>
      <c r="AU95" s="47">
        <v>15</v>
      </c>
      <c r="AV95" s="37" t="s">
        <v>60</v>
      </c>
      <c r="AW95" s="37">
        <v>10</v>
      </c>
      <c r="AX95" s="30">
        <v>71250130.709999993</v>
      </c>
      <c r="AY95" s="40" t="s">
        <v>402</v>
      </c>
    </row>
    <row r="96" spans="1:51" ht="66" customHeight="1" x14ac:dyDescent="0.25">
      <c r="A96" s="44" t="s">
        <v>1111</v>
      </c>
      <c r="B96" s="46">
        <v>45280</v>
      </c>
      <c r="C96" s="40">
        <v>1416</v>
      </c>
      <c r="D96" s="35" t="s">
        <v>1112</v>
      </c>
      <c r="E96" s="39" t="s">
        <v>1113</v>
      </c>
      <c r="F96" s="36">
        <v>45307</v>
      </c>
      <c r="G96" s="37" t="s">
        <v>1114</v>
      </c>
      <c r="H96" s="40" t="s">
        <v>1115</v>
      </c>
      <c r="I96" s="40" t="s">
        <v>1116</v>
      </c>
      <c r="J96" s="54">
        <v>27891956.399999999</v>
      </c>
      <c r="K96" s="54">
        <v>27891956.399999999</v>
      </c>
      <c r="L96" s="54">
        <v>0</v>
      </c>
      <c r="M96" s="54">
        <v>0</v>
      </c>
      <c r="N96" s="42">
        <v>0.50089279502816453</v>
      </c>
      <c r="O96" s="43">
        <v>139708.79999999702</v>
      </c>
      <c r="P96" s="41">
        <v>27752247.600000001</v>
      </c>
      <c r="Q96" s="43">
        <v>139708.79999999702</v>
      </c>
      <c r="R96" s="41">
        <v>27752247.600000001</v>
      </c>
      <c r="S96" s="30">
        <v>27752247.600000001</v>
      </c>
      <c r="T96" s="30">
        <v>27752247.600000001</v>
      </c>
      <c r="U96" s="30">
        <v>429.07000000000005</v>
      </c>
      <c r="V96" s="41">
        <v>429.07000000000005</v>
      </c>
      <c r="W96" s="41">
        <v>8581.4000000000015</v>
      </c>
      <c r="X96" s="41">
        <v>64680</v>
      </c>
      <c r="Y96" s="41">
        <v>64680</v>
      </c>
      <c r="Z96" s="41">
        <v>0</v>
      </c>
      <c r="AA96" s="41">
        <v>0</v>
      </c>
      <c r="AB96" s="41">
        <v>0</v>
      </c>
      <c r="AC96" s="41">
        <v>0</v>
      </c>
      <c r="AD96" s="41">
        <v>64680</v>
      </c>
      <c r="AE96" s="41">
        <v>27752247.600000001</v>
      </c>
      <c r="AF96" s="41">
        <v>3234</v>
      </c>
      <c r="AG96" s="41">
        <v>3234</v>
      </c>
      <c r="AH96" s="36">
        <v>45352</v>
      </c>
      <c r="AI96" s="36"/>
      <c r="AJ96" s="36"/>
      <c r="AK96" s="36">
        <v>45383</v>
      </c>
      <c r="AL96" s="36"/>
      <c r="AM96" s="46"/>
      <c r="AN96" s="40" t="s">
        <v>1117</v>
      </c>
      <c r="AO96" s="40" t="s">
        <v>1118</v>
      </c>
      <c r="AP96" s="40" t="s">
        <v>1119</v>
      </c>
      <c r="AQ96" s="40" t="s">
        <v>80</v>
      </c>
      <c r="AR96" s="48">
        <v>100</v>
      </c>
      <c r="AS96" s="37">
        <v>0</v>
      </c>
      <c r="AT96" s="37" t="s">
        <v>386</v>
      </c>
      <c r="AU96" s="47">
        <v>20</v>
      </c>
      <c r="AV96" s="37" t="s">
        <v>60</v>
      </c>
      <c r="AW96" s="37">
        <v>10</v>
      </c>
      <c r="AX96" s="30">
        <v>2789195.64</v>
      </c>
      <c r="AY96" s="40" t="s">
        <v>402</v>
      </c>
    </row>
    <row r="97" spans="1:51" ht="66" customHeight="1" x14ac:dyDescent="0.25">
      <c r="A97" s="44" t="s">
        <v>1120</v>
      </c>
      <c r="B97" s="46">
        <v>45280</v>
      </c>
      <c r="C97" s="40">
        <v>1416</v>
      </c>
      <c r="D97" s="35" t="s">
        <v>1121</v>
      </c>
      <c r="E97" s="39" t="s">
        <v>1122</v>
      </c>
      <c r="F97" s="36">
        <v>45314</v>
      </c>
      <c r="G97" s="37" t="s">
        <v>1123</v>
      </c>
      <c r="H97" s="40" t="s">
        <v>139</v>
      </c>
      <c r="I97" s="40" t="s">
        <v>1124</v>
      </c>
      <c r="J97" s="54">
        <v>371696160</v>
      </c>
      <c r="K97" s="54">
        <v>371696160</v>
      </c>
      <c r="L97" s="54">
        <v>0</v>
      </c>
      <c r="M97" s="54">
        <v>0</v>
      </c>
      <c r="N97" s="42">
        <v>0</v>
      </c>
      <c r="O97" s="43">
        <v>0</v>
      </c>
      <c r="P97" s="41">
        <v>371696160</v>
      </c>
      <c r="Q97" s="43">
        <v>0</v>
      </c>
      <c r="R97" s="41">
        <v>371696160</v>
      </c>
      <c r="S97" s="30">
        <v>371696160</v>
      </c>
      <c r="T97" s="30">
        <v>371696160</v>
      </c>
      <c r="U97" s="30">
        <v>48.48</v>
      </c>
      <c r="V97" s="41">
        <v>48.48</v>
      </c>
      <c r="W97" s="41">
        <v>48480</v>
      </c>
      <c r="X97" s="41">
        <v>7667000</v>
      </c>
      <c r="Y97" s="41">
        <v>7667000</v>
      </c>
      <c r="Z97" s="41">
        <v>0</v>
      </c>
      <c r="AA97" s="41">
        <v>0</v>
      </c>
      <c r="AB97" s="41">
        <v>6190000</v>
      </c>
      <c r="AC97" s="41">
        <v>300091200</v>
      </c>
      <c r="AD97" s="41">
        <v>1477000</v>
      </c>
      <c r="AE97" s="41">
        <v>71604960</v>
      </c>
      <c r="AF97" s="41">
        <v>7667</v>
      </c>
      <c r="AG97" s="41">
        <v>7667</v>
      </c>
      <c r="AH97" s="36">
        <v>45381</v>
      </c>
      <c r="AI97" s="36"/>
      <c r="AJ97" s="36"/>
      <c r="AK97" s="36">
        <v>45413</v>
      </c>
      <c r="AL97" s="36"/>
      <c r="AM97" s="46"/>
      <c r="AN97" s="40" t="s">
        <v>1125</v>
      </c>
      <c r="AO97" s="40" t="s">
        <v>1126</v>
      </c>
      <c r="AP97" s="40" t="s">
        <v>1127</v>
      </c>
      <c r="AQ97" s="40" t="s">
        <v>774</v>
      </c>
      <c r="AR97" s="48">
        <v>0</v>
      </c>
      <c r="AS97" s="37">
        <v>100</v>
      </c>
      <c r="AT97" s="37" t="s">
        <v>1067</v>
      </c>
      <c r="AU97" s="47">
        <v>1000</v>
      </c>
      <c r="AV97" s="37" t="s">
        <v>60</v>
      </c>
      <c r="AW97" s="37">
        <v>10</v>
      </c>
      <c r="AX97" s="30">
        <v>37169616</v>
      </c>
      <c r="AY97" s="40" t="s">
        <v>402</v>
      </c>
    </row>
    <row r="98" spans="1:51" ht="66" customHeight="1" x14ac:dyDescent="0.25">
      <c r="A98" s="44" t="s">
        <v>1128</v>
      </c>
      <c r="B98" s="46">
        <v>45280</v>
      </c>
      <c r="C98" s="40">
        <v>1416</v>
      </c>
      <c r="D98" s="35" t="s">
        <v>1129</v>
      </c>
      <c r="E98" s="39" t="s">
        <v>1130</v>
      </c>
      <c r="F98" s="36">
        <v>45303</v>
      </c>
      <c r="G98" s="37" t="s">
        <v>1131</v>
      </c>
      <c r="H98" s="40" t="s">
        <v>224</v>
      </c>
      <c r="I98" s="40" t="s">
        <v>1132</v>
      </c>
      <c r="J98" s="54">
        <v>1135795.5</v>
      </c>
      <c r="K98" s="54">
        <v>1135795.5</v>
      </c>
      <c r="L98" s="54">
        <v>0</v>
      </c>
      <c r="M98" s="54">
        <v>0</v>
      </c>
      <c r="N98" s="42">
        <v>0</v>
      </c>
      <c r="O98" s="43">
        <v>0</v>
      </c>
      <c r="P98" s="41">
        <v>1135795.5</v>
      </c>
      <c r="Q98" s="43">
        <v>0</v>
      </c>
      <c r="R98" s="41">
        <v>1135795.5</v>
      </c>
      <c r="S98" s="30">
        <v>1135795.5</v>
      </c>
      <c r="T98" s="30">
        <v>1135795.5</v>
      </c>
      <c r="U98" s="30">
        <v>1802.85</v>
      </c>
      <c r="V98" s="41">
        <v>1802.85</v>
      </c>
      <c r="W98" s="41">
        <v>37859.85</v>
      </c>
      <c r="X98" s="41">
        <v>630</v>
      </c>
      <c r="Y98" s="41">
        <v>630</v>
      </c>
      <c r="Z98" s="41">
        <v>0</v>
      </c>
      <c r="AA98" s="41">
        <v>0</v>
      </c>
      <c r="AB98" s="41">
        <v>0</v>
      </c>
      <c r="AC98" s="41">
        <v>0</v>
      </c>
      <c r="AD98" s="41">
        <v>630</v>
      </c>
      <c r="AE98" s="41">
        <v>1135795.5</v>
      </c>
      <c r="AF98" s="41">
        <v>30</v>
      </c>
      <c r="AG98" s="41">
        <v>30</v>
      </c>
      <c r="AH98" s="36">
        <v>45352</v>
      </c>
      <c r="AI98" s="36"/>
      <c r="AJ98" s="36"/>
      <c r="AK98" s="36">
        <v>45383</v>
      </c>
      <c r="AL98" s="36"/>
      <c r="AM98" s="46"/>
      <c r="AN98" s="40" t="s">
        <v>1133</v>
      </c>
      <c r="AO98" s="40" t="s">
        <v>1134</v>
      </c>
      <c r="AP98" s="40" t="s">
        <v>1135</v>
      </c>
      <c r="AQ98" s="40" t="s">
        <v>80</v>
      </c>
      <c r="AR98" s="48">
        <v>100</v>
      </c>
      <c r="AS98" s="37">
        <v>0</v>
      </c>
      <c r="AT98" s="37" t="s">
        <v>386</v>
      </c>
      <c r="AU98" s="47">
        <v>21</v>
      </c>
      <c r="AV98" s="37" t="s">
        <v>219</v>
      </c>
      <c r="AW98" s="37">
        <v>10</v>
      </c>
      <c r="AX98" s="30">
        <v>113579.55</v>
      </c>
      <c r="AY98" s="40" t="s">
        <v>402</v>
      </c>
    </row>
    <row r="99" spans="1:51" ht="66" customHeight="1" x14ac:dyDescent="0.25">
      <c r="A99" s="44" t="s">
        <v>1136</v>
      </c>
      <c r="B99" s="46">
        <v>45280</v>
      </c>
      <c r="C99" s="40">
        <v>1416</v>
      </c>
      <c r="D99" s="35" t="s">
        <v>1137</v>
      </c>
      <c r="E99" s="39" t="s">
        <v>1138</v>
      </c>
      <c r="F99" s="36">
        <v>45308</v>
      </c>
      <c r="G99" s="37" t="s">
        <v>1139</v>
      </c>
      <c r="H99" s="40" t="s">
        <v>139</v>
      </c>
      <c r="I99" s="40" t="s">
        <v>1140</v>
      </c>
      <c r="J99" s="54">
        <v>20722240</v>
      </c>
      <c r="K99" s="54">
        <v>20722240</v>
      </c>
      <c r="L99" s="54">
        <v>0</v>
      </c>
      <c r="M99" s="54">
        <v>0</v>
      </c>
      <c r="N99" s="42">
        <v>0</v>
      </c>
      <c r="O99" s="43">
        <v>0</v>
      </c>
      <c r="P99" s="41">
        <v>20722240</v>
      </c>
      <c r="Q99" s="43">
        <v>0</v>
      </c>
      <c r="R99" s="41">
        <v>20722240</v>
      </c>
      <c r="S99" s="30">
        <v>20722240</v>
      </c>
      <c r="T99" s="30">
        <v>20722240</v>
      </c>
      <c r="U99" s="30">
        <v>51.04</v>
      </c>
      <c r="V99" s="41">
        <v>51.04</v>
      </c>
      <c r="W99" s="41">
        <v>25520</v>
      </c>
      <c r="X99" s="41">
        <v>406000</v>
      </c>
      <c r="Y99" s="41">
        <v>406000</v>
      </c>
      <c r="Z99" s="41">
        <v>0</v>
      </c>
      <c r="AA99" s="41">
        <v>0</v>
      </c>
      <c r="AB99" s="41">
        <v>406000</v>
      </c>
      <c r="AC99" s="41">
        <v>20722240</v>
      </c>
      <c r="AD99" s="41">
        <v>0</v>
      </c>
      <c r="AE99" s="41">
        <v>0</v>
      </c>
      <c r="AF99" s="41">
        <v>812</v>
      </c>
      <c r="AG99" s="41">
        <v>812</v>
      </c>
      <c r="AH99" s="36">
        <v>45381</v>
      </c>
      <c r="AI99" s="36"/>
      <c r="AJ99" s="36"/>
      <c r="AK99" s="36">
        <v>45413</v>
      </c>
      <c r="AL99" s="36"/>
      <c r="AM99" s="46"/>
      <c r="AN99" s="40" t="s">
        <v>1125</v>
      </c>
      <c r="AO99" s="40" t="s">
        <v>1141</v>
      </c>
      <c r="AP99" s="40" t="s">
        <v>1127</v>
      </c>
      <c r="AQ99" s="40" t="s">
        <v>774</v>
      </c>
      <c r="AR99" s="48">
        <v>0</v>
      </c>
      <c r="AS99" s="37">
        <v>100</v>
      </c>
      <c r="AT99" s="37" t="s">
        <v>1067</v>
      </c>
      <c r="AU99" s="47">
        <v>500</v>
      </c>
      <c r="AV99" s="37" t="s">
        <v>60</v>
      </c>
      <c r="AW99" s="37">
        <v>10</v>
      </c>
      <c r="AX99" s="30">
        <v>2072224</v>
      </c>
      <c r="AY99" s="40" t="s">
        <v>402</v>
      </c>
    </row>
    <row r="100" spans="1:51" ht="66" customHeight="1" x14ac:dyDescent="0.25">
      <c r="A100" s="44" t="s">
        <v>1142</v>
      </c>
      <c r="B100" s="46">
        <v>45280</v>
      </c>
      <c r="C100" s="40">
        <v>1416</v>
      </c>
      <c r="D100" s="35" t="s">
        <v>1143</v>
      </c>
      <c r="E100" s="39" t="s">
        <v>1144</v>
      </c>
      <c r="F100" s="36">
        <v>45314</v>
      </c>
      <c r="G100" s="37" t="s">
        <v>1145</v>
      </c>
      <c r="H100" s="40" t="s">
        <v>86</v>
      </c>
      <c r="I100" s="40" t="s">
        <v>666</v>
      </c>
      <c r="J100" s="54">
        <v>1441732800</v>
      </c>
      <c r="K100" s="54">
        <v>720866400</v>
      </c>
      <c r="L100" s="54">
        <v>720866400</v>
      </c>
      <c r="M100" s="54">
        <v>0</v>
      </c>
      <c r="N100" s="42">
        <v>0</v>
      </c>
      <c r="O100" s="43">
        <v>0</v>
      </c>
      <c r="P100" s="41">
        <v>1441732800</v>
      </c>
      <c r="Q100" s="43">
        <v>720866400</v>
      </c>
      <c r="R100" s="41">
        <v>720866400</v>
      </c>
      <c r="S100" s="30">
        <v>720866400</v>
      </c>
      <c r="T100" s="30">
        <v>1441732800</v>
      </c>
      <c r="U100" s="30">
        <v>10.72</v>
      </c>
      <c r="V100" s="41">
        <v>10.72</v>
      </c>
      <c r="W100" s="41" t="e">
        <v>#VALUE!</v>
      </c>
      <c r="X100" s="41">
        <v>134490000</v>
      </c>
      <c r="Y100" s="41">
        <v>46376000</v>
      </c>
      <c r="Z100" s="41">
        <v>20869000</v>
      </c>
      <c r="AA100" s="41">
        <v>0</v>
      </c>
      <c r="AB100" s="41">
        <v>20478000</v>
      </c>
      <c r="AC100" s="41">
        <v>219524160</v>
      </c>
      <c r="AD100" s="41">
        <v>46767000</v>
      </c>
      <c r="AE100" s="41">
        <v>501342240.00000006</v>
      </c>
      <c r="AF100" s="41" t="e">
        <v>#VALUE!</v>
      </c>
      <c r="AG100" s="41" t="e">
        <v>#VALUE!</v>
      </c>
      <c r="AH100" s="36">
        <v>45352</v>
      </c>
      <c r="AI100" s="36">
        <v>45565</v>
      </c>
      <c r="AJ100" s="36" t="s">
        <v>1146</v>
      </c>
      <c r="AK100" s="36">
        <v>45383</v>
      </c>
      <c r="AL100" s="36">
        <v>45597</v>
      </c>
      <c r="AM100" s="46" t="s">
        <v>1147</v>
      </c>
      <c r="AN100" s="40" t="s">
        <v>1148</v>
      </c>
      <c r="AO100" s="40" t="s">
        <v>1149</v>
      </c>
      <c r="AP100" s="40" t="s">
        <v>1150</v>
      </c>
      <c r="AQ100" s="40" t="s">
        <v>1048</v>
      </c>
      <c r="AR100" s="48">
        <v>0</v>
      </c>
      <c r="AS100" s="37">
        <v>100</v>
      </c>
      <c r="AT100" s="37" t="s">
        <v>93</v>
      </c>
      <c r="AU100" s="51" t="s">
        <v>1151</v>
      </c>
      <c r="AV100" s="37" t="s">
        <v>60</v>
      </c>
      <c r="AW100" s="37">
        <v>10</v>
      </c>
      <c r="AX100" s="30">
        <v>144173280</v>
      </c>
      <c r="AY100" s="40" t="s">
        <v>402</v>
      </c>
    </row>
    <row r="101" spans="1:51" ht="66" customHeight="1" x14ac:dyDescent="0.25">
      <c r="A101" s="44" t="s">
        <v>1152</v>
      </c>
      <c r="B101" s="46">
        <v>45280</v>
      </c>
      <c r="C101" s="40">
        <v>1416</v>
      </c>
      <c r="D101" s="35" t="s">
        <v>431</v>
      </c>
      <c r="E101" s="39" t="s">
        <v>1153</v>
      </c>
      <c r="F101" s="36" t="s">
        <v>431</v>
      </c>
      <c r="G101" s="37" t="s">
        <v>431</v>
      </c>
      <c r="H101" s="40" t="s">
        <v>431</v>
      </c>
      <c r="I101" s="40" t="s">
        <v>1154</v>
      </c>
      <c r="J101" s="54">
        <v>239282920</v>
      </c>
      <c r="K101" s="54">
        <v>239282920</v>
      </c>
      <c r="L101" s="54"/>
      <c r="M101" s="54"/>
      <c r="N101" s="42">
        <v>100</v>
      </c>
      <c r="O101" s="43">
        <v>239282920</v>
      </c>
      <c r="P101" s="41"/>
      <c r="Q101" s="43">
        <v>239282920</v>
      </c>
      <c r="R101" s="41">
        <v>0</v>
      </c>
      <c r="S101" s="30">
        <v>0</v>
      </c>
      <c r="T101" s="30">
        <v>0</v>
      </c>
      <c r="U101" s="30" t="e">
        <v>#DIV/0!</v>
      </c>
      <c r="V101" s="41" t="e">
        <v>#DIV/0!</v>
      </c>
      <c r="W101" s="41" t="e">
        <v>#DIV/0!</v>
      </c>
      <c r="X101" s="41">
        <v>0</v>
      </c>
      <c r="Y101" s="41">
        <v>0</v>
      </c>
      <c r="Z101" s="41">
        <v>0</v>
      </c>
      <c r="AA101" s="41">
        <v>0</v>
      </c>
      <c r="AB101" s="41"/>
      <c r="AC101" s="41" t="e">
        <v>#DIV/0!</v>
      </c>
      <c r="AD101" s="41"/>
      <c r="AE101" s="41" t="e">
        <v>#DIV/0!</v>
      </c>
      <c r="AF101" s="41" t="e">
        <v>#DIV/0!</v>
      </c>
      <c r="AG101" s="41" t="e">
        <v>#DIV/0!</v>
      </c>
      <c r="AH101" s="36">
        <v>45382</v>
      </c>
      <c r="AI101" s="36">
        <v>45483</v>
      </c>
      <c r="AJ101" s="36"/>
      <c r="AK101" s="36"/>
      <c r="AL101" s="36"/>
      <c r="AM101" s="46"/>
      <c r="AN101" s="40"/>
      <c r="AO101" s="40"/>
      <c r="AP101" s="40"/>
      <c r="AQ101" s="40"/>
      <c r="AR101" s="48"/>
      <c r="AS101" s="37"/>
      <c r="AT101" s="37"/>
      <c r="AU101" s="47"/>
      <c r="AV101" s="37"/>
      <c r="AW101" s="37">
        <v>10</v>
      </c>
      <c r="AX101" s="30">
        <v>23928292</v>
      </c>
      <c r="AY101" s="40" t="s">
        <v>402</v>
      </c>
    </row>
    <row r="102" spans="1:51" ht="58.5" customHeight="1" x14ac:dyDescent="0.25">
      <c r="A102" s="44" t="s">
        <v>1161</v>
      </c>
      <c r="B102" s="46">
        <v>45287</v>
      </c>
      <c r="C102" s="40">
        <v>1416</v>
      </c>
      <c r="D102" s="35" t="s">
        <v>1162</v>
      </c>
      <c r="E102" s="39" t="s">
        <v>1163</v>
      </c>
      <c r="F102" s="36">
        <v>45320</v>
      </c>
      <c r="G102" s="37" t="s">
        <v>1164</v>
      </c>
      <c r="H102" s="40" t="s">
        <v>1165</v>
      </c>
      <c r="I102" s="40" t="s">
        <v>1166</v>
      </c>
      <c r="J102" s="54">
        <v>346834734.83999997</v>
      </c>
      <c r="K102" s="54">
        <v>346834734.83999997</v>
      </c>
      <c r="L102" s="54">
        <v>0</v>
      </c>
      <c r="M102" s="54">
        <v>0</v>
      </c>
      <c r="N102" s="42">
        <v>0</v>
      </c>
      <c r="O102" s="43">
        <v>0</v>
      </c>
      <c r="P102" s="41">
        <v>346834734.83999997</v>
      </c>
      <c r="Q102" s="43">
        <v>0</v>
      </c>
      <c r="R102" s="41">
        <v>346834734.83999997</v>
      </c>
      <c r="S102" s="30">
        <v>346834734.83999997</v>
      </c>
      <c r="T102" s="30">
        <v>346834734.83999997</v>
      </c>
      <c r="U102" s="30">
        <v>50773.64</v>
      </c>
      <c r="V102" s="41">
        <v>50773.64</v>
      </c>
      <c r="W102" s="41">
        <v>152320.91999999998</v>
      </c>
      <c r="X102" s="41">
        <v>6831</v>
      </c>
      <c r="Y102" s="41">
        <v>6831</v>
      </c>
      <c r="Z102" s="41">
        <v>0</v>
      </c>
      <c r="AA102" s="41">
        <v>0</v>
      </c>
      <c r="AB102" s="41">
        <v>5037</v>
      </c>
      <c r="AC102" s="41">
        <v>255746824.68000001</v>
      </c>
      <c r="AD102" s="41">
        <v>1794</v>
      </c>
      <c r="AE102" s="41">
        <v>91087910.159999996</v>
      </c>
      <c r="AF102" s="41">
        <v>2277</v>
      </c>
      <c r="AG102" s="41">
        <v>2277</v>
      </c>
      <c r="AH102" s="36">
        <v>45352</v>
      </c>
      <c r="AI102" s="36"/>
      <c r="AJ102" s="36"/>
      <c r="AK102" s="36">
        <v>45383</v>
      </c>
      <c r="AL102" s="36"/>
      <c r="AM102" s="46"/>
      <c r="AN102" s="40" t="s">
        <v>1167</v>
      </c>
      <c r="AO102" s="40" t="s">
        <v>1168</v>
      </c>
      <c r="AP102" s="40" t="s">
        <v>1169</v>
      </c>
      <c r="AQ102" s="40" t="s">
        <v>1170</v>
      </c>
      <c r="AR102" s="48">
        <v>0</v>
      </c>
      <c r="AS102" s="37">
        <v>100</v>
      </c>
      <c r="AT102" s="37" t="s">
        <v>81</v>
      </c>
      <c r="AU102" s="47">
        <v>3</v>
      </c>
      <c r="AV102" s="37" t="s">
        <v>60</v>
      </c>
      <c r="AW102" s="37">
        <v>10</v>
      </c>
      <c r="AX102" s="30">
        <v>34683473.483999997</v>
      </c>
      <c r="AY102" s="40" t="s">
        <v>402</v>
      </c>
    </row>
    <row r="103" spans="1:51" ht="58.5" customHeight="1" x14ac:dyDescent="0.25">
      <c r="A103" s="44" t="s">
        <v>1171</v>
      </c>
      <c r="B103" s="46">
        <v>45287</v>
      </c>
      <c r="C103" s="40">
        <v>1416</v>
      </c>
      <c r="D103" s="35" t="s">
        <v>1172</v>
      </c>
      <c r="E103" s="39" t="s">
        <v>1173</v>
      </c>
      <c r="F103" s="36">
        <v>45317</v>
      </c>
      <c r="G103" s="37" t="s">
        <v>1174</v>
      </c>
      <c r="H103" s="40" t="s">
        <v>139</v>
      </c>
      <c r="I103" s="40" t="s">
        <v>1175</v>
      </c>
      <c r="J103" s="54">
        <v>966903210</v>
      </c>
      <c r="K103" s="54">
        <v>966903210</v>
      </c>
      <c r="L103" s="54">
        <v>0</v>
      </c>
      <c r="M103" s="54">
        <v>0</v>
      </c>
      <c r="N103" s="42">
        <v>0</v>
      </c>
      <c r="O103" s="43">
        <v>0</v>
      </c>
      <c r="P103" s="41">
        <v>966903210</v>
      </c>
      <c r="Q103" s="43">
        <v>0</v>
      </c>
      <c r="R103" s="41">
        <v>966903210</v>
      </c>
      <c r="S103" s="30">
        <v>966903210</v>
      </c>
      <c r="T103" s="30">
        <v>966903210</v>
      </c>
      <c r="U103" s="30">
        <v>12.39</v>
      </c>
      <c r="V103" s="41">
        <v>12.39</v>
      </c>
      <c r="W103" s="41" t="e">
        <v>#VALUE!</v>
      </c>
      <c r="X103" s="41">
        <v>78039000</v>
      </c>
      <c r="Y103" s="41">
        <v>40291000</v>
      </c>
      <c r="Z103" s="41">
        <v>37748000</v>
      </c>
      <c r="AA103" s="41">
        <v>0</v>
      </c>
      <c r="AB103" s="41">
        <v>47492000</v>
      </c>
      <c r="AC103" s="41">
        <v>588425880</v>
      </c>
      <c r="AD103" s="41">
        <v>30547000</v>
      </c>
      <c r="AE103" s="41">
        <v>378477330</v>
      </c>
      <c r="AF103" s="41" t="e">
        <v>#VALUE!</v>
      </c>
      <c r="AG103" s="41" t="e">
        <v>#VALUE!</v>
      </c>
      <c r="AH103" s="36">
        <v>45383</v>
      </c>
      <c r="AI103" s="36">
        <v>45432</v>
      </c>
      <c r="AJ103" s="36"/>
      <c r="AK103" s="36">
        <v>45413</v>
      </c>
      <c r="AL103" s="36">
        <v>45463</v>
      </c>
      <c r="AM103" s="46"/>
      <c r="AN103" s="40" t="s">
        <v>1176</v>
      </c>
      <c r="AO103" s="40" t="s">
        <v>1177</v>
      </c>
      <c r="AP103" s="40" t="s">
        <v>1178</v>
      </c>
      <c r="AQ103" s="40" t="s">
        <v>1179</v>
      </c>
      <c r="AR103" s="48">
        <v>0</v>
      </c>
      <c r="AS103" s="37">
        <v>100</v>
      </c>
      <c r="AT103" s="37" t="s">
        <v>93</v>
      </c>
      <c r="AU103" s="51" t="s">
        <v>1180</v>
      </c>
      <c r="AV103" s="37" t="s">
        <v>60</v>
      </c>
      <c r="AW103" s="37">
        <v>10</v>
      </c>
      <c r="AX103" s="30">
        <v>96690321</v>
      </c>
      <c r="AY103" s="40" t="s">
        <v>402</v>
      </c>
    </row>
    <row r="104" spans="1:51" ht="58.5" customHeight="1" x14ac:dyDescent="0.25">
      <c r="A104" s="44" t="s">
        <v>1181</v>
      </c>
      <c r="B104" s="46">
        <v>45287</v>
      </c>
      <c r="C104" s="40">
        <v>1416</v>
      </c>
      <c r="D104" s="35" t="s">
        <v>1182</v>
      </c>
      <c r="E104" s="39" t="s">
        <v>1183</v>
      </c>
      <c r="F104" s="36">
        <v>45320</v>
      </c>
      <c r="G104" s="37" t="s">
        <v>1184</v>
      </c>
      <c r="H104" s="57" t="s">
        <v>1185</v>
      </c>
      <c r="I104" s="40" t="s">
        <v>1186</v>
      </c>
      <c r="J104" s="54">
        <v>41849051.399999999</v>
      </c>
      <c r="K104" s="54">
        <v>41849051.399999999</v>
      </c>
      <c r="L104" s="54">
        <v>0</v>
      </c>
      <c r="M104" s="54">
        <v>0</v>
      </c>
      <c r="N104" s="42">
        <v>2.5000000358430996</v>
      </c>
      <c r="O104" s="43">
        <v>1046226.299999997</v>
      </c>
      <c r="P104" s="41">
        <v>40802825.100000001</v>
      </c>
      <c r="Q104" s="43">
        <v>8537716.1999999993</v>
      </c>
      <c r="R104" s="41">
        <v>33311335.199999999</v>
      </c>
      <c r="S104" s="30">
        <v>33311335.199999999</v>
      </c>
      <c r="T104" s="30">
        <v>33311335.199999999</v>
      </c>
      <c r="U104" s="30">
        <v>44.44</v>
      </c>
      <c r="V104" s="41">
        <v>44.44</v>
      </c>
      <c r="W104" s="41">
        <v>2666.3999999999996</v>
      </c>
      <c r="X104" s="41">
        <v>749580</v>
      </c>
      <c r="Y104" s="41">
        <v>216000</v>
      </c>
      <c r="Z104" s="41">
        <v>533580</v>
      </c>
      <c r="AA104" s="41">
        <v>0</v>
      </c>
      <c r="AB104" s="41">
        <v>72780</v>
      </c>
      <c r="AC104" s="41">
        <v>3234343.1999999997</v>
      </c>
      <c r="AD104" s="41">
        <v>676800</v>
      </c>
      <c r="AE104" s="41">
        <v>30076992</v>
      </c>
      <c r="AF104" s="41">
        <v>12493</v>
      </c>
      <c r="AG104" s="41">
        <v>12493</v>
      </c>
      <c r="AH104" s="36">
        <v>45352</v>
      </c>
      <c r="AI104" s="36">
        <v>45474</v>
      </c>
      <c r="AJ104" s="36"/>
      <c r="AK104" s="36">
        <v>45383</v>
      </c>
      <c r="AL104" s="36">
        <v>45505</v>
      </c>
      <c r="AM104" s="46"/>
      <c r="AN104" s="40" t="s">
        <v>1187</v>
      </c>
      <c r="AO104" s="40" t="s">
        <v>1188</v>
      </c>
      <c r="AP104" s="40" t="s">
        <v>1189</v>
      </c>
      <c r="AQ104" s="40" t="s">
        <v>80</v>
      </c>
      <c r="AR104" s="48">
        <v>100</v>
      </c>
      <c r="AS104" s="37">
        <v>0</v>
      </c>
      <c r="AT104" s="37" t="s">
        <v>386</v>
      </c>
      <c r="AU104" s="47">
        <v>60</v>
      </c>
      <c r="AV104" s="37" t="s">
        <v>60</v>
      </c>
      <c r="AW104" s="37">
        <v>10</v>
      </c>
      <c r="AX104" s="30">
        <v>4184905.14</v>
      </c>
      <c r="AY104" s="40" t="s">
        <v>402</v>
      </c>
    </row>
    <row r="105" spans="1:51" ht="58.5" customHeight="1" x14ac:dyDescent="0.25">
      <c r="A105" s="44" t="s">
        <v>1190</v>
      </c>
      <c r="B105" s="46">
        <v>45287</v>
      </c>
      <c r="C105" s="40">
        <v>1416</v>
      </c>
      <c r="D105" s="35" t="s">
        <v>1191</v>
      </c>
      <c r="E105" s="39" t="s">
        <v>1192</v>
      </c>
      <c r="F105" s="36">
        <v>45317</v>
      </c>
      <c r="G105" s="37" t="s">
        <v>1193</v>
      </c>
      <c r="H105" s="40" t="s">
        <v>139</v>
      </c>
      <c r="I105" s="40" t="s">
        <v>1194</v>
      </c>
      <c r="J105" s="54">
        <v>1312363937.5</v>
      </c>
      <c r="K105" s="54">
        <v>1312363937.5</v>
      </c>
      <c r="L105" s="54">
        <v>0</v>
      </c>
      <c r="M105" s="54">
        <v>0</v>
      </c>
      <c r="N105" s="42">
        <v>0</v>
      </c>
      <c r="O105" s="43">
        <v>0</v>
      </c>
      <c r="P105" s="41">
        <v>1312363937.5</v>
      </c>
      <c r="Q105" s="43">
        <v>0</v>
      </c>
      <c r="R105" s="41">
        <v>1312363937.5</v>
      </c>
      <c r="S105" s="30">
        <v>1312363937.5</v>
      </c>
      <c r="T105" s="30">
        <v>1312363937.5</v>
      </c>
      <c r="U105" s="30">
        <v>23003.75</v>
      </c>
      <c r="V105" s="41">
        <v>23003.75</v>
      </c>
      <c r="W105" s="41">
        <v>23003.75</v>
      </c>
      <c r="X105" s="41">
        <v>57050</v>
      </c>
      <c r="Y105" s="41">
        <v>57050</v>
      </c>
      <c r="Z105" s="41">
        <v>0</v>
      </c>
      <c r="AA105" s="41">
        <v>0</v>
      </c>
      <c r="AB105" s="41">
        <v>310</v>
      </c>
      <c r="AC105" s="41">
        <v>7131162.5</v>
      </c>
      <c r="AD105" s="41">
        <v>56740</v>
      </c>
      <c r="AE105" s="41">
        <v>1305232775</v>
      </c>
      <c r="AF105" s="41">
        <v>57050</v>
      </c>
      <c r="AG105" s="41">
        <v>57050</v>
      </c>
      <c r="AH105" s="36">
        <v>45383</v>
      </c>
      <c r="AI105" s="36"/>
      <c r="AJ105" s="36"/>
      <c r="AK105" s="36">
        <v>45413</v>
      </c>
      <c r="AL105" s="36"/>
      <c r="AM105" s="46"/>
      <c r="AN105" s="40" t="s">
        <v>1195</v>
      </c>
      <c r="AO105" s="40" t="s">
        <v>1196</v>
      </c>
      <c r="AP105" s="40" t="s">
        <v>1197</v>
      </c>
      <c r="AQ105" s="40" t="s">
        <v>92</v>
      </c>
      <c r="AR105" s="48">
        <v>0</v>
      </c>
      <c r="AS105" s="37">
        <v>100</v>
      </c>
      <c r="AT105" s="37" t="s">
        <v>81</v>
      </c>
      <c r="AU105" s="47">
        <v>1</v>
      </c>
      <c r="AV105" s="37" t="s">
        <v>60</v>
      </c>
      <c r="AW105" s="37">
        <v>10</v>
      </c>
      <c r="AX105" s="30">
        <v>131236393.75</v>
      </c>
      <c r="AY105" s="40" t="s">
        <v>402</v>
      </c>
    </row>
    <row r="106" spans="1:51" ht="58.5" customHeight="1" x14ac:dyDescent="0.25">
      <c r="A106" s="44" t="s">
        <v>1198</v>
      </c>
      <c r="B106" s="46">
        <v>45287</v>
      </c>
      <c r="C106" s="40">
        <v>1416</v>
      </c>
      <c r="D106" s="35" t="s">
        <v>1199</v>
      </c>
      <c r="E106" s="39" t="s">
        <v>1200</v>
      </c>
      <c r="F106" s="36">
        <v>45317</v>
      </c>
      <c r="G106" s="37" t="s">
        <v>1201</v>
      </c>
      <c r="H106" s="40" t="s">
        <v>1202</v>
      </c>
      <c r="I106" s="40" t="s">
        <v>1203</v>
      </c>
      <c r="J106" s="54">
        <v>29904355.5</v>
      </c>
      <c r="K106" s="54">
        <v>29904355.5</v>
      </c>
      <c r="L106" s="54">
        <v>0</v>
      </c>
      <c r="M106" s="54">
        <v>0</v>
      </c>
      <c r="N106" s="42">
        <v>0</v>
      </c>
      <c r="O106" s="43">
        <v>0</v>
      </c>
      <c r="P106" s="41">
        <v>29904355.5</v>
      </c>
      <c r="Q106" s="43">
        <v>0</v>
      </c>
      <c r="R106" s="41">
        <v>29904355.5</v>
      </c>
      <c r="S106" s="30">
        <v>29904355.5</v>
      </c>
      <c r="T106" s="30">
        <v>29904355.5</v>
      </c>
      <c r="U106" s="30">
        <v>15.69</v>
      </c>
      <c r="V106" s="41">
        <v>15.69</v>
      </c>
      <c r="W106" s="41" t="e">
        <v>#VALUE!</v>
      </c>
      <c r="X106" s="41">
        <v>1905950</v>
      </c>
      <c r="Y106" s="41">
        <v>1905950</v>
      </c>
      <c r="Z106" s="41">
        <v>0</v>
      </c>
      <c r="AA106" s="41">
        <v>0</v>
      </c>
      <c r="AB106" s="41">
        <v>950150</v>
      </c>
      <c r="AC106" s="41">
        <v>14907853.5</v>
      </c>
      <c r="AD106" s="41">
        <v>955800</v>
      </c>
      <c r="AE106" s="41">
        <v>14996502</v>
      </c>
      <c r="AF106" s="41" t="e">
        <v>#VALUE!</v>
      </c>
      <c r="AG106" s="41" t="e">
        <v>#VALUE!</v>
      </c>
      <c r="AH106" s="36">
        <v>45352</v>
      </c>
      <c r="AI106" s="36"/>
      <c r="AJ106" s="36"/>
      <c r="AK106" s="36">
        <v>45383</v>
      </c>
      <c r="AL106" s="36"/>
      <c r="AM106" s="46"/>
      <c r="AN106" s="40" t="s">
        <v>1204</v>
      </c>
      <c r="AO106" s="40" t="s">
        <v>1205</v>
      </c>
      <c r="AP106" s="40" t="s">
        <v>1206</v>
      </c>
      <c r="AQ106" s="40" t="s">
        <v>80</v>
      </c>
      <c r="AR106" s="48">
        <v>100</v>
      </c>
      <c r="AS106" s="37">
        <v>0</v>
      </c>
      <c r="AT106" s="37" t="s">
        <v>386</v>
      </c>
      <c r="AU106" s="51" t="s">
        <v>1207</v>
      </c>
      <c r="AV106" s="37" t="s">
        <v>60</v>
      </c>
      <c r="AW106" s="37">
        <v>10</v>
      </c>
      <c r="AX106" s="30">
        <v>2990435.55</v>
      </c>
      <c r="AY106" s="40" t="s">
        <v>402</v>
      </c>
    </row>
    <row r="107" spans="1:51" ht="58.5" customHeight="1" x14ac:dyDescent="0.25">
      <c r="A107" s="44" t="s">
        <v>1213</v>
      </c>
      <c r="B107" s="46">
        <v>45287</v>
      </c>
      <c r="C107" s="40">
        <v>1416</v>
      </c>
      <c r="D107" s="35" t="s">
        <v>1214</v>
      </c>
      <c r="E107" s="39" t="s">
        <v>1215</v>
      </c>
      <c r="F107" s="36">
        <v>45320</v>
      </c>
      <c r="G107" s="37" t="s">
        <v>1216</v>
      </c>
      <c r="H107" s="40" t="s">
        <v>1217</v>
      </c>
      <c r="I107" s="40" t="s">
        <v>1218</v>
      </c>
      <c r="J107" s="54">
        <v>33513232.5</v>
      </c>
      <c r="K107" s="54">
        <v>33513232.5</v>
      </c>
      <c r="L107" s="54">
        <v>0</v>
      </c>
      <c r="M107" s="54">
        <v>0</v>
      </c>
      <c r="N107" s="42">
        <v>0</v>
      </c>
      <c r="O107" s="43">
        <v>0</v>
      </c>
      <c r="P107" s="41">
        <v>33513232.5</v>
      </c>
      <c r="Q107" s="43">
        <v>0</v>
      </c>
      <c r="R107" s="41">
        <v>33513232.5</v>
      </c>
      <c r="S107" s="30">
        <v>33513232.5</v>
      </c>
      <c r="T107" s="30">
        <v>33513232.5</v>
      </c>
      <c r="U107" s="30">
        <v>22.11</v>
      </c>
      <c r="V107" s="41">
        <v>22.11</v>
      </c>
      <c r="W107" s="41" t="e">
        <v>#VALUE!</v>
      </c>
      <c r="X107" s="41">
        <v>1515750</v>
      </c>
      <c r="Y107" s="41">
        <v>1515750</v>
      </c>
      <c r="Z107" s="41">
        <v>0</v>
      </c>
      <c r="AA107" s="41">
        <v>0</v>
      </c>
      <c r="AB107" s="41">
        <v>281500</v>
      </c>
      <c r="AC107" s="41">
        <v>6223965</v>
      </c>
      <c r="AD107" s="41">
        <v>1234250</v>
      </c>
      <c r="AE107" s="41">
        <v>27289267.5</v>
      </c>
      <c r="AF107" s="41" t="e">
        <v>#VALUE!</v>
      </c>
      <c r="AG107" s="41" t="e">
        <v>#VALUE!</v>
      </c>
      <c r="AH107" s="36">
        <v>45352</v>
      </c>
      <c r="AI107" s="36"/>
      <c r="AJ107" s="36"/>
      <c r="AK107" s="36">
        <v>45383</v>
      </c>
      <c r="AL107" s="36"/>
      <c r="AM107" s="46"/>
      <c r="AN107" s="40" t="s">
        <v>1219</v>
      </c>
      <c r="AO107" s="40" t="s">
        <v>1220</v>
      </c>
      <c r="AP107" s="40" t="s">
        <v>1221</v>
      </c>
      <c r="AQ107" s="40" t="s">
        <v>80</v>
      </c>
      <c r="AR107" s="48">
        <v>100</v>
      </c>
      <c r="AS107" s="37">
        <v>0</v>
      </c>
      <c r="AT107" s="37" t="s">
        <v>386</v>
      </c>
      <c r="AU107" s="51" t="s">
        <v>1207</v>
      </c>
      <c r="AV107" s="37" t="s">
        <v>60</v>
      </c>
      <c r="AW107" s="37">
        <v>10</v>
      </c>
      <c r="AX107" s="30">
        <v>3351323.25</v>
      </c>
      <c r="AY107" s="40" t="s">
        <v>402</v>
      </c>
    </row>
    <row r="108" spans="1:51" ht="58.5" customHeight="1" x14ac:dyDescent="0.25">
      <c r="A108" s="44" t="s">
        <v>1222</v>
      </c>
      <c r="B108" s="46">
        <v>45287</v>
      </c>
      <c r="C108" s="40">
        <v>1416</v>
      </c>
      <c r="D108" s="35" t="s">
        <v>1223</v>
      </c>
      <c r="E108" s="39" t="s">
        <v>1224</v>
      </c>
      <c r="F108" s="36">
        <v>45317</v>
      </c>
      <c r="G108" s="37" t="s">
        <v>1225</v>
      </c>
      <c r="H108" s="40" t="s">
        <v>139</v>
      </c>
      <c r="I108" s="40" t="s">
        <v>1226</v>
      </c>
      <c r="J108" s="54">
        <v>7338720.4000000004</v>
      </c>
      <c r="K108" s="54">
        <v>7338720.4000000004</v>
      </c>
      <c r="L108" s="54">
        <v>0</v>
      </c>
      <c r="M108" s="54">
        <v>0</v>
      </c>
      <c r="N108" s="42">
        <v>0</v>
      </c>
      <c r="O108" s="43">
        <v>0</v>
      </c>
      <c r="P108" s="41">
        <v>7338720.4000000004</v>
      </c>
      <c r="Q108" s="43">
        <v>0</v>
      </c>
      <c r="R108" s="41">
        <v>7338720.4000000004</v>
      </c>
      <c r="S108" s="30">
        <v>7338720.4000000004</v>
      </c>
      <c r="T108" s="30">
        <v>7338720.4000000004</v>
      </c>
      <c r="U108" s="30">
        <v>14446.300000000001</v>
      </c>
      <c r="V108" s="41">
        <v>14446.300000000001</v>
      </c>
      <c r="W108" s="41">
        <v>14446.300000000001</v>
      </c>
      <c r="X108" s="41">
        <v>508</v>
      </c>
      <c r="Y108" s="41">
        <v>508</v>
      </c>
      <c r="Z108" s="41">
        <v>0</v>
      </c>
      <c r="AA108" s="41">
        <v>0</v>
      </c>
      <c r="AB108" s="41">
        <v>4</v>
      </c>
      <c r="AC108" s="41">
        <v>57785.200000000004</v>
      </c>
      <c r="AD108" s="41">
        <v>504</v>
      </c>
      <c r="AE108" s="41">
        <v>7280935.2000000002</v>
      </c>
      <c r="AF108" s="41">
        <v>508</v>
      </c>
      <c r="AG108" s="41">
        <v>508</v>
      </c>
      <c r="AH108" s="36">
        <v>45383</v>
      </c>
      <c r="AI108" s="36"/>
      <c r="AJ108" s="36"/>
      <c r="AK108" s="36">
        <v>45413</v>
      </c>
      <c r="AL108" s="36"/>
      <c r="AM108" s="46"/>
      <c r="AN108" s="40" t="s">
        <v>1195</v>
      </c>
      <c r="AO108" s="40" t="s">
        <v>1227</v>
      </c>
      <c r="AP108" s="40" t="s">
        <v>1197</v>
      </c>
      <c r="AQ108" s="40" t="s">
        <v>92</v>
      </c>
      <c r="AR108" s="48">
        <v>0</v>
      </c>
      <c r="AS108" s="37">
        <v>100</v>
      </c>
      <c r="AT108" s="37" t="s">
        <v>386</v>
      </c>
      <c r="AU108" s="47">
        <v>1</v>
      </c>
      <c r="AV108" s="37" t="s">
        <v>60</v>
      </c>
      <c r="AW108" s="37">
        <v>10</v>
      </c>
      <c r="AX108" s="30">
        <v>733872.04</v>
      </c>
      <c r="AY108" s="40" t="s">
        <v>402</v>
      </c>
    </row>
    <row r="109" spans="1:51" ht="58.5" customHeight="1" x14ac:dyDescent="0.25">
      <c r="A109" s="44" t="s">
        <v>1228</v>
      </c>
      <c r="B109" s="46">
        <v>45287</v>
      </c>
      <c r="C109" s="40">
        <v>1416</v>
      </c>
      <c r="D109" s="35" t="s">
        <v>1229</v>
      </c>
      <c r="E109" s="39" t="s">
        <v>1230</v>
      </c>
      <c r="F109" s="36">
        <v>45320</v>
      </c>
      <c r="G109" s="37" t="s">
        <v>1231</v>
      </c>
      <c r="H109" s="40" t="s">
        <v>86</v>
      </c>
      <c r="I109" s="40" t="s">
        <v>1232</v>
      </c>
      <c r="J109" s="54">
        <v>28214993.25</v>
      </c>
      <c r="K109" s="54">
        <v>28214993.25</v>
      </c>
      <c r="L109" s="54">
        <v>0</v>
      </c>
      <c r="M109" s="54">
        <v>0</v>
      </c>
      <c r="N109" s="42">
        <v>0</v>
      </c>
      <c r="O109" s="43">
        <v>0</v>
      </c>
      <c r="P109" s="41">
        <v>28214993.25</v>
      </c>
      <c r="Q109" s="43">
        <v>0</v>
      </c>
      <c r="R109" s="41">
        <v>28214993.25</v>
      </c>
      <c r="S109" s="30">
        <v>28214993.25</v>
      </c>
      <c r="T109" s="30">
        <v>28214993.25</v>
      </c>
      <c r="U109" s="30">
        <v>69666.649999999994</v>
      </c>
      <c r="V109" s="41">
        <v>69666.649999999994</v>
      </c>
      <c r="W109" s="41">
        <v>208999.94999999998</v>
      </c>
      <c r="X109" s="41">
        <v>405</v>
      </c>
      <c r="Y109" s="41">
        <v>405</v>
      </c>
      <c r="Z109" s="41">
        <v>0</v>
      </c>
      <c r="AA109" s="41">
        <v>0</v>
      </c>
      <c r="AB109" s="41">
        <v>0</v>
      </c>
      <c r="AC109" s="41">
        <v>0</v>
      </c>
      <c r="AD109" s="41">
        <v>405</v>
      </c>
      <c r="AE109" s="41">
        <v>28214993.249999996</v>
      </c>
      <c r="AF109" s="41">
        <v>135</v>
      </c>
      <c r="AG109" s="41">
        <v>135</v>
      </c>
      <c r="AH109" s="36">
        <v>45352</v>
      </c>
      <c r="AI109" s="36"/>
      <c r="AJ109" s="36"/>
      <c r="AK109" s="36">
        <v>45383</v>
      </c>
      <c r="AL109" s="36"/>
      <c r="AM109" s="46"/>
      <c r="AN109" s="40" t="s">
        <v>1233</v>
      </c>
      <c r="AO109" s="40" t="s">
        <v>1234</v>
      </c>
      <c r="AP109" s="40" t="s">
        <v>1235</v>
      </c>
      <c r="AQ109" s="40" t="s">
        <v>92</v>
      </c>
      <c r="AR109" s="48">
        <v>0</v>
      </c>
      <c r="AS109" s="37">
        <v>100</v>
      </c>
      <c r="AT109" s="37" t="s">
        <v>386</v>
      </c>
      <c r="AU109" s="47">
        <v>3</v>
      </c>
      <c r="AV109" s="37" t="s">
        <v>60</v>
      </c>
      <c r="AW109" s="37">
        <v>10</v>
      </c>
      <c r="AX109" s="30">
        <v>2821499.3250000002</v>
      </c>
      <c r="AY109" s="40" t="s">
        <v>95</v>
      </c>
    </row>
    <row r="110" spans="1:51" ht="58.5" customHeight="1" x14ac:dyDescent="0.25">
      <c r="A110" s="44" t="s">
        <v>1236</v>
      </c>
      <c r="B110" s="46">
        <v>45287</v>
      </c>
      <c r="C110" s="40">
        <v>1416</v>
      </c>
      <c r="D110" s="35" t="s">
        <v>431</v>
      </c>
      <c r="E110" s="39" t="s">
        <v>1237</v>
      </c>
      <c r="F110" s="36" t="s">
        <v>431</v>
      </c>
      <c r="G110" s="37" t="s">
        <v>431</v>
      </c>
      <c r="H110" s="40" t="s">
        <v>431</v>
      </c>
      <c r="I110" s="40" t="s">
        <v>1238</v>
      </c>
      <c r="J110" s="54">
        <v>5281557.5</v>
      </c>
      <c r="K110" s="54">
        <v>5281557.5</v>
      </c>
      <c r="L110" s="54"/>
      <c r="M110" s="54"/>
      <c r="N110" s="42">
        <v>100</v>
      </c>
      <c r="O110" s="43">
        <v>5281557.5</v>
      </c>
      <c r="P110" s="41"/>
      <c r="Q110" s="43">
        <v>5281557.5</v>
      </c>
      <c r="R110" s="41">
        <v>0</v>
      </c>
      <c r="S110" s="30">
        <v>0</v>
      </c>
      <c r="T110" s="30">
        <v>0</v>
      </c>
      <c r="U110" s="30" t="e">
        <v>#DIV/0!</v>
      </c>
      <c r="V110" s="41" t="e">
        <v>#DIV/0!</v>
      </c>
      <c r="W110" s="41" t="e">
        <v>#DIV/0!</v>
      </c>
      <c r="X110" s="41">
        <v>0</v>
      </c>
      <c r="Y110" s="41">
        <v>0</v>
      </c>
      <c r="Z110" s="41">
        <v>0</v>
      </c>
      <c r="AA110" s="41">
        <v>0</v>
      </c>
      <c r="AB110" s="41"/>
      <c r="AC110" s="41" t="e">
        <v>#DIV/0!</v>
      </c>
      <c r="AD110" s="41"/>
      <c r="AE110" s="41" t="e">
        <v>#DIV/0!</v>
      </c>
      <c r="AF110" s="41" t="e">
        <v>#DIV/0!</v>
      </c>
      <c r="AG110" s="41" t="e">
        <v>#DIV/0!</v>
      </c>
      <c r="AH110" s="36">
        <v>45352</v>
      </c>
      <c r="AI110" s="36"/>
      <c r="AJ110" s="36"/>
      <c r="AK110" s="36"/>
      <c r="AL110" s="36"/>
      <c r="AM110" s="46"/>
      <c r="AN110" s="40"/>
      <c r="AO110" s="40"/>
      <c r="AP110" s="40"/>
      <c r="AQ110" s="40"/>
      <c r="AR110" s="48"/>
      <c r="AS110" s="37"/>
      <c r="AT110" s="37"/>
      <c r="AU110" s="47"/>
      <c r="AV110" s="37"/>
      <c r="AW110" s="37">
        <v>10</v>
      </c>
      <c r="AX110" s="30">
        <v>528155.75</v>
      </c>
      <c r="AY110" s="40" t="s">
        <v>431</v>
      </c>
    </row>
    <row r="111" spans="1:51" ht="58.5" customHeight="1" x14ac:dyDescent="0.25">
      <c r="A111" s="44" t="s">
        <v>1276</v>
      </c>
      <c r="B111" s="46">
        <v>45287</v>
      </c>
      <c r="C111" s="40">
        <v>1416</v>
      </c>
      <c r="D111" s="35" t="s">
        <v>1277</v>
      </c>
      <c r="E111" s="39" t="s">
        <v>1278</v>
      </c>
      <c r="F111" s="36">
        <v>45322</v>
      </c>
      <c r="G111" s="37" t="s">
        <v>1279</v>
      </c>
      <c r="H111" s="40" t="s">
        <v>139</v>
      </c>
      <c r="I111" s="40" t="s">
        <v>870</v>
      </c>
      <c r="J111" s="54">
        <v>51629211.270000003</v>
      </c>
      <c r="K111" s="54">
        <v>51629211.270000003</v>
      </c>
      <c r="L111" s="54">
        <v>0</v>
      </c>
      <c r="M111" s="54">
        <v>0</v>
      </c>
      <c r="N111" s="42">
        <v>0</v>
      </c>
      <c r="O111" s="43">
        <v>0</v>
      </c>
      <c r="P111" s="41">
        <v>51629211.270000003</v>
      </c>
      <c r="Q111" s="43">
        <v>0</v>
      </c>
      <c r="R111" s="54">
        <v>51629211.270000003</v>
      </c>
      <c r="S111" s="30">
        <v>51628919.939999998</v>
      </c>
      <c r="T111" s="30">
        <v>51628919.939999998</v>
      </c>
      <c r="U111" s="30">
        <v>8860.9</v>
      </c>
      <c r="V111" s="41">
        <v>8860.9</v>
      </c>
      <c r="W111" s="41">
        <v>103672.52999999998</v>
      </c>
      <c r="X111" s="41">
        <v>5826.6</v>
      </c>
      <c r="Y111" s="41">
        <v>5826.6</v>
      </c>
      <c r="Z111" s="41">
        <v>0</v>
      </c>
      <c r="AA111" s="41">
        <v>0</v>
      </c>
      <c r="AB111" s="41">
        <v>0</v>
      </c>
      <c r="AC111" s="41">
        <v>0</v>
      </c>
      <c r="AD111" s="41">
        <v>5826.6</v>
      </c>
      <c r="AE111" s="41">
        <v>51628919.939999998</v>
      </c>
      <c r="AF111" s="41">
        <v>498.00000000000006</v>
      </c>
      <c r="AG111" s="41">
        <v>498</v>
      </c>
      <c r="AH111" s="36">
        <v>45412</v>
      </c>
      <c r="AI111" s="36"/>
      <c r="AJ111" s="36"/>
      <c r="AK111" s="36">
        <v>45444</v>
      </c>
      <c r="AL111" s="36"/>
      <c r="AM111" s="46"/>
      <c r="AN111" s="40" t="s">
        <v>1280</v>
      </c>
      <c r="AO111" s="40" t="s">
        <v>1281</v>
      </c>
      <c r="AP111" s="40" t="s">
        <v>1282</v>
      </c>
      <c r="AQ111" s="40" t="s">
        <v>293</v>
      </c>
      <c r="AR111" s="48">
        <v>0</v>
      </c>
      <c r="AS111" s="37">
        <v>100</v>
      </c>
      <c r="AT111" s="37" t="s">
        <v>81</v>
      </c>
      <c r="AU111" s="52">
        <v>11.7</v>
      </c>
      <c r="AV111" s="37" t="s">
        <v>60</v>
      </c>
      <c r="AW111" s="37">
        <v>10</v>
      </c>
      <c r="AX111" s="30">
        <v>5162921.1270000003</v>
      </c>
      <c r="AY111" s="40" t="s">
        <v>402</v>
      </c>
    </row>
    <row r="112" spans="1:51" ht="58.5" customHeight="1" x14ac:dyDescent="0.25">
      <c r="A112" s="44" t="s">
        <v>1283</v>
      </c>
      <c r="B112" s="46">
        <v>45287</v>
      </c>
      <c r="C112" s="40">
        <v>1416</v>
      </c>
      <c r="D112" s="35" t="s">
        <v>1284</v>
      </c>
      <c r="E112" s="39" t="s">
        <v>1285</v>
      </c>
      <c r="F112" s="36">
        <v>45320</v>
      </c>
      <c r="G112" s="37" t="s">
        <v>1286</v>
      </c>
      <c r="H112" s="40" t="s">
        <v>86</v>
      </c>
      <c r="I112" s="40" t="s">
        <v>1287</v>
      </c>
      <c r="J112" s="54">
        <v>785003812.20000005</v>
      </c>
      <c r="K112" s="54">
        <v>785003812.20000005</v>
      </c>
      <c r="L112" s="54">
        <v>0</v>
      </c>
      <c r="M112" s="54">
        <v>0</v>
      </c>
      <c r="N112" s="42">
        <v>0</v>
      </c>
      <c r="O112" s="43">
        <v>0</v>
      </c>
      <c r="P112" s="41">
        <v>785003812.20000005</v>
      </c>
      <c r="Q112" s="43">
        <v>0</v>
      </c>
      <c r="R112" s="41">
        <v>785003812.20000005</v>
      </c>
      <c r="S112" s="30">
        <v>785003812.20000005</v>
      </c>
      <c r="T112" s="30">
        <v>785003812.20000005</v>
      </c>
      <c r="U112" s="30">
        <v>69666.650000000009</v>
      </c>
      <c r="V112" s="41">
        <v>69666.650000000009</v>
      </c>
      <c r="W112" s="41">
        <v>208999.95</v>
      </c>
      <c r="X112" s="41">
        <v>11268</v>
      </c>
      <c r="Y112" s="41">
        <v>11268</v>
      </c>
      <c r="Z112" s="41">
        <v>0</v>
      </c>
      <c r="AA112" s="41">
        <v>0</v>
      </c>
      <c r="AB112" s="41">
        <v>0</v>
      </c>
      <c r="AC112" s="41">
        <v>0</v>
      </c>
      <c r="AD112" s="41">
        <v>11268</v>
      </c>
      <c r="AE112" s="41">
        <v>785003812.20000005</v>
      </c>
      <c r="AF112" s="41">
        <v>3756</v>
      </c>
      <c r="AG112" s="41">
        <v>3756</v>
      </c>
      <c r="AH112" s="36">
        <v>45352</v>
      </c>
      <c r="AI112" s="36"/>
      <c r="AJ112" s="36"/>
      <c r="AK112" s="36">
        <v>45383</v>
      </c>
      <c r="AL112" s="36"/>
      <c r="AM112" s="46"/>
      <c r="AN112" s="40" t="s">
        <v>1233</v>
      </c>
      <c r="AO112" s="40" t="s">
        <v>1288</v>
      </c>
      <c r="AP112" s="40" t="s">
        <v>1289</v>
      </c>
      <c r="AQ112" s="40" t="s">
        <v>80</v>
      </c>
      <c r="AR112" s="48">
        <v>100</v>
      </c>
      <c r="AS112" s="37">
        <v>0</v>
      </c>
      <c r="AT112" s="37" t="s">
        <v>386</v>
      </c>
      <c r="AU112" s="47">
        <v>3</v>
      </c>
      <c r="AV112" s="37" t="s">
        <v>60</v>
      </c>
      <c r="AW112" s="37">
        <v>10</v>
      </c>
      <c r="AX112" s="30">
        <v>78500381.219999999</v>
      </c>
      <c r="AY112" s="40" t="s">
        <v>402</v>
      </c>
    </row>
    <row r="113" spans="1:51" ht="58.5" customHeight="1" x14ac:dyDescent="0.25">
      <c r="A113" s="44" t="s">
        <v>1327</v>
      </c>
      <c r="B113" s="46">
        <v>45288</v>
      </c>
      <c r="C113" s="40">
        <v>1416</v>
      </c>
      <c r="D113" s="35" t="s">
        <v>1328</v>
      </c>
      <c r="E113" s="39" t="s">
        <v>1329</v>
      </c>
      <c r="F113" s="36">
        <v>45320</v>
      </c>
      <c r="G113" s="37" t="s">
        <v>1330</v>
      </c>
      <c r="H113" s="40" t="s">
        <v>224</v>
      </c>
      <c r="I113" s="40" t="s">
        <v>1331</v>
      </c>
      <c r="J113" s="54">
        <v>86594317.5</v>
      </c>
      <c r="K113" s="54">
        <v>86594317.5</v>
      </c>
      <c r="L113" s="54">
        <v>0</v>
      </c>
      <c r="M113" s="54">
        <v>0</v>
      </c>
      <c r="N113" s="42">
        <v>0.50385604113110882</v>
      </c>
      <c r="O113" s="43">
        <v>436310.70000000298</v>
      </c>
      <c r="P113" s="41">
        <v>86158006.799999997</v>
      </c>
      <c r="Q113" s="43">
        <v>436310.70000000298</v>
      </c>
      <c r="R113" s="41">
        <v>86158006.799999997</v>
      </c>
      <c r="S113" s="30">
        <v>86523759.599999994</v>
      </c>
      <c r="T113" s="30">
        <v>86523759.599999994</v>
      </c>
      <c r="U113" s="30">
        <v>96.759999999999991</v>
      </c>
      <c r="V113" s="41">
        <v>96.759999999999991</v>
      </c>
      <c r="W113" s="41">
        <v>2902.7999999999997</v>
      </c>
      <c r="X113" s="41">
        <v>894210</v>
      </c>
      <c r="Y113" s="41">
        <v>894210</v>
      </c>
      <c r="Z113" s="41">
        <v>0</v>
      </c>
      <c r="AA113" s="41">
        <v>0</v>
      </c>
      <c r="AB113" s="41">
        <v>7260</v>
      </c>
      <c r="AC113" s="41">
        <v>702477.6</v>
      </c>
      <c r="AD113" s="41">
        <v>886950</v>
      </c>
      <c r="AE113" s="41">
        <v>85821281.999999985</v>
      </c>
      <c r="AF113" s="41">
        <v>29807</v>
      </c>
      <c r="AG113" s="41">
        <v>29807</v>
      </c>
      <c r="AH113" s="36">
        <v>45366</v>
      </c>
      <c r="AI113" s="36"/>
      <c r="AJ113" s="36"/>
      <c r="AK113" s="36">
        <v>45397</v>
      </c>
      <c r="AL113" s="36"/>
      <c r="AM113" s="46"/>
      <c r="AN113" s="40" t="s">
        <v>1332</v>
      </c>
      <c r="AO113" s="40" t="s">
        <v>1333</v>
      </c>
      <c r="AP113" s="40" t="s">
        <v>1334</v>
      </c>
      <c r="AQ113" s="40" t="s">
        <v>80</v>
      </c>
      <c r="AR113" s="48">
        <v>100</v>
      </c>
      <c r="AS113" s="37">
        <v>0</v>
      </c>
      <c r="AT113" s="37" t="s">
        <v>386</v>
      </c>
      <c r="AU113" s="47">
        <v>30</v>
      </c>
      <c r="AV113" s="37" t="s">
        <v>60</v>
      </c>
      <c r="AW113" s="37">
        <v>10</v>
      </c>
      <c r="AX113" s="30">
        <v>8659431.75</v>
      </c>
      <c r="AY113" s="40" t="s">
        <v>402</v>
      </c>
    </row>
    <row r="114" spans="1:51" ht="58.5" customHeight="1" x14ac:dyDescent="0.25">
      <c r="A114" s="44" t="s">
        <v>1335</v>
      </c>
      <c r="B114" s="46">
        <v>45288</v>
      </c>
      <c r="C114" s="40">
        <v>1416</v>
      </c>
      <c r="D114" s="35" t="s">
        <v>1336</v>
      </c>
      <c r="E114" s="39" t="s">
        <v>1337</v>
      </c>
      <c r="F114" s="36">
        <v>45320</v>
      </c>
      <c r="G114" s="37" t="s">
        <v>1338</v>
      </c>
      <c r="H114" s="40" t="s">
        <v>224</v>
      </c>
      <c r="I114" s="40" t="s">
        <v>1339</v>
      </c>
      <c r="J114" s="54">
        <v>240339922.80000001</v>
      </c>
      <c r="K114" s="54">
        <v>240339922.80000001</v>
      </c>
      <c r="L114" s="54">
        <v>0</v>
      </c>
      <c r="M114" s="54">
        <v>0</v>
      </c>
      <c r="N114" s="42">
        <v>0</v>
      </c>
      <c r="O114" s="43">
        <v>0</v>
      </c>
      <c r="P114" s="41">
        <v>240339922.80000001</v>
      </c>
      <c r="Q114" s="43">
        <v>0</v>
      </c>
      <c r="R114" s="41">
        <v>240339922.80000001</v>
      </c>
      <c r="S114" s="30">
        <v>240339922.80000001</v>
      </c>
      <c r="T114" s="30">
        <v>240339922.80000001</v>
      </c>
      <c r="U114" s="30">
        <v>60.78</v>
      </c>
      <c r="V114" s="41">
        <v>60.78</v>
      </c>
      <c r="W114" s="41">
        <v>7293.6</v>
      </c>
      <c r="X114" s="41">
        <v>3954260</v>
      </c>
      <c r="Y114" s="41">
        <v>3954260</v>
      </c>
      <c r="Z114" s="41">
        <v>0</v>
      </c>
      <c r="AA114" s="41">
        <v>0</v>
      </c>
      <c r="AB114" s="41">
        <v>147570</v>
      </c>
      <c r="AC114" s="41">
        <v>8969304.5999999996</v>
      </c>
      <c r="AD114" s="41">
        <v>3806690</v>
      </c>
      <c r="AE114" s="41">
        <v>231370618.20000002</v>
      </c>
      <c r="AF114" s="41">
        <v>32952.166666666664</v>
      </c>
      <c r="AG114" s="41">
        <v>32953</v>
      </c>
      <c r="AH114" s="36">
        <v>45352</v>
      </c>
      <c r="AI114" s="36"/>
      <c r="AJ114" s="36"/>
      <c r="AK114" s="36">
        <v>45383</v>
      </c>
      <c r="AL114" s="36"/>
      <c r="AM114" s="46"/>
      <c r="AN114" s="40" t="s">
        <v>1340</v>
      </c>
      <c r="AO114" s="40" t="s">
        <v>1341</v>
      </c>
      <c r="AP114" s="40" t="s">
        <v>1342</v>
      </c>
      <c r="AQ114" s="40" t="s">
        <v>80</v>
      </c>
      <c r="AR114" s="48">
        <v>100</v>
      </c>
      <c r="AS114" s="37">
        <v>0</v>
      </c>
      <c r="AT114" s="37" t="s">
        <v>386</v>
      </c>
      <c r="AU114" s="47">
        <v>120</v>
      </c>
      <c r="AV114" s="37" t="s">
        <v>60</v>
      </c>
      <c r="AW114" s="37">
        <v>10</v>
      </c>
      <c r="AX114" s="30">
        <v>24033992.280000001</v>
      </c>
      <c r="AY114" s="40" t="s">
        <v>402</v>
      </c>
    </row>
    <row r="115" spans="1:51" ht="58.5" customHeight="1" x14ac:dyDescent="0.25">
      <c r="A115" s="44" t="s">
        <v>1343</v>
      </c>
      <c r="B115" s="46">
        <v>45288</v>
      </c>
      <c r="C115" s="40">
        <v>1416</v>
      </c>
      <c r="D115" s="35" t="s">
        <v>431</v>
      </c>
      <c r="E115" s="39" t="s">
        <v>1344</v>
      </c>
      <c r="F115" s="36" t="s">
        <v>431</v>
      </c>
      <c r="G115" s="37" t="s">
        <v>431</v>
      </c>
      <c r="H115" s="40" t="s">
        <v>431</v>
      </c>
      <c r="I115" s="40" t="s">
        <v>1345</v>
      </c>
      <c r="J115" s="54">
        <v>148558611.59999999</v>
      </c>
      <c r="K115" s="54">
        <v>148558611.59999999</v>
      </c>
      <c r="L115" s="54">
        <v>0</v>
      </c>
      <c r="M115" s="54">
        <v>0</v>
      </c>
      <c r="N115" s="42">
        <v>100</v>
      </c>
      <c r="O115" s="43">
        <v>148558611.59999999</v>
      </c>
      <c r="P115" s="41"/>
      <c r="Q115" s="43">
        <v>148558611.59999999</v>
      </c>
      <c r="R115" s="41">
        <v>0</v>
      </c>
      <c r="S115" s="30">
        <v>0</v>
      </c>
      <c r="T115" s="30">
        <v>0</v>
      </c>
      <c r="U115" s="30" t="e">
        <v>#DIV/0!</v>
      </c>
      <c r="V115" s="41" t="e">
        <v>#DIV/0!</v>
      </c>
      <c r="W115" s="41" t="e">
        <v>#DIV/0!</v>
      </c>
      <c r="X115" s="41">
        <v>0</v>
      </c>
      <c r="Y115" s="41">
        <v>0</v>
      </c>
      <c r="Z115" s="41">
        <v>0</v>
      </c>
      <c r="AA115" s="41">
        <v>0</v>
      </c>
      <c r="AB115" s="41"/>
      <c r="AC115" s="41" t="e">
        <v>#DIV/0!</v>
      </c>
      <c r="AD115" s="41"/>
      <c r="AE115" s="41" t="e">
        <v>#DIV/0!</v>
      </c>
      <c r="AF115" s="41" t="e">
        <v>#DIV/0!</v>
      </c>
      <c r="AG115" s="41" t="e">
        <v>#DIV/0!</v>
      </c>
      <c r="AH115" s="36">
        <v>45381</v>
      </c>
      <c r="AI115" s="36"/>
      <c r="AJ115" s="36"/>
      <c r="AK115" s="36"/>
      <c r="AL115" s="36"/>
      <c r="AM115" s="46"/>
      <c r="AN115" s="40"/>
      <c r="AO115" s="40"/>
      <c r="AP115" s="40"/>
      <c r="AQ115" s="40"/>
      <c r="AR115" s="48"/>
      <c r="AS115" s="37"/>
      <c r="AT115" s="37"/>
      <c r="AU115" s="47"/>
      <c r="AV115" s="37"/>
      <c r="AW115" s="37">
        <v>10</v>
      </c>
      <c r="AX115" s="30">
        <v>14855861.16</v>
      </c>
      <c r="AY115" s="40" t="s">
        <v>431</v>
      </c>
    </row>
    <row r="116" spans="1:51" ht="58.5" customHeight="1" x14ac:dyDescent="0.25">
      <c r="A116" s="44" t="s">
        <v>1346</v>
      </c>
      <c r="B116" s="46">
        <v>45288</v>
      </c>
      <c r="C116" s="40">
        <v>1416</v>
      </c>
      <c r="D116" s="35" t="s">
        <v>1347</v>
      </c>
      <c r="E116" s="39" t="s">
        <v>1348</v>
      </c>
      <c r="F116" s="36">
        <v>45320</v>
      </c>
      <c r="G116" s="37" t="s">
        <v>1349</v>
      </c>
      <c r="H116" s="40" t="s">
        <v>224</v>
      </c>
      <c r="I116" s="40" t="s">
        <v>1350</v>
      </c>
      <c r="J116" s="54">
        <v>32108724.600000001</v>
      </c>
      <c r="K116" s="54">
        <v>32108724.600000001</v>
      </c>
      <c r="L116" s="54">
        <v>0</v>
      </c>
      <c r="M116" s="54">
        <v>0</v>
      </c>
      <c r="N116" s="42">
        <v>0</v>
      </c>
      <c r="O116" s="43">
        <v>0</v>
      </c>
      <c r="P116" s="41">
        <v>32108724.600000001</v>
      </c>
      <c r="Q116" s="43">
        <v>0</v>
      </c>
      <c r="R116" s="41">
        <v>32108724.600000001</v>
      </c>
      <c r="S116" s="30">
        <v>32108724.600000001</v>
      </c>
      <c r="T116" s="30">
        <v>32108724.600000001</v>
      </c>
      <c r="U116" s="30">
        <v>24.27</v>
      </c>
      <c r="V116" s="41">
        <v>24.27</v>
      </c>
      <c r="W116" s="41" t="e">
        <v>#VALUE!</v>
      </c>
      <c r="X116" s="41">
        <v>1322980</v>
      </c>
      <c r="Y116" s="41">
        <v>1322980</v>
      </c>
      <c r="Z116" s="41">
        <v>0</v>
      </c>
      <c r="AA116" s="41">
        <v>0</v>
      </c>
      <c r="AB116" s="41">
        <v>273450</v>
      </c>
      <c r="AC116" s="41">
        <v>6636631.5</v>
      </c>
      <c r="AD116" s="41">
        <v>1049530</v>
      </c>
      <c r="AE116" s="41">
        <v>25472093.099999998</v>
      </c>
      <c r="AF116" s="41" t="e">
        <v>#VALUE!</v>
      </c>
      <c r="AG116" s="41" t="e">
        <v>#VALUE!</v>
      </c>
      <c r="AH116" s="36">
        <v>45352</v>
      </c>
      <c r="AI116" s="36"/>
      <c r="AJ116" s="36"/>
      <c r="AK116" s="36">
        <v>45383</v>
      </c>
      <c r="AL116" s="36"/>
      <c r="AM116" s="46"/>
      <c r="AN116" s="40" t="s">
        <v>1340</v>
      </c>
      <c r="AO116" s="40" t="s">
        <v>1351</v>
      </c>
      <c r="AP116" s="40" t="s">
        <v>1352</v>
      </c>
      <c r="AQ116" s="40" t="s">
        <v>80</v>
      </c>
      <c r="AR116" s="48">
        <v>100</v>
      </c>
      <c r="AS116" s="37">
        <v>0</v>
      </c>
      <c r="AT116" s="37" t="s">
        <v>386</v>
      </c>
      <c r="AU116" s="51" t="s">
        <v>1353</v>
      </c>
      <c r="AV116" s="37" t="s">
        <v>60</v>
      </c>
      <c r="AW116" s="37">
        <v>10</v>
      </c>
      <c r="AX116" s="30">
        <v>3210872.46</v>
      </c>
      <c r="AY116" s="40" t="s">
        <v>402</v>
      </c>
    </row>
    <row r="117" spans="1:51" ht="58.5" customHeight="1" x14ac:dyDescent="0.25">
      <c r="A117" s="44" t="s">
        <v>1370</v>
      </c>
      <c r="B117" s="46">
        <v>45288</v>
      </c>
      <c r="C117" s="40">
        <v>1416</v>
      </c>
      <c r="D117" s="35" t="s">
        <v>1371</v>
      </c>
      <c r="E117" s="39" t="s">
        <v>1372</v>
      </c>
      <c r="F117" s="36">
        <v>45320</v>
      </c>
      <c r="G117" s="37" t="s">
        <v>1373</v>
      </c>
      <c r="H117" s="40" t="s">
        <v>224</v>
      </c>
      <c r="I117" s="40" t="s">
        <v>1374</v>
      </c>
      <c r="J117" s="54">
        <v>37288365</v>
      </c>
      <c r="K117" s="54">
        <v>37288365</v>
      </c>
      <c r="L117" s="54">
        <v>0</v>
      </c>
      <c r="M117" s="54">
        <v>0</v>
      </c>
      <c r="N117" s="42">
        <v>0.53859964093357271</v>
      </c>
      <c r="O117" s="43">
        <v>200835</v>
      </c>
      <c r="P117" s="41">
        <v>37087530</v>
      </c>
      <c r="Q117" s="43">
        <v>200835</v>
      </c>
      <c r="R117" s="41">
        <v>37087530</v>
      </c>
      <c r="S117" s="30">
        <v>37346469.600000001</v>
      </c>
      <c r="T117" s="30">
        <v>37346469.600000001</v>
      </c>
      <c r="U117" s="30">
        <v>11.08</v>
      </c>
      <c r="V117" s="41">
        <v>11.08</v>
      </c>
      <c r="W117" s="41">
        <v>332.4</v>
      </c>
      <c r="X117" s="41">
        <v>3370620</v>
      </c>
      <c r="Y117" s="41">
        <v>721170</v>
      </c>
      <c r="Z117" s="41">
        <v>2649450</v>
      </c>
      <c r="AA117" s="41">
        <v>0</v>
      </c>
      <c r="AB117" s="41">
        <v>47070</v>
      </c>
      <c r="AC117" s="41">
        <v>521535.6</v>
      </c>
      <c r="AD117" s="41">
        <v>3323550</v>
      </c>
      <c r="AE117" s="41">
        <v>36824934</v>
      </c>
      <c r="AF117" s="41">
        <v>112354</v>
      </c>
      <c r="AG117" s="41">
        <v>112354</v>
      </c>
      <c r="AH117" s="36">
        <v>45323</v>
      </c>
      <c r="AI117" s="36">
        <v>45383</v>
      </c>
      <c r="AJ117" s="36"/>
      <c r="AK117" s="36">
        <v>45352</v>
      </c>
      <c r="AL117" s="36">
        <v>45413</v>
      </c>
      <c r="AM117" s="46"/>
      <c r="AN117" s="40" t="s">
        <v>1375</v>
      </c>
      <c r="AO117" s="40" t="s">
        <v>1376</v>
      </c>
      <c r="AP117" s="40" t="s">
        <v>1334</v>
      </c>
      <c r="AQ117" s="40" t="s">
        <v>80</v>
      </c>
      <c r="AR117" s="48">
        <v>100</v>
      </c>
      <c r="AS117" s="37">
        <v>0</v>
      </c>
      <c r="AT117" s="37" t="s">
        <v>386</v>
      </c>
      <c r="AU117" s="47">
        <v>30</v>
      </c>
      <c r="AV117" s="37" t="s">
        <v>60</v>
      </c>
      <c r="AW117" s="37">
        <v>10</v>
      </c>
      <c r="AX117" s="30">
        <v>3728836.5</v>
      </c>
      <c r="AY117" s="40" t="s">
        <v>402</v>
      </c>
    </row>
    <row r="118" spans="1:51" ht="58.5" customHeight="1" x14ac:dyDescent="0.25">
      <c r="A118" s="44" t="s">
        <v>1377</v>
      </c>
      <c r="B118" s="46">
        <v>45288</v>
      </c>
      <c r="C118" s="40">
        <v>1416</v>
      </c>
      <c r="D118" s="35" t="s">
        <v>1378</v>
      </c>
      <c r="E118" s="39" t="s">
        <v>1379</v>
      </c>
      <c r="F118" s="36">
        <v>45324</v>
      </c>
      <c r="G118" s="37" t="s">
        <v>1380</v>
      </c>
      <c r="H118" s="40" t="s">
        <v>224</v>
      </c>
      <c r="I118" s="40" t="s">
        <v>1381</v>
      </c>
      <c r="J118" s="54">
        <v>749995.2</v>
      </c>
      <c r="K118" s="54">
        <v>749995.2</v>
      </c>
      <c r="L118" s="54">
        <v>0</v>
      </c>
      <c r="M118" s="54">
        <v>0</v>
      </c>
      <c r="N118" s="42">
        <v>0.50004320027647253</v>
      </c>
      <c r="O118" s="43">
        <v>3750.2999999999302</v>
      </c>
      <c r="P118" s="41">
        <v>746244.9</v>
      </c>
      <c r="Q118" s="43">
        <v>3750.2999999999302</v>
      </c>
      <c r="R118" s="41">
        <v>746244.9</v>
      </c>
      <c r="S118" s="30">
        <v>746244.9</v>
      </c>
      <c r="T118" s="30">
        <v>746244.9</v>
      </c>
      <c r="U118" s="30">
        <v>921.29000000000008</v>
      </c>
      <c r="V118" s="41">
        <v>921.29000000000008</v>
      </c>
      <c r="W118" s="41">
        <v>46064.500000000007</v>
      </c>
      <c r="X118" s="41">
        <v>810</v>
      </c>
      <c r="Y118" s="41">
        <v>810</v>
      </c>
      <c r="Z118" s="41">
        <v>0</v>
      </c>
      <c r="AA118" s="41">
        <v>0</v>
      </c>
      <c r="AB118" s="41">
        <v>0</v>
      </c>
      <c r="AC118" s="41">
        <v>0</v>
      </c>
      <c r="AD118" s="41">
        <v>810</v>
      </c>
      <c r="AE118" s="41">
        <v>746244.9</v>
      </c>
      <c r="AF118" s="41">
        <v>16.2</v>
      </c>
      <c r="AG118" s="41">
        <v>17</v>
      </c>
      <c r="AH118" s="36">
        <v>45352</v>
      </c>
      <c r="AI118" s="36"/>
      <c r="AJ118" s="36"/>
      <c r="AK118" s="36">
        <v>45383</v>
      </c>
      <c r="AL118" s="36"/>
      <c r="AM118" s="46"/>
      <c r="AN118" s="40" t="s">
        <v>1382</v>
      </c>
      <c r="AO118" s="40" t="s">
        <v>1383</v>
      </c>
      <c r="AP118" s="40" t="s">
        <v>1384</v>
      </c>
      <c r="AQ118" s="40" t="s">
        <v>80</v>
      </c>
      <c r="AR118" s="48">
        <v>100</v>
      </c>
      <c r="AS118" s="37">
        <v>0</v>
      </c>
      <c r="AT118" s="37" t="s">
        <v>81</v>
      </c>
      <c r="AU118" s="47">
        <v>50</v>
      </c>
      <c r="AV118" s="37" t="s">
        <v>219</v>
      </c>
      <c r="AW118" s="37">
        <v>10</v>
      </c>
      <c r="AX118" s="30">
        <v>74999.520000000004</v>
      </c>
      <c r="AY118" s="40" t="s">
        <v>402</v>
      </c>
    </row>
    <row r="119" spans="1:51" ht="58.5" customHeight="1" x14ac:dyDescent="0.25">
      <c r="A119" s="44" t="s">
        <v>1385</v>
      </c>
      <c r="B119" s="46">
        <v>45289</v>
      </c>
      <c r="C119" s="40">
        <v>1416</v>
      </c>
      <c r="D119" s="35" t="s">
        <v>1386</v>
      </c>
      <c r="E119" s="39" t="s">
        <v>1387</v>
      </c>
      <c r="F119" s="36">
        <v>45327</v>
      </c>
      <c r="G119" s="37" t="s">
        <v>1388</v>
      </c>
      <c r="H119" s="40" t="s">
        <v>307</v>
      </c>
      <c r="I119" s="40" t="s">
        <v>1389</v>
      </c>
      <c r="J119" s="54">
        <v>695313219.03999996</v>
      </c>
      <c r="K119" s="54">
        <v>695313219.03999996</v>
      </c>
      <c r="L119" s="54">
        <v>0</v>
      </c>
      <c r="M119" s="54">
        <v>0</v>
      </c>
      <c r="N119" s="42">
        <v>0</v>
      </c>
      <c r="O119" s="43">
        <v>0</v>
      </c>
      <c r="P119" s="41">
        <v>695313219.03999996</v>
      </c>
      <c r="Q119" s="43">
        <v>0</v>
      </c>
      <c r="R119" s="41">
        <v>695313219.03999996</v>
      </c>
      <c r="S119" s="30">
        <v>695313219.03999996</v>
      </c>
      <c r="T119" s="30">
        <v>695313219.03999996</v>
      </c>
      <c r="U119" s="30">
        <v>1212.97</v>
      </c>
      <c r="V119" s="41">
        <v>1212.97</v>
      </c>
      <c r="W119" s="41" t="e">
        <v>#VALUE!</v>
      </c>
      <c r="X119" s="41">
        <v>573232</v>
      </c>
      <c r="Y119" s="41">
        <v>573232</v>
      </c>
      <c r="Z119" s="41">
        <v>0</v>
      </c>
      <c r="AA119" s="41">
        <v>0</v>
      </c>
      <c r="AB119" s="41">
        <v>3920</v>
      </c>
      <c r="AC119" s="41">
        <v>4754842.4000000004</v>
      </c>
      <c r="AD119" s="41">
        <v>569312</v>
      </c>
      <c r="AE119" s="41">
        <v>690558376.63999999</v>
      </c>
      <c r="AF119" s="41" t="e">
        <v>#VALUE!</v>
      </c>
      <c r="AG119" s="41" t="e">
        <v>#VALUE!</v>
      </c>
      <c r="AH119" s="36">
        <v>45383</v>
      </c>
      <c r="AI119" s="36"/>
      <c r="AJ119" s="36"/>
      <c r="AK119" s="36">
        <v>45413</v>
      </c>
      <c r="AL119" s="36"/>
      <c r="AM119" s="46"/>
      <c r="AN119" s="40" t="s">
        <v>1390</v>
      </c>
      <c r="AO119" s="40" t="s">
        <v>1391</v>
      </c>
      <c r="AP119" s="40" t="s">
        <v>1392</v>
      </c>
      <c r="AQ119" s="40" t="s">
        <v>80</v>
      </c>
      <c r="AR119" s="48">
        <v>100</v>
      </c>
      <c r="AS119" s="37">
        <v>0</v>
      </c>
      <c r="AT119" s="37" t="s">
        <v>386</v>
      </c>
      <c r="AU119" s="51" t="s">
        <v>1393</v>
      </c>
      <c r="AV119" s="37" t="s">
        <v>60</v>
      </c>
      <c r="AW119" s="37">
        <v>10</v>
      </c>
      <c r="AX119" s="30">
        <v>69531321.903999999</v>
      </c>
      <c r="AY119" s="40" t="s">
        <v>402</v>
      </c>
    </row>
    <row r="120" spans="1:51" ht="58.5" customHeight="1" x14ac:dyDescent="0.25">
      <c r="A120" s="44" t="s">
        <v>1394</v>
      </c>
      <c r="B120" s="46">
        <v>45289</v>
      </c>
      <c r="C120" s="40">
        <v>1416</v>
      </c>
      <c r="D120" s="35" t="s">
        <v>1395</v>
      </c>
      <c r="E120" s="39" t="s">
        <v>1396</v>
      </c>
      <c r="F120" s="36">
        <v>45320</v>
      </c>
      <c r="G120" s="37" t="s">
        <v>1397</v>
      </c>
      <c r="H120" s="40" t="s">
        <v>53</v>
      </c>
      <c r="I120" s="40" t="s">
        <v>1398</v>
      </c>
      <c r="J120" s="54">
        <v>3614799</v>
      </c>
      <c r="K120" s="54">
        <v>3614799</v>
      </c>
      <c r="L120" s="54">
        <v>0</v>
      </c>
      <c r="M120" s="54">
        <v>0</v>
      </c>
      <c r="N120" s="42">
        <v>0</v>
      </c>
      <c r="O120" s="43">
        <v>0</v>
      </c>
      <c r="P120" s="41">
        <v>3614799</v>
      </c>
      <c r="Q120" s="43">
        <v>0</v>
      </c>
      <c r="R120" s="41">
        <v>3614799</v>
      </c>
      <c r="S120" s="30">
        <v>3614799</v>
      </c>
      <c r="T120" s="30">
        <v>3614799</v>
      </c>
      <c r="U120" s="30">
        <v>197.53</v>
      </c>
      <c r="V120" s="41">
        <v>197.53</v>
      </c>
      <c r="W120" s="41">
        <v>19753</v>
      </c>
      <c r="X120" s="41">
        <v>18300</v>
      </c>
      <c r="Y120" s="41">
        <v>18300</v>
      </c>
      <c r="Z120" s="41">
        <v>0</v>
      </c>
      <c r="AA120" s="41">
        <v>0</v>
      </c>
      <c r="AB120" s="41">
        <v>14700</v>
      </c>
      <c r="AC120" s="41">
        <v>2903691</v>
      </c>
      <c r="AD120" s="41">
        <v>3600</v>
      </c>
      <c r="AE120" s="41">
        <v>711108</v>
      </c>
      <c r="AF120" s="41">
        <v>183</v>
      </c>
      <c r="AG120" s="41">
        <v>183</v>
      </c>
      <c r="AH120" s="36">
        <v>45352</v>
      </c>
      <c r="AI120" s="36"/>
      <c r="AJ120" s="36"/>
      <c r="AK120" s="36">
        <v>45383</v>
      </c>
      <c r="AL120" s="36"/>
      <c r="AM120" s="46"/>
      <c r="AN120" s="40" t="s">
        <v>1399</v>
      </c>
      <c r="AO120" s="40" t="s">
        <v>1400</v>
      </c>
      <c r="AP120" s="40" t="s">
        <v>1401</v>
      </c>
      <c r="AQ120" s="40" t="s">
        <v>1402</v>
      </c>
      <c r="AR120" s="48">
        <v>0</v>
      </c>
      <c r="AS120" s="37">
        <v>100</v>
      </c>
      <c r="AT120" s="37" t="s">
        <v>324</v>
      </c>
      <c r="AU120" s="47">
        <v>100</v>
      </c>
      <c r="AV120" s="37" t="s">
        <v>60</v>
      </c>
      <c r="AW120" s="37">
        <v>10</v>
      </c>
      <c r="AX120" s="30">
        <v>361479.9</v>
      </c>
      <c r="AY120" s="40" t="s">
        <v>402</v>
      </c>
    </row>
    <row r="121" spans="1:51" ht="58.5" customHeight="1" x14ac:dyDescent="0.25">
      <c r="A121" s="44" t="s">
        <v>1403</v>
      </c>
      <c r="B121" s="46">
        <v>45289</v>
      </c>
      <c r="C121" s="40">
        <v>1416</v>
      </c>
      <c r="D121" s="35" t="s">
        <v>1404</v>
      </c>
      <c r="E121" s="39" t="s">
        <v>1405</v>
      </c>
      <c r="F121" s="36">
        <v>45322</v>
      </c>
      <c r="G121" s="37" t="s">
        <v>1406</v>
      </c>
      <c r="H121" s="40" t="s">
        <v>1185</v>
      </c>
      <c r="I121" s="40" t="s">
        <v>1407</v>
      </c>
      <c r="J121" s="54">
        <v>87974803.200000003</v>
      </c>
      <c r="K121" s="54">
        <v>87974803.200000003</v>
      </c>
      <c r="L121" s="54">
        <v>0</v>
      </c>
      <c r="M121" s="54">
        <v>0</v>
      </c>
      <c r="N121" s="42">
        <v>2.0000000181870234</v>
      </c>
      <c r="O121" s="43">
        <v>1759496.0799999982</v>
      </c>
      <c r="P121" s="41">
        <v>86215307.120000005</v>
      </c>
      <c r="Q121" s="43">
        <v>17960472</v>
      </c>
      <c r="R121" s="41">
        <v>70014331.200000003</v>
      </c>
      <c r="S121" s="30">
        <v>70014331.200000003</v>
      </c>
      <c r="T121" s="30">
        <v>70014331.200000003</v>
      </c>
      <c r="U121" s="30">
        <v>88.88000000000001</v>
      </c>
      <c r="V121" s="41">
        <v>88.88000000000001</v>
      </c>
      <c r="W121" s="41">
        <v>5332.8</v>
      </c>
      <c r="X121" s="41">
        <v>787740</v>
      </c>
      <c r="Y121" s="41">
        <v>383880</v>
      </c>
      <c r="Z121" s="41">
        <v>403860</v>
      </c>
      <c r="AA121" s="41">
        <v>0</v>
      </c>
      <c r="AB121" s="41">
        <v>80460</v>
      </c>
      <c r="AC121" s="41">
        <v>7151284.8000000007</v>
      </c>
      <c r="AD121" s="41">
        <v>707280</v>
      </c>
      <c r="AE121" s="41">
        <v>62863046.400000006</v>
      </c>
      <c r="AF121" s="41">
        <v>13129</v>
      </c>
      <c r="AG121" s="41">
        <v>13129</v>
      </c>
      <c r="AH121" s="36">
        <v>45352</v>
      </c>
      <c r="AI121" s="36">
        <v>45474</v>
      </c>
      <c r="AJ121" s="36"/>
      <c r="AK121" s="36">
        <v>45383</v>
      </c>
      <c r="AL121" s="36">
        <v>45505</v>
      </c>
      <c r="AM121" s="46"/>
      <c r="AN121" s="40" t="s">
        <v>1187</v>
      </c>
      <c r="AO121" s="40" t="s">
        <v>1408</v>
      </c>
      <c r="AP121" s="40" t="s">
        <v>1189</v>
      </c>
      <c r="AQ121" s="40" t="s">
        <v>80</v>
      </c>
      <c r="AR121" s="48">
        <v>100</v>
      </c>
      <c r="AS121" s="37">
        <v>0</v>
      </c>
      <c r="AT121" s="37" t="s">
        <v>386</v>
      </c>
      <c r="AU121" s="47">
        <v>60</v>
      </c>
      <c r="AV121" s="37" t="s">
        <v>60</v>
      </c>
      <c r="AW121" s="37">
        <v>10</v>
      </c>
      <c r="AX121" s="30">
        <v>8797480.3200000003</v>
      </c>
      <c r="AY121" s="40" t="s">
        <v>402</v>
      </c>
    </row>
    <row r="122" spans="1:51" ht="58.5" customHeight="1" x14ac:dyDescent="0.25">
      <c r="A122" s="44" t="s">
        <v>1409</v>
      </c>
      <c r="B122" s="46">
        <v>45289</v>
      </c>
      <c r="C122" s="40">
        <v>1416</v>
      </c>
      <c r="D122" s="35" t="s">
        <v>1410</v>
      </c>
      <c r="E122" s="39" t="s">
        <v>1411</v>
      </c>
      <c r="F122" s="36">
        <v>45320</v>
      </c>
      <c r="G122" s="37" t="s">
        <v>1412</v>
      </c>
      <c r="H122" s="40" t="s">
        <v>53</v>
      </c>
      <c r="I122" s="40" t="s">
        <v>1413</v>
      </c>
      <c r="J122" s="54">
        <v>165786.4</v>
      </c>
      <c r="K122" s="54">
        <v>165786.4</v>
      </c>
      <c r="L122" s="54">
        <v>0</v>
      </c>
      <c r="M122" s="54">
        <v>0</v>
      </c>
      <c r="N122" s="42">
        <v>0</v>
      </c>
      <c r="O122" s="43">
        <v>0</v>
      </c>
      <c r="P122" s="41">
        <v>165786.4</v>
      </c>
      <c r="Q122" s="43">
        <v>0</v>
      </c>
      <c r="R122" s="41">
        <v>165786.4</v>
      </c>
      <c r="S122" s="30">
        <v>165786.4</v>
      </c>
      <c r="T122" s="30">
        <v>165786.4</v>
      </c>
      <c r="U122" s="30">
        <v>218.14</v>
      </c>
      <c r="V122" s="41">
        <v>218.14</v>
      </c>
      <c r="W122" s="41">
        <v>8725.5999999999985</v>
      </c>
      <c r="X122" s="41">
        <v>760</v>
      </c>
      <c r="Y122" s="41">
        <v>760</v>
      </c>
      <c r="Z122" s="41">
        <v>0</v>
      </c>
      <c r="AA122" s="41">
        <v>0</v>
      </c>
      <c r="AB122" s="41">
        <v>760</v>
      </c>
      <c r="AC122" s="41">
        <v>165786.4</v>
      </c>
      <c r="AD122" s="41">
        <v>0</v>
      </c>
      <c r="AE122" s="41">
        <v>0</v>
      </c>
      <c r="AF122" s="41">
        <v>19</v>
      </c>
      <c r="AG122" s="41">
        <v>19</v>
      </c>
      <c r="AH122" s="36">
        <v>45352</v>
      </c>
      <c r="AI122" s="36"/>
      <c r="AJ122" s="36"/>
      <c r="AK122" s="36">
        <v>45383</v>
      </c>
      <c r="AL122" s="36"/>
      <c r="AM122" s="46"/>
      <c r="AN122" s="40" t="s">
        <v>187</v>
      </c>
      <c r="AO122" s="40" t="s">
        <v>1414</v>
      </c>
      <c r="AP122" s="40" t="s">
        <v>1415</v>
      </c>
      <c r="AQ122" s="40" t="s">
        <v>1402</v>
      </c>
      <c r="AR122" s="48">
        <v>0</v>
      </c>
      <c r="AS122" s="37">
        <v>100</v>
      </c>
      <c r="AT122" s="37" t="s">
        <v>324</v>
      </c>
      <c r="AU122" s="47">
        <v>40</v>
      </c>
      <c r="AV122" s="37" t="s">
        <v>219</v>
      </c>
      <c r="AW122" s="37">
        <v>10</v>
      </c>
      <c r="AX122" s="30">
        <v>16578.64</v>
      </c>
      <c r="AY122" s="40" t="s">
        <v>402</v>
      </c>
    </row>
    <row r="123" spans="1:51" ht="58.5" customHeight="1" x14ac:dyDescent="0.25">
      <c r="A123" s="44" t="s">
        <v>1416</v>
      </c>
      <c r="B123" s="46">
        <v>45289</v>
      </c>
      <c r="C123" s="40">
        <v>1416</v>
      </c>
      <c r="D123" s="35" t="s">
        <v>1417</v>
      </c>
      <c r="E123" s="39" t="s">
        <v>1418</v>
      </c>
      <c r="F123" s="36">
        <v>45322</v>
      </c>
      <c r="G123" s="37" t="s">
        <v>1419</v>
      </c>
      <c r="H123" s="40" t="s">
        <v>224</v>
      </c>
      <c r="I123" s="40" t="s">
        <v>1420</v>
      </c>
      <c r="J123" s="54">
        <v>17068912</v>
      </c>
      <c r="K123" s="54">
        <v>17068912</v>
      </c>
      <c r="L123" s="54">
        <v>0</v>
      </c>
      <c r="M123" s="54">
        <v>0</v>
      </c>
      <c r="N123" s="42">
        <v>0.50590219224283306</v>
      </c>
      <c r="O123" s="43">
        <v>86352</v>
      </c>
      <c r="P123" s="41">
        <v>16982560</v>
      </c>
      <c r="Q123" s="43">
        <v>86352</v>
      </c>
      <c r="R123" s="41">
        <v>16982560</v>
      </c>
      <c r="S123" s="30">
        <v>16982560</v>
      </c>
      <c r="T123" s="30">
        <v>16982560</v>
      </c>
      <c r="U123" s="30">
        <v>11.8</v>
      </c>
      <c r="V123" s="41">
        <v>11.8</v>
      </c>
      <c r="W123" s="41">
        <v>1180</v>
      </c>
      <c r="X123" s="41">
        <v>1439200</v>
      </c>
      <c r="Y123" s="41">
        <v>1439200</v>
      </c>
      <c r="Z123" s="41">
        <v>0</v>
      </c>
      <c r="AA123" s="41">
        <v>0</v>
      </c>
      <c r="AB123" s="41">
        <v>142900</v>
      </c>
      <c r="AC123" s="41">
        <v>1686220</v>
      </c>
      <c r="AD123" s="41">
        <v>1296300</v>
      </c>
      <c r="AE123" s="41">
        <v>15296340</v>
      </c>
      <c r="AF123" s="41">
        <v>14392</v>
      </c>
      <c r="AG123" s="41">
        <v>14392</v>
      </c>
      <c r="AH123" s="36">
        <v>45352</v>
      </c>
      <c r="AI123" s="36"/>
      <c r="AJ123" s="36"/>
      <c r="AK123" s="36">
        <v>45383</v>
      </c>
      <c r="AL123" s="36"/>
      <c r="AM123" s="46"/>
      <c r="AN123" s="40" t="s">
        <v>1421</v>
      </c>
      <c r="AO123" s="40" t="s">
        <v>1422</v>
      </c>
      <c r="AP123" s="40" t="s">
        <v>1423</v>
      </c>
      <c r="AQ123" s="40" t="s">
        <v>80</v>
      </c>
      <c r="AR123" s="48">
        <v>100</v>
      </c>
      <c r="AS123" s="37">
        <v>0</v>
      </c>
      <c r="AT123" s="37" t="s">
        <v>386</v>
      </c>
      <c r="AU123" s="47">
        <v>100</v>
      </c>
      <c r="AV123" s="37" t="s">
        <v>60</v>
      </c>
      <c r="AW123" s="37">
        <v>10</v>
      </c>
      <c r="AX123" s="30">
        <v>1706891.2</v>
      </c>
      <c r="AY123" s="40" t="s">
        <v>402</v>
      </c>
    </row>
    <row r="124" spans="1:51" ht="58.5" customHeight="1" x14ac:dyDescent="0.25">
      <c r="A124" s="44" t="s">
        <v>1424</v>
      </c>
      <c r="B124" s="46">
        <v>45289</v>
      </c>
      <c r="C124" s="40">
        <v>1416</v>
      </c>
      <c r="D124" s="35" t="s">
        <v>1425</v>
      </c>
      <c r="E124" s="39" t="s">
        <v>1426</v>
      </c>
      <c r="F124" s="36">
        <v>45317</v>
      </c>
      <c r="G124" s="37" t="s">
        <v>1427</v>
      </c>
      <c r="H124" s="40" t="s">
        <v>53</v>
      </c>
      <c r="I124" s="40" t="s">
        <v>606</v>
      </c>
      <c r="J124" s="54">
        <v>13163854000</v>
      </c>
      <c r="K124" s="54">
        <v>13163854000</v>
      </c>
      <c r="L124" s="54">
        <v>6581927000</v>
      </c>
      <c r="M124" s="54">
        <v>6581927000</v>
      </c>
      <c r="N124" s="42">
        <v>0</v>
      </c>
      <c r="O124" s="43">
        <v>0</v>
      </c>
      <c r="P124" s="41">
        <v>13163854000</v>
      </c>
      <c r="Q124" s="43">
        <v>0</v>
      </c>
      <c r="R124" s="41">
        <v>6581927000</v>
      </c>
      <c r="S124" s="30">
        <v>6581927000</v>
      </c>
      <c r="T124" s="30">
        <v>13163854000</v>
      </c>
      <c r="U124" s="30">
        <v>22696.3</v>
      </c>
      <c r="V124" s="41">
        <v>22696.3</v>
      </c>
      <c r="W124" s="41">
        <v>226963</v>
      </c>
      <c r="X124" s="41">
        <v>580000</v>
      </c>
      <c r="Y124" s="41">
        <v>290000</v>
      </c>
      <c r="Z124" s="41">
        <v>0</v>
      </c>
      <c r="AA124" s="41">
        <v>0</v>
      </c>
      <c r="AB124" s="41">
        <v>1560</v>
      </c>
      <c r="AC124" s="41">
        <v>35406228</v>
      </c>
      <c r="AD124" s="41">
        <v>288440</v>
      </c>
      <c r="AE124" s="41">
        <v>6546520772</v>
      </c>
      <c r="AF124" s="41">
        <v>58000</v>
      </c>
      <c r="AG124" s="41">
        <v>58000</v>
      </c>
      <c r="AH124" s="36">
        <v>45352</v>
      </c>
      <c r="AI124" s="36">
        <v>45717</v>
      </c>
      <c r="AJ124" s="36"/>
      <c r="AK124" s="36">
        <v>45383</v>
      </c>
      <c r="AL124" s="36">
        <v>45748</v>
      </c>
      <c r="AM124" s="46"/>
      <c r="AN124" s="40" t="s">
        <v>1428</v>
      </c>
      <c r="AO124" s="40" t="s">
        <v>1429</v>
      </c>
      <c r="AP124" s="40" t="s">
        <v>1430</v>
      </c>
      <c r="AQ124" s="40" t="s">
        <v>92</v>
      </c>
      <c r="AR124" s="48">
        <v>0</v>
      </c>
      <c r="AS124" s="37">
        <v>100</v>
      </c>
      <c r="AT124" s="37" t="s">
        <v>81</v>
      </c>
      <c r="AU124" s="47">
        <v>10</v>
      </c>
      <c r="AV124" s="37" t="s">
        <v>60</v>
      </c>
      <c r="AW124" s="37">
        <v>10</v>
      </c>
      <c r="AX124" s="30">
        <v>1316385400</v>
      </c>
      <c r="AY124" s="40" t="s">
        <v>402</v>
      </c>
    </row>
    <row r="125" spans="1:51" ht="58.5" customHeight="1" x14ac:dyDescent="0.25">
      <c r="A125" s="44" t="s">
        <v>1431</v>
      </c>
      <c r="B125" s="46">
        <v>45289</v>
      </c>
      <c r="C125" s="40">
        <v>1416</v>
      </c>
      <c r="D125" s="35" t="s">
        <v>1432</v>
      </c>
      <c r="E125" s="39" t="s">
        <v>1433</v>
      </c>
      <c r="F125" s="36">
        <v>45320</v>
      </c>
      <c r="G125" s="37" t="s">
        <v>1434</v>
      </c>
      <c r="H125" s="40" t="s">
        <v>224</v>
      </c>
      <c r="I125" s="40" t="s">
        <v>1435</v>
      </c>
      <c r="J125" s="54">
        <v>8914257</v>
      </c>
      <c r="K125" s="54">
        <v>8914257</v>
      </c>
      <c r="L125" s="54">
        <v>0</v>
      </c>
      <c r="M125" s="54">
        <v>0</v>
      </c>
      <c r="N125" s="42">
        <v>0</v>
      </c>
      <c r="O125" s="43">
        <v>0</v>
      </c>
      <c r="P125" s="41">
        <v>8914257</v>
      </c>
      <c r="Q125" s="43">
        <v>0</v>
      </c>
      <c r="R125" s="41">
        <v>8914257</v>
      </c>
      <c r="S125" s="30">
        <v>8914257</v>
      </c>
      <c r="T125" s="30">
        <v>8914257</v>
      </c>
      <c r="U125" s="30">
        <v>41.91</v>
      </c>
      <c r="V125" s="41">
        <v>41.91</v>
      </c>
      <c r="W125" s="41">
        <v>2095.5</v>
      </c>
      <c r="X125" s="41">
        <v>212700</v>
      </c>
      <c r="Y125" s="41">
        <v>212700</v>
      </c>
      <c r="Z125" s="41">
        <v>0</v>
      </c>
      <c r="AA125" s="41">
        <v>0</v>
      </c>
      <c r="AB125" s="41">
        <v>7300</v>
      </c>
      <c r="AC125" s="41">
        <v>305943</v>
      </c>
      <c r="AD125" s="41">
        <v>205400</v>
      </c>
      <c r="AE125" s="41">
        <v>8608314</v>
      </c>
      <c r="AF125" s="41">
        <v>4254</v>
      </c>
      <c r="AG125" s="41">
        <v>4254</v>
      </c>
      <c r="AH125" s="36">
        <v>45383</v>
      </c>
      <c r="AI125" s="36"/>
      <c r="AJ125" s="36"/>
      <c r="AK125" s="36">
        <v>45413</v>
      </c>
      <c r="AL125" s="36"/>
      <c r="AM125" s="46"/>
      <c r="AN125" s="40" t="s">
        <v>1436</v>
      </c>
      <c r="AO125" s="40" t="s">
        <v>1437</v>
      </c>
      <c r="AP125" s="40" t="s">
        <v>1438</v>
      </c>
      <c r="AQ125" s="40" t="s">
        <v>80</v>
      </c>
      <c r="AR125" s="48">
        <v>100</v>
      </c>
      <c r="AS125" s="37">
        <v>0</v>
      </c>
      <c r="AT125" s="37" t="s">
        <v>386</v>
      </c>
      <c r="AU125" s="47">
        <v>50</v>
      </c>
      <c r="AV125" s="37" t="s">
        <v>60</v>
      </c>
      <c r="AW125" s="37">
        <v>10</v>
      </c>
      <c r="AX125" s="30">
        <v>891425.7</v>
      </c>
      <c r="AY125" s="40" t="s">
        <v>402</v>
      </c>
    </row>
    <row r="126" spans="1:51" ht="58.5" customHeight="1" x14ac:dyDescent="0.25">
      <c r="A126" s="44" t="s">
        <v>1442</v>
      </c>
      <c r="B126" s="46">
        <v>45289</v>
      </c>
      <c r="C126" s="40">
        <v>1416</v>
      </c>
      <c r="D126" s="35" t="s">
        <v>1443</v>
      </c>
      <c r="E126" s="39" t="s">
        <v>1444</v>
      </c>
      <c r="F126" s="36">
        <v>45324</v>
      </c>
      <c r="G126" s="37" t="s">
        <v>1445</v>
      </c>
      <c r="H126" s="40" t="s">
        <v>139</v>
      </c>
      <c r="I126" s="40" t="s">
        <v>1446</v>
      </c>
      <c r="J126" s="54">
        <v>11061180</v>
      </c>
      <c r="K126" s="54">
        <v>11061180</v>
      </c>
      <c r="L126" s="54">
        <v>0</v>
      </c>
      <c r="M126" s="54">
        <v>0</v>
      </c>
      <c r="N126" s="42">
        <v>0</v>
      </c>
      <c r="O126" s="43">
        <v>0</v>
      </c>
      <c r="P126" s="41">
        <v>11061180</v>
      </c>
      <c r="Q126" s="43">
        <v>0</v>
      </c>
      <c r="R126" s="41">
        <v>11061180</v>
      </c>
      <c r="S126" s="30">
        <v>11061180</v>
      </c>
      <c r="T126" s="30">
        <v>11061180</v>
      </c>
      <c r="U126" s="30">
        <v>13.04</v>
      </c>
      <c r="V126" s="41">
        <v>13.04</v>
      </c>
      <c r="W126" s="41">
        <v>3260</v>
      </c>
      <c r="X126" s="41">
        <v>848250</v>
      </c>
      <c r="Y126" s="41">
        <v>848250</v>
      </c>
      <c r="Z126" s="41">
        <v>0</v>
      </c>
      <c r="AA126" s="41">
        <v>0</v>
      </c>
      <c r="AB126" s="41">
        <v>835000</v>
      </c>
      <c r="AC126" s="41">
        <v>10888400</v>
      </c>
      <c r="AD126" s="41">
        <v>13250</v>
      </c>
      <c r="AE126" s="41">
        <v>172780</v>
      </c>
      <c r="AF126" s="41">
        <v>3393</v>
      </c>
      <c r="AG126" s="41">
        <v>3393</v>
      </c>
      <c r="AH126" s="36">
        <v>45473</v>
      </c>
      <c r="AI126" s="36"/>
      <c r="AJ126" s="36"/>
      <c r="AK126" s="36">
        <v>45505</v>
      </c>
      <c r="AL126" s="36"/>
      <c r="AM126" s="46"/>
      <c r="AN126" s="40" t="s">
        <v>1447</v>
      </c>
      <c r="AO126" s="40" t="s">
        <v>1448</v>
      </c>
      <c r="AP126" s="40" t="s">
        <v>1449</v>
      </c>
      <c r="AQ126" s="40" t="s">
        <v>293</v>
      </c>
      <c r="AR126" s="48">
        <v>0</v>
      </c>
      <c r="AS126" s="37">
        <v>100</v>
      </c>
      <c r="AT126" s="37" t="s">
        <v>93</v>
      </c>
      <c r="AU126" s="47">
        <v>250</v>
      </c>
      <c r="AV126" s="37" t="s">
        <v>60</v>
      </c>
      <c r="AW126" s="37">
        <v>10</v>
      </c>
      <c r="AX126" s="30">
        <v>1106118</v>
      </c>
      <c r="AY126" s="40" t="s">
        <v>402</v>
      </c>
    </row>
    <row r="127" spans="1:51" ht="58.5" customHeight="1" x14ac:dyDescent="0.25">
      <c r="A127" s="44" t="s">
        <v>1450</v>
      </c>
      <c r="B127" s="46">
        <v>45289</v>
      </c>
      <c r="C127" s="40">
        <v>1416</v>
      </c>
      <c r="D127" s="35" t="s">
        <v>1451</v>
      </c>
      <c r="E127" s="39" t="s">
        <v>1452</v>
      </c>
      <c r="F127" s="36">
        <v>45320</v>
      </c>
      <c r="G127" s="37" t="s">
        <v>1453</v>
      </c>
      <c r="H127" s="40" t="s">
        <v>1202</v>
      </c>
      <c r="I127" s="40" t="s">
        <v>1454</v>
      </c>
      <c r="J127" s="54">
        <v>353355.52000000002</v>
      </c>
      <c r="K127" s="54">
        <v>353355.52000000002</v>
      </c>
      <c r="L127" s="54">
        <v>0</v>
      </c>
      <c r="M127" s="54">
        <v>0</v>
      </c>
      <c r="N127" s="42">
        <v>0</v>
      </c>
      <c r="O127" s="43">
        <v>0</v>
      </c>
      <c r="P127" s="41">
        <v>353355.52000000002</v>
      </c>
      <c r="Q127" s="43">
        <v>0</v>
      </c>
      <c r="R127" s="41">
        <v>353355.52000000002</v>
      </c>
      <c r="S127" s="30">
        <v>353355.52000000002</v>
      </c>
      <c r="T127" s="30">
        <v>353355.52000000002</v>
      </c>
      <c r="U127" s="30">
        <v>97.72</v>
      </c>
      <c r="V127" s="41">
        <v>97.72</v>
      </c>
      <c r="W127" s="41">
        <v>4886</v>
      </c>
      <c r="X127" s="41">
        <v>3616</v>
      </c>
      <c r="Y127" s="41">
        <v>3616</v>
      </c>
      <c r="Z127" s="41">
        <v>0</v>
      </c>
      <c r="AA127" s="41">
        <v>0</v>
      </c>
      <c r="AB127" s="41">
        <v>366</v>
      </c>
      <c r="AC127" s="41">
        <v>35765.519999999997</v>
      </c>
      <c r="AD127" s="41">
        <v>3250</v>
      </c>
      <c r="AE127" s="41">
        <v>317590</v>
      </c>
      <c r="AF127" s="41">
        <v>72.319999999999993</v>
      </c>
      <c r="AG127" s="41">
        <v>73</v>
      </c>
      <c r="AH127" s="36">
        <v>45352</v>
      </c>
      <c r="AI127" s="36"/>
      <c r="AJ127" s="36"/>
      <c r="AK127" s="36">
        <v>45383</v>
      </c>
      <c r="AL127" s="36"/>
      <c r="AM127" s="46"/>
      <c r="AN127" s="40" t="s">
        <v>1455</v>
      </c>
      <c r="AO127" s="40" t="s">
        <v>1456</v>
      </c>
      <c r="AP127" s="40" t="s">
        <v>1457</v>
      </c>
      <c r="AQ127" s="40" t="s">
        <v>80</v>
      </c>
      <c r="AR127" s="48">
        <v>100</v>
      </c>
      <c r="AS127" s="37">
        <v>0</v>
      </c>
      <c r="AT127" s="37" t="s">
        <v>386</v>
      </c>
      <c r="AU127" s="47">
        <v>50</v>
      </c>
      <c r="AV127" s="37" t="s">
        <v>219</v>
      </c>
      <c r="AW127" s="37">
        <v>10</v>
      </c>
      <c r="AX127" s="30">
        <v>35335.552000000003</v>
      </c>
      <c r="AY127" s="40" t="s">
        <v>402</v>
      </c>
    </row>
    <row r="128" spans="1:51" ht="58.5" customHeight="1" x14ac:dyDescent="0.25">
      <c r="A128" s="44" t="s">
        <v>1458</v>
      </c>
      <c r="B128" s="46">
        <v>45289</v>
      </c>
      <c r="C128" s="40">
        <v>1416</v>
      </c>
      <c r="D128" s="35" t="s">
        <v>1459</v>
      </c>
      <c r="E128" s="39" t="s">
        <v>1460</v>
      </c>
      <c r="F128" s="36">
        <v>45320</v>
      </c>
      <c r="G128" s="37" t="s">
        <v>1461</v>
      </c>
      <c r="H128" s="40" t="s">
        <v>224</v>
      </c>
      <c r="I128" s="40" t="s">
        <v>1462</v>
      </c>
      <c r="J128" s="54">
        <v>19324800</v>
      </c>
      <c r="K128" s="54">
        <v>19324800</v>
      </c>
      <c r="L128" s="54">
        <v>0</v>
      </c>
      <c r="M128" s="54">
        <v>0</v>
      </c>
      <c r="N128" s="42">
        <v>0</v>
      </c>
      <c r="O128" s="43">
        <v>0</v>
      </c>
      <c r="P128" s="41">
        <v>19324800</v>
      </c>
      <c r="Q128" s="43">
        <v>0</v>
      </c>
      <c r="R128" s="41">
        <v>19324800</v>
      </c>
      <c r="S128" s="30">
        <v>19324800</v>
      </c>
      <c r="T128" s="30">
        <v>19324800</v>
      </c>
      <c r="U128" s="30">
        <v>24</v>
      </c>
      <c r="V128" s="41">
        <v>24</v>
      </c>
      <c r="W128" s="41">
        <v>1200</v>
      </c>
      <c r="X128" s="41">
        <v>805200</v>
      </c>
      <c r="Y128" s="41">
        <v>805200</v>
      </c>
      <c r="Z128" s="41">
        <v>0</v>
      </c>
      <c r="AA128" s="41">
        <v>0</v>
      </c>
      <c r="AB128" s="41">
        <v>25050</v>
      </c>
      <c r="AC128" s="41">
        <v>601200</v>
      </c>
      <c r="AD128" s="41">
        <v>780150</v>
      </c>
      <c r="AE128" s="41">
        <v>18723600</v>
      </c>
      <c r="AF128" s="41">
        <v>16104</v>
      </c>
      <c r="AG128" s="41">
        <v>16104</v>
      </c>
      <c r="AH128" s="36">
        <v>45354</v>
      </c>
      <c r="AI128" s="36"/>
      <c r="AJ128" s="36"/>
      <c r="AK128" s="36">
        <v>45385</v>
      </c>
      <c r="AL128" s="36"/>
      <c r="AM128" s="46"/>
      <c r="AN128" s="40" t="s">
        <v>865</v>
      </c>
      <c r="AO128" s="40" t="s">
        <v>1463</v>
      </c>
      <c r="AP128" s="40" t="s">
        <v>867</v>
      </c>
      <c r="AQ128" s="40" t="s">
        <v>80</v>
      </c>
      <c r="AR128" s="48">
        <v>100</v>
      </c>
      <c r="AS128" s="37">
        <v>0</v>
      </c>
      <c r="AT128" s="37" t="s">
        <v>386</v>
      </c>
      <c r="AU128" s="47">
        <v>50</v>
      </c>
      <c r="AV128" s="37" t="s">
        <v>60</v>
      </c>
      <c r="AW128" s="37">
        <v>10</v>
      </c>
      <c r="AX128" s="30">
        <v>1932480</v>
      </c>
      <c r="AY128" s="40" t="s">
        <v>402</v>
      </c>
    </row>
    <row r="129" spans="1:51" ht="58.5" customHeight="1" x14ac:dyDescent="0.25">
      <c r="A129" s="44" t="s">
        <v>1464</v>
      </c>
      <c r="B129" s="46">
        <v>45289</v>
      </c>
      <c r="C129" s="40">
        <v>1416</v>
      </c>
      <c r="D129" s="35" t="s">
        <v>1465</v>
      </c>
      <c r="E129" s="39" t="s">
        <v>1466</v>
      </c>
      <c r="F129" s="36">
        <v>45320</v>
      </c>
      <c r="G129" s="37" t="s">
        <v>1467</v>
      </c>
      <c r="H129" s="40" t="s">
        <v>86</v>
      </c>
      <c r="I129" s="40" t="s">
        <v>1468</v>
      </c>
      <c r="J129" s="54">
        <v>438990662.5</v>
      </c>
      <c r="K129" s="54">
        <v>438990662.5</v>
      </c>
      <c r="L129" s="54">
        <v>0</v>
      </c>
      <c r="M129" s="54">
        <v>0</v>
      </c>
      <c r="N129" s="42">
        <v>0</v>
      </c>
      <c r="O129" s="43">
        <v>0</v>
      </c>
      <c r="P129" s="41">
        <v>438990662.5</v>
      </c>
      <c r="Q129" s="43">
        <v>0</v>
      </c>
      <c r="R129" s="41">
        <v>438990662.5</v>
      </c>
      <c r="S129" s="30">
        <v>438990662.5</v>
      </c>
      <c r="T129" s="30">
        <v>438990662.5</v>
      </c>
      <c r="U129" s="30">
        <v>24.05</v>
      </c>
      <c r="V129" s="41">
        <v>24.05</v>
      </c>
      <c r="W129" s="41">
        <v>24050</v>
      </c>
      <c r="X129" s="41">
        <v>18253250</v>
      </c>
      <c r="Y129" s="41">
        <v>18253250</v>
      </c>
      <c r="Z129" s="41">
        <v>0</v>
      </c>
      <c r="AA129" s="41">
        <v>0</v>
      </c>
      <c r="AB129" s="41">
        <v>6453500</v>
      </c>
      <c r="AC129" s="41">
        <v>155206675</v>
      </c>
      <c r="AD129" s="41">
        <v>11799750</v>
      </c>
      <c r="AE129" s="41">
        <v>283783987.5</v>
      </c>
      <c r="AF129" s="41">
        <v>18253.25</v>
      </c>
      <c r="AG129" s="41">
        <v>18254</v>
      </c>
      <c r="AH129" s="36">
        <v>45412</v>
      </c>
      <c r="AI129" s="36"/>
      <c r="AJ129" s="36"/>
      <c r="AK129" s="36">
        <v>45444</v>
      </c>
      <c r="AL129" s="36"/>
      <c r="AM129" s="46"/>
      <c r="AN129" s="40" t="s">
        <v>1469</v>
      </c>
      <c r="AO129" s="40" t="s">
        <v>1470</v>
      </c>
      <c r="AP129" s="40" t="s">
        <v>1471</v>
      </c>
      <c r="AQ129" s="40" t="s">
        <v>774</v>
      </c>
      <c r="AR129" s="48">
        <v>0</v>
      </c>
      <c r="AS129" s="37">
        <v>100</v>
      </c>
      <c r="AT129" s="37" t="s">
        <v>93</v>
      </c>
      <c r="AU129" s="47">
        <v>1000</v>
      </c>
      <c r="AV129" s="37" t="s">
        <v>60</v>
      </c>
      <c r="AW129" s="37">
        <v>10</v>
      </c>
      <c r="AX129" s="30">
        <v>43899066.25</v>
      </c>
      <c r="AY129" s="40" t="s">
        <v>402</v>
      </c>
    </row>
    <row r="130" spans="1:51" ht="58.5" customHeight="1" x14ac:dyDescent="0.25">
      <c r="A130" s="44" t="s">
        <v>1499</v>
      </c>
      <c r="B130" s="46">
        <v>45289</v>
      </c>
      <c r="C130" s="40">
        <v>1416</v>
      </c>
      <c r="D130" s="35" t="s">
        <v>1500</v>
      </c>
      <c r="E130" s="39" t="s">
        <v>1501</v>
      </c>
      <c r="F130" s="36">
        <v>45322</v>
      </c>
      <c r="G130" s="37" t="s">
        <v>1502</v>
      </c>
      <c r="H130" s="40" t="s">
        <v>1185</v>
      </c>
      <c r="I130" s="40" t="s">
        <v>1503</v>
      </c>
      <c r="J130" s="54">
        <v>15950302.199999999</v>
      </c>
      <c r="K130" s="54">
        <v>15950302.199999999</v>
      </c>
      <c r="L130" s="54">
        <v>0</v>
      </c>
      <c r="M130" s="54">
        <v>0</v>
      </c>
      <c r="N130" s="42">
        <v>1.9999999749220998</v>
      </c>
      <c r="O130" s="43">
        <v>319006.03999999911</v>
      </c>
      <c r="P130" s="41">
        <v>15631296.16</v>
      </c>
      <c r="Q130" s="43">
        <v>3255571.7999999989</v>
      </c>
      <c r="R130" s="41">
        <v>12694730.4</v>
      </c>
      <c r="S130" s="30">
        <v>12694730.4</v>
      </c>
      <c r="T130" s="30">
        <v>12694730.4</v>
      </c>
      <c r="U130" s="30">
        <v>133.32</v>
      </c>
      <c r="V130" s="41">
        <v>133.32</v>
      </c>
      <c r="W130" s="41">
        <v>7999.2</v>
      </c>
      <c r="X130" s="41">
        <v>95220</v>
      </c>
      <c r="Y130" s="41">
        <v>41640</v>
      </c>
      <c r="Z130" s="41">
        <v>53580</v>
      </c>
      <c r="AA130" s="41">
        <v>0</v>
      </c>
      <c r="AB130" s="41">
        <v>8700</v>
      </c>
      <c r="AC130" s="41">
        <v>1159884</v>
      </c>
      <c r="AD130" s="41">
        <v>86520</v>
      </c>
      <c r="AE130" s="41">
        <v>11534846.399999999</v>
      </c>
      <c r="AF130" s="41">
        <v>1587</v>
      </c>
      <c r="AG130" s="41">
        <v>1587</v>
      </c>
      <c r="AH130" s="36">
        <v>45352</v>
      </c>
      <c r="AI130" s="36">
        <v>45474</v>
      </c>
      <c r="AJ130" s="36"/>
      <c r="AK130" s="36">
        <v>45383</v>
      </c>
      <c r="AL130" s="36">
        <v>45505</v>
      </c>
      <c r="AM130" s="46"/>
      <c r="AN130" s="40" t="s">
        <v>1187</v>
      </c>
      <c r="AO130" s="40" t="s">
        <v>1504</v>
      </c>
      <c r="AP130" s="40" t="s">
        <v>1189</v>
      </c>
      <c r="AQ130" s="40" t="s">
        <v>80</v>
      </c>
      <c r="AR130" s="48">
        <v>100</v>
      </c>
      <c r="AS130" s="37">
        <v>0</v>
      </c>
      <c r="AT130" s="37" t="s">
        <v>386</v>
      </c>
      <c r="AU130" s="47">
        <v>60</v>
      </c>
      <c r="AV130" s="37" t="s">
        <v>60</v>
      </c>
      <c r="AW130" s="37">
        <v>10</v>
      </c>
      <c r="AX130" s="30">
        <v>1595030.22</v>
      </c>
      <c r="AY130" s="40" t="s">
        <v>402</v>
      </c>
    </row>
    <row r="131" spans="1:51" ht="48" customHeight="1" x14ac:dyDescent="0.25">
      <c r="A131" s="59" t="s">
        <v>1910</v>
      </c>
      <c r="B131" s="60">
        <v>45323</v>
      </c>
      <c r="C131" s="40">
        <v>1416</v>
      </c>
      <c r="D131" s="35" t="s">
        <v>1911</v>
      </c>
      <c r="E131" s="39" t="s">
        <v>1912</v>
      </c>
      <c r="F131" s="36">
        <v>45348</v>
      </c>
      <c r="G131" s="37" t="s">
        <v>1913</v>
      </c>
      <c r="H131" s="40" t="s">
        <v>86</v>
      </c>
      <c r="I131" s="62" t="s">
        <v>1914</v>
      </c>
      <c r="J131" s="61">
        <v>491040</v>
      </c>
      <c r="K131" s="41">
        <v>0</v>
      </c>
      <c r="L131" s="54">
        <v>0</v>
      </c>
      <c r="M131" s="54">
        <v>0</v>
      </c>
      <c r="N131" s="42">
        <v>0</v>
      </c>
      <c r="O131" s="43">
        <v>0</v>
      </c>
      <c r="P131" s="61">
        <v>491040</v>
      </c>
      <c r="Q131" s="43">
        <v>0</v>
      </c>
      <c r="R131" s="61">
        <v>491040</v>
      </c>
      <c r="S131" s="30">
        <v>491040</v>
      </c>
      <c r="T131" s="30">
        <v>491040</v>
      </c>
      <c r="U131" s="30">
        <v>10.56</v>
      </c>
      <c r="V131" s="41">
        <v>10.56</v>
      </c>
      <c r="W131" s="41">
        <v>2640</v>
      </c>
      <c r="X131" s="41">
        <v>46500</v>
      </c>
      <c r="Y131" s="41">
        <v>46500</v>
      </c>
      <c r="Z131" s="41">
        <v>0</v>
      </c>
      <c r="AA131" s="41">
        <v>0</v>
      </c>
      <c r="AB131" s="41">
        <v>10500</v>
      </c>
      <c r="AC131" s="41">
        <v>110880</v>
      </c>
      <c r="AD131" s="41">
        <v>36000</v>
      </c>
      <c r="AE131" s="41">
        <v>380160</v>
      </c>
      <c r="AF131" s="41">
        <v>186</v>
      </c>
      <c r="AG131" s="41">
        <v>186</v>
      </c>
      <c r="AH131" s="36">
        <v>45366</v>
      </c>
      <c r="AI131" s="36"/>
      <c r="AJ131" s="36"/>
      <c r="AK131" s="36">
        <v>45397</v>
      </c>
      <c r="AL131" s="36"/>
      <c r="AM131" s="46"/>
      <c r="AN131" s="40" t="s">
        <v>703</v>
      </c>
      <c r="AO131" s="40" t="s">
        <v>1915</v>
      </c>
      <c r="AP131" s="40" t="s">
        <v>705</v>
      </c>
      <c r="AQ131" s="40" t="s">
        <v>774</v>
      </c>
      <c r="AR131" s="48">
        <v>0</v>
      </c>
      <c r="AS131" s="37">
        <v>100</v>
      </c>
      <c r="AT131" s="37" t="s">
        <v>93</v>
      </c>
      <c r="AU131" s="47">
        <v>250</v>
      </c>
      <c r="AV131" s="37" t="s">
        <v>60</v>
      </c>
      <c r="AW131" s="37">
        <v>10</v>
      </c>
      <c r="AX131" s="30">
        <v>49104</v>
      </c>
      <c r="AY131" s="40" t="s">
        <v>402</v>
      </c>
    </row>
    <row r="132" spans="1:51" ht="48" customHeight="1" x14ac:dyDescent="0.25">
      <c r="A132" s="59" t="s">
        <v>1916</v>
      </c>
      <c r="B132" s="60">
        <v>45323</v>
      </c>
      <c r="C132" s="40">
        <v>1416</v>
      </c>
      <c r="D132" s="35" t="s">
        <v>1917</v>
      </c>
      <c r="E132" s="39" t="s">
        <v>1918</v>
      </c>
      <c r="F132" s="36">
        <v>45348</v>
      </c>
      <c r="G132" s="37" t="s">
        <v>1919</v>
      </c>
      <c r="H132" s="40" t="s">
        <v>139</v>
      </c>
      <c r="I132" s="62" t="s">
        <v>1920</v>
      </c>
      <c r="J132" s="61">
        <v>94198500</v>
      </c>
      <c r="K132" s="41">
        <v>0</v>
      </c>
      <c r="L132" s="54">
        <v>0</v>
      </c>
      <c r="M132" s="54">
        <v>0</v>
      </c>
      <c r="N132" s="42">
        <v>3</v>
      </c>
      <c r="O132" s="43">
        <v>2825955</v>
      </c>
      <c r="P132" s="41">
        <v>91372545</v>
      </c>
      <c r="Q132" s="43">
        <v>2825955</v>
      </c>
      <c r="R132" s="41">
        <v>91372545</v>
      </c>
      <c r="S132" s="30">
        <v>91372545</v>
      </c>
      <c r="T132" s="30">
        <v>91372545</v>
      </c>
      <c r="U132" s="30">
        <v>7.26</v>
      </c>
      <c r="V132" s="41">
        <v>7.0422000000000002</v>
      </c>
      <c r="W132" s="41">
        <v>3521.1</v>
      </c>
      <c r="X132" s="41">
        <v>12975000</v>
      </c>
      <c r="Y132" s="41">
        <v>10800000</v>
      </c>
      <c r="Z132" s="41">
        <v>2175000</v>
      </c>
      <c r="AA132" s="41">
        <v>0</v>
      </c>
      <c r="AB132" s="41">
        <v>0</v>
      </c>
      <c r="AC132" s="41">
        <v>0</v>
      </c>
      <c r="AD132" s="41">
        <v>12975000</v>
      </c>
      <c r="AE132" s="41">
        <v>91372545</v>
      </c>
      <c r="AF132" s="41">
        <v>25950</v>
      </c>
      <c r="AG132" s="41">
        <v>25950</v>
      </c>
      <c r="AH132" s="36">
        <v>45366</v>
      </c>
      <c r="AI132" s="36">
        <v>45432</v>
      </c>
      <c r="AJ132" s="36"/>
      <c r="AK132" s="36">
        <v>45397</v>
      </c>
      <c r="AL132" s="36">
        <v>45463</v>
      </c>
      <c r="AM132" s="46"/>
      <c r="AN132" s="40" t="s">
        <v>1921</v>
      </c>
      <c r="AO132" s="40" t="s">
        <v>1922</v>
      </c>
      <c r="AP132" s="40" t="s">
        <v>1923</v>
      </c>
      <c r="AQ132" s="40" t="s">
        <v>80</v>
      </c>
      <c r="AR132" s="48">
        <v>100</v>
      </c>
      <c r="AS132" s="37">
        <v>0</v>
      </c>
      <c r="AT132" s="37" t="s">
        <v>93</v>
      </c>
      <c r="AU132" s="47">
        <v>500</v>
      </c>
      <c r="AV132" s="37" t="s">
        <v>60</v>
      </c>
      <c r="AW132" s="37">
        <v>10</v>
      </c>
      <c r="AX132" s="30">
        <v>9419850</v>
      </c>
      <c r="AY132" s="40" t="s">
        <v>402</v>
      </c>
    </row>
    <row r="133" spans="1:51" ht="48" customHeight="1" x14ac:dyDescent="0.25">
      <c r="A133" s="59" t="s">
        <v>1931</v>
      </c>
      <c r="B133" s="60">
        <v>45323</v>
      </c>
      <c r="C133" s="40">
        <v>1416</v>
      </c>
      <c r="D133" s="35"/>
      <c r="E133" s="39" t="s">
        <v>1932</v>
      </c>
      <c r="F133" s="36">
        <v>45352</v>
      </c>
      <c r="G133" s="37" t="s">
        <v>1933</v>
      </c>
      <c r="H133" s="40" t="s">
        <v>86</v>
      </c>
      <c r="I133" s="62" t="s">
        <v>1934</v>
      </c>
      <c r="J133" s="61">
        <v>1349562136</v>
      </c>
      <c r="K133" s="41">
        <v>0</v>
      </c>
      <c r="L133" s="54">
        <v>0</v>
      </c>
      <c r="M133" s="54">
        <v>0</v>
      </c>
      <c r="N133" s="42">
        <v>0</v>
      </c>
      <c r="O133" s="43">
        <v>0</v>
      </c>
      <c r="P133" s="61">
        <v>1349562136</v>
      </c>
      <c r="Q133" s="43">
        <v>0</v>
      </c>
      <c r="R133" s="61">
        <v>1349562136</v>
      </c>
      <c r="S133" s="30">
        <v>1349562136</v>
      </c>
      <c r="T133" s="30">
        <v>1349562136</v>
      </c>
      <c r="U133" s="30">
        <v>25.33</v>
      </c>
      <c r="V133" s="41">
        <v>25.33</v>
      </c>
      <c r="W133" s="41">
        <v>20264</v>
      </c>
      <c r="X133" s="41">
        <v>53279200</v>
      </c>
      <c r="Y133" s="41">
        <v>53279200</v>
      </c>
      <c r="Z133" s="41">
        <v>0</v>
      </c>
      <c r="AA133" s="41">
        <v>0</v>
      </c>
      <c r="AB133" s="41">
        <v>37443200</v>
      </c>
      <c r="AC133" s="41">
        <v>948436255.99999988</v>
      </c>
      <c r="AD133" s="41">
        <v>15836000</v>
      </c>
      <c r="AE133" s="41">
        <v>401125880</v>
      </c>
      <c r="AF133" s="41">
        <v>66599</v>
      </c>
      <c r="AG133" s="41">
        <v>66599</v>
      </c>
      <c r="AH133" s="36">
        <v>45383</v>
      </c>
      <c r="AI133" s="36"/>
      <c r="AJ133" s="36"/>
      <c r="AK133" s="36">
        <v>45413</v>
      </c>
      <c r="AL133" s="36"/>
      <c r="AM133" s="46"/>
      <c r="AN133" s="40" t="s">
        <v>1935</v>
      </c>
      <c r="AO133" s="40" t="s">
        <v>1936</v>
      </c>
      <c r="AP133" s="40" t="s">
        <v>1937</v>
      </c>
      <c r="AQ133" s="40" t="s">
        <v>774</v>
      </c>
      <c r="AR133" s="48">
        <v>0</v>
      </c>
      <c r="AS133" s="37">
        <v>100</v>
      </c>
      <c r="AT133" s="37" t="s">
        <v>93</v>
      </c>
      <c r="AU133" s="47">
        <v>800</v>
      </c>
      <c r="AV133" s="37" t="s">
        <v>60</v>
      </c>
      <c r="AW133" s="37">
        <v>10</v>
      </c>
      <c r="AX133" s="30">
        <v>134956213.59999999</v>
      </c>
      <c r="AY133" s="40" t="s">
        <v>402</v>
      </c>
    </row>
    <row r="134" spans="1:51" ht="48" customHeight="1" x14ac:dyDescent="0.25">
      <c r="A134" s="59" t="s">
        <v>1938</v>
      </c>
      <c r="B134" s="60">
        <v>45323</v>
      </c>
      <c r="C134" s="40">
        <v>1416</v>
      </c>
      <c r="D134" s="35" t="s">
        <v>431</v>
      </c>
      <c r="E134" s="39" t="s">
        <v>1939</v>
      </c>
      <c r="F134" s="36" t="s">
        <v>431</v>
      </c>
      <c r="G134" s="37" t="s">
        <v>431</v>
      </c>
      <c r="H134" s="40" t="s">
        <v>431</v>
      </c>
      <c r="I134" s="62" t="s">
        <v>1940</v>
      </c>
      <c r="J134" s="61">
        <v>3107256738.3000002</v>
      </c>
      <c r="K134" s="41">
        <v>0</v>
      </c>
      <c r="L134" s="54">
        <v>0</v>
      </c>
      <c r="M134" s="54">
        <v>0</v>
      </c>
      <c r="N134" s="42">
        <v>100</v>
      </c>
      <c r="O134" s="43">
        <v>3107256738.3000002</v>
      </c>
      <c r="P134" s="41"/>
      <c r="Q134" s="43">
        <v>3107256738.3000002</v>
      </c>
      <c r="R134" s="41">
        <v>0</v>
      </c>
      <c r="S134" s="30">
        <v>0</v>
      </c>
      <c r="T134" s="30">
        <v>0</v>
      </c>
      <c r="U134" s="30">
        <v>63582.09</v>
      </c>
      <c r="V134" s="41">
        <v>0</v>
      </c>
      <c r="W134" s="41">
        <v>0</v>
      </c>
      <c r="X134" s="41">
        <v>48870</v>
      </c>
      <c r="Y134" s="41">
        <v>10500</v>
      </c>
      <c r="Z134" s="41">
        <v>38370</v>
      </c>
      <c r="AA134" s="41">
        <v>0</v>
      </c>
      <c r="AB134" s="41"/>
      <c r="AC134" s="41">
        <v>0</v>
      </c>
      <c r="AD134" s="41"/>
      <c r="AE134" s="41">
        <v>0</v>
      </c>
      <c r="AF134" s="41" t="e">
        <v>#DIV/0!</v>
      </c>
      <c r="AG134" s="41" t="e">
        <v>#DIV/0!</v>
      </c>
      <c r="AH134" s="36">
        <v>45366</v>
      </c>
      <c r="AI134" s="36">
        <v>45443</v>
      </c>
      <c r="AJ134" s="36"/>
      <c r="AK134" s="36"/>
      <c r="AL134" s="36"/>
      <c r="AM134" s="46"/>
      <c r="AN134" s="40"/>
      <c r="AO134" s="40"/>
      <c r="AP134" s="40"/>
      <c r="AQ134" s="40"/>
      <c r="AR134" s="48"/>
      <c r="AS134" s="37"/>
      <c r="AT134" s="37"/>
      <c r="AU134" s="47"/>
      <c r="AV134" s="37"/>
      <c r="AW134" s="37">
        <v>10</v>
      </c>
      <c r="AX134" s="30">
        <v>310725673.82999998</v>
      </c>
      <c r="AY134" s="40" t="s">
        <v>431</v>
      </c>
    </row>
    <row r="135" spans="1:51" ht="48" customHeight="1" x14ac:dyDescent="0.25">
      <c r="A135" s="59" t="s">
        <v>1945</v>
      </c>
      <c r="B135" s="60">
        <v>45323</v>
      </c>
      <c r="C135" s="40">
        <v>1416</v>
      </c>
      <c r="D135" s="35"/>
      <c r="E135" s="39" t="s">
        <v>1946</v>
      </c>
      <c r="F135" s="36">
        <v>45348</v>
      </c>
      <c r="G135" s="37" t="s">
        <v>1947</v>
      </c>
      <c r="H135" s="40" t="s">
        <v>86</v>
      </c>
      <c r="I135" s="62" t="s">
        <v>1920</v>
      </c>
      <c r="J135" s="61">
        <v>116475810</v>
      </c>
      <c r="K135" s="41">
        <v>0</v>
      </c>
      <c r="L135" s="54">
        <v>0</v>
      </c>
      <c r="M135" s="54">
        <v>0</v>
      </c>
      <c r="N135" s="42">
        <v>0</v>
      </c>
      <c r="O135" s="43">
        <v>0</v>
      </c>
      <c r="P135" s="61">
        <v>116475810</v>
      </c>
      <c r="Q135" s="43">
        <v>0</v>
      </c>
      <c r="R135" s="61">
        <v>116475810</v>
      </c>
      <c r="S135" s="30">
        <v>116475810</v>
      </c>
      <c r="T135" s="30">
        <v>116475810</v>
      </c>
      <c r="U135" s="30">
        <v>7.26</v>
      </c>
      <c r="V135" s="41">
        <v>7.26</v>
      </c>
      <c r="W135" s="41" t="e">
        <v>#VALUE!</v>
      </c>
      <c r="X135" s="41">
        <v>16043500</v>
      </c>
      <c r="Y135" s="41">
        <v>16043500</v>
      </c>
      <c r="Z135" s="41">
        <v>0</v>
      </c>
      <c r="AA135" s="41">
        <v>0</v>
      </c>
      <c r="AB135" s="41">
        <v>16043500</v>
      </c>
      <c r="AC135" s="41">
        <v>116475810</v>
      </c>
      <c r="AD135" s="41">
        <v>0</v>
      </c>
      <c r="AE135" s="41">
        <v>0</v>
      </c>
      <c r="AF135" s="41" t="e">
        <v>#VALUE!</v>
      </c>
      <c r="AG135" s="41" t="e">
        <v>#VALUE!</v>
      </c>
      <c r="AH135" s="36">
        <v>45366</v>
      </c>
      <c r="AI135" s="36"/>
      <c r="AJ135" s="36"/>
      <c r="AK135" s="36">
        <v>45397</v>
      </c>
      <c r="AL135" s="36"/>
      <c r="AM135" s="46"/>
      <c r="AN135" s="40" t="s">
        <v>1948</v>
      </c>
      <c r="AO135" s="40" t="s">
        <v>1949</v>
      </c>
      <c r="AP135" s="40" t="s">
        <v>1950</v>
      </c>
      <c r="AQ135" s="40" t="s">
        <v>1951</v>
      </c>
      <c r="AR135" s="48">
        <v>0</v>
      </c>
      <c r="AS135" s="37">
        <v>100</v>
      </c>
      <c r="AT135" s="37" t="s">
        <v>93</v>
      </c>
      <c r="AU135" s="51" t="s">
        <v>1952</v>
      </c>
      <c r="AV135" s="37" t="s">
        <v>60</v>
      </c>
      <c r="AW135" s="37">
        <v>10</v>
      </c>
      <c r="AX135" s="30">
        <v>11647581</v>
      </c>
      <c r="AY135" s="40" t="s">
        <v>402</v>
      </c>
    </row>
    <row r="136" spans="1:51" ht="48" customHeight="1" x14ac:dyDescent="0.25">
      <c r="A136" s="59" t="s">
        <v>1953</v>
      </c>
      <c r="B136" s="60">
        <v>45323</v>
      </c>
      <c r="C136" s="40">
        <v>1416</v>
      </c>
      <c r="D136" s="35"/>
      <c r="E136" s="39" t="s">
        <v>1954</v>
      </c>
      <c r="F136" s="36">
        <v>45348</v>
      </c>
      <c r="G136" s="37" t="s">
        <v>1955</v>
      </c>
      <c r="H136" s="40" t="s">
        <v>224</v>
      </c>
      <c r="I136" s="62" t="s">
        <v>1956</v>
      </c>
      <c r="J136" s="61">
        <v>18636961.5</v>
      </c>
      <c r="K136" s="41">
        <v>0</v>
      </c>
      <c r="L136" s="54">
        <v>0</v>
      </c>
      <c r="M136" s="54">
        <v>0</v>
      </c>
      <c r="N136" s="42">
        <v>0.52840158520475566</v>
      </c>
      <c r="O136" s="43">
        <v>98478</v>
      </c>
      <c r="P136" s="41">
        <v>18538483.5</v>
      </c>
      <c r="Q136" s="43">
        <v>98478</v>
      </c>
      <c r="R136" s="41">
        <v>18538483.5</v>
      </c>
      <c r="S136" s="30">
        <v>18538483.5</v>
      </c>
      <c r="T136" s="30">
        <v>18538483.5</v>
      </c>
      <c r="U136" s="30">
        <v>22.71</v>
      </c>
      <c r="V136" s="41">
        <v>22.59</v>
      </c>
      <c r="W136" s="41">
        <v>1129.5</v>
      </c>
      <c r="X136" s="41">
        <v>820650</v>
      </c>
      <c r="Y136" s="41">
        <v>820650</v>
      </c>
      <c r="Z136" s="41">
        <v>0</v>
      </c>
      <c r="AA136" s="41">
        <v>0</v>
      </c>
      <c r="AB136" s="41">
        <v>33950</v>
      </c>
      <c r="AC136" s="41">
        <v>766930.5</v>
      </c>
      <c r="AD136" s="41">
        <v>786700</v>
      </c>
      <c r="AE136" s="41">
        <v>17771553</v>
      </c>
      <c r="AF136" s="41">
        <v>16413</v>
      </c>
      <c r="AG136" s="41">
        <v>16413</v>
      </c>
      <c r="AH136" s="36">
        <v>45366</v>
      </c>
      <c r="AI136" s="36"/>
      <c r="AJ136" s="36"/>
      <c r="AK136" s="36">
        <v>45397</v>
      </c>
      <c r="AL136" s="36"/>
      <c r="AM136" s="46"/>
      <c r="AN136" s="40" t="s">
        <v>1957</v>
      </c>
      <c r="AO136" s="40" t="s">
        <v>1958</v>
      </c>
      <c r="AP136" s="40" t="s">
        <v>1959</v>
      </c>
      <c r="AQ136" s="40" t="s">
        <v>80</v>
      </c>
      <c r="AR136" s="48">
        <v>100</v>
      </c>
      <c r="AS136" s="37">
        <v>0</v>
      </c>
      <c r="AT136" s="37" t="s">
        <v>386</v>
      </c>
      <c r="AU136" s="47">
        <v>50</v>
      </c>
      <c r="AV136" s="37" t="s">
        <v>60</v>
      </c>
      <c r="AW136" s="37">
        <v>10</v>
      </c>
      <c r="AX136" s="30">
        <v>1863696.15</v>
      </c>
      <c r="AY136" s="40" t="s">
        <v>402</v>
      </c>
    </row>
    <row r="137" spans="1:51" ht="48" customHeight="1" x14ac:dyDescent="0.25">
      <c r="A137" s="59" t="s">
        <v>1960</v>
      </c>
      <c r="B137" s="60">
        <v>45323</v>
      </c>
      <c r="C137" s="40">
        <v>1416</v>
      </c>
      <c r="D137" s="35"/>
      <c r="E137" s="39" t="s">
        <v>1961</v>
      </c>
      <c r="F137" s="36">
        <v>45348</v>
      </c>
      <c r="G137" s="37" t="s">
        <v>1962</v>
      </c>
      <c r="H137" s="40" t="s">
        <v>139</v>
      </c>
      <c r="I137" s="62" t="s">
        <v>1963</v>
      </c>
      <c r="J137" s="61">
        <v>63183728.159999996</v>
      </c>
      <c r="K137" s="41">
        <v>0</v>
      </c>
      <c r="L137" s="54">
        <v>0</v>
      </c>
      <c r="M137" s="54">
        <v>0</v>
      </c>
      <c r="N137" s="42">
        <v>0</v>
      </c>
      <c r="O137" s="43">
        <v>0</v>
      </c>
      <c r="P137" s="41">
        <v>63183728.159999996</v>
      </c>
      <c r="Q137" s="43">
        <v>0</v>
      </c>
      <c r="R137" s="41">
        <v>63183728.159999996</v>
      </c>
      <c r="S137" s="30">
        <v>63183728.159999996</v>
      </c>
      <c r="T137" s="30">
        <v>63183728.159999996</v>
      </c>
      <c r="U137" s="30">
        <v>12792.3</v>
      </c>
      <c r="V137" s="41">
        <v>12792.3</v>
      </c>
      <c r="W137" s="41">
        <v>15350.759999999998</v>
      </c>
      <c r="X137" s="41">
        <v>4939.2</v>
      </c>
      <c r="Y137" s="41">
        <v>4939.2</v>
      </c>
      <c r="Z137" s="41">
        <v>0</v>
      </c>
      <c r="AA137" s="41">
        <v>0</v>
      </c>
      <c r="AB137" s="41">
        <v>3705.6</v>
      </c>
      <c r="AC137" s="41">
        <v>47403146.879999995</v>
      </c>
      <c r="AD137" s="41">
        <v>1233.5999999999999</v>
      </c>
      <c r="AE137" s="41">
        <v>15780581.279999997</v>
      </c>
      <c r="AF137" s="41">
        <v>4116</v>
      </c>
      <c r="AG137" s="41">
        <v>4116</v>
      </c>
      <c r="AH137" s="36">
        <v>45427</v>
      </c>
      <c r="AI137" s="36"/>
      <c r="AJ137" s="36"/>
      <c r="AK137" s="36">
        <v>45458</v>
      </c>
      <c r="AL137" s="36"/>
      <c r="AM137" s="46"/>
      <c r="AN137" s="40" t="s">
        <v>1964</v>
      </c>
      <c r="AO137" s="40" t="s">
        <v>1965</v>
      </c>
      <c r="AP137" s="40" t="s">
        <v>1966</v>
      </c>
      <c r="AQ137" s="40" t="s">
        <v>80</v>
      </c>
      <c r="AR137" s="48">
        <v>100</v>
      </c>
      <c r="AS137" s="37">
        <v>0</v>
      </c>
      <c r="AT137" s="37" t="s">
        <v>324</v>
      </c>
      <c r="AU137" s="52">
        <v>1.2</v>
      </c>
      <c r="AV137" s="37" t="s">
        <v>60</v>
      </c>
      <c r="AW137" s="37">
        <v>10</v>
      </c>
      <c r="AX137" s="30">
        <v>6318372.8159999987</v>
      </c>
      <c r="AY137" s="40" t="s">
        <v>402</v>
      </c>
    </row>
    <row r="138" spans="1:51" ht="48" customHeight="1" x14ac:dyDescent="0.25">
      <c r="A138" s="59" t="s">
        <v>1967</v>
      </c>
      <c r="B138" s="60">
        <v>45323</v>
      </c>
      <c r="C138" s="40">
        <v>1416</v>
      </c>
      <c r="D138" s="35"/>
      <c r="E138" s="39" t="s">
        <v>1968</v>
      </c>
      <c r="F138" s="36">
        <v>45348</v>
      </c>
      <c r="G138" s="37" t="s">
        <v>1969</v>
      </c>
      <c r="H138" s="40" t="s">
        <v>139</v>
      </c>
      <c r="I138" s="62" t="s">
        <v>1970</v>
      </c>
      <c r="J138" s="61">
        <v>146587500</v>
      </c>
      <c r="K138" s="41">
        <v>0</v>
      </c>
      <c r="L138" s="54">
        <v>0</v>
      </c>
      <c r="M138" s="54">
        <v>0</v>
      </c>
      <c r="N138" s="42">
        <v>0</v>
      </c>
      <c r="O138" s="43">
        <v>0</v>
      </c>
      <c r="P138" s="61">
        <v>146587500</v>
      </c>
      <c r="Q138" s="43">
        <v>0</v>
      </c>
      <c r="R138" s="61">
        <v>146587500</v>
      </c>
      <c r="S138" s="30">
        <v>146587500</v>
      </c>
      <c r="T138" s="30">
        <v>146587500</v>
      </c>
      <c r="U138" s="30">
        <v>13.03</v>
      </c>
      <c r="V138" s="41">
        <v>13.03</v>
      </c>
      <c r="W138" s="41">
        <v>6515</v>
      </c>
      <c r="X138" s="41">
        <v>11250000</v>
      </c>
      <c r="Y138" s="41">
        <v>11250000</v>
      </c>
      <c r="Z138" s="41">
        <v>0</v>
      </c>
      <c r="AA138" s="41">
        <v>0</v>
      </c>
      <c r="AB138" s="41">
        <v>7194500</v>
      </c>
      <c r="AC138" s="41">
        <v>93744335</v>
      </c>
      <c r="AD138" s="41">
        <v>4055500</v>
      </c>
      <c r="AE138" s="41">
        <v>52843165</v>
      </c>
      <c r="AF138" s="41">
        <v>22500</v>
      </c>
      <c r="AG138" s="41">
        <v>22500</v>
      </c>
      <c r="AH138" s="36">
        <v>45382</v>
      </c>
      <c r="AI138" s="36"/>
      <c r="AJ138" s="36"/>
      <c r="AK138" s="36">
        <v>45413</v>
      </c>
      <c r="AL138" s="36"/>
      <c r="AM138" s="46"/>
      <c r="AN138" s="40" t="s">
        <v>1971</v>
      </c>
      <c r="AO138" s="40" t="s">
        <v>1972</v>
      </c>
      <c r="AP138" s="40" t="s">
        <v>1973</v>
      </c>
      <c r="AQ138" s="40" t="s">
        <v>774</v>
      </c>
      <c r="AR138" s="48">
        <v>0</v>
      </c>
      <c r="AS138" s="37">
        <v>100</v>
      </c>
      <c r="AT138" s="37" t="s">
        <v>93</v>
      </c>
      <c r="AU138" s="47">
        <v>500</v>
      </c>
      <c r="AV138" s="37" t="s">
        <v>60</v>
      </c>
      <c r="AW138" s="37">
        <v>10</v>
      </c>
      <c r="AX138" s="30">
        <v>14658750</v>
      </c>
      <c r="AY138" s="40" t="s">
        <v>402</v>
      </c>
    </row>
    <row r="139" spans="1:51" ht="48" customHeight="1" x14ac:dyDescent="0.25">
      <c r="A139" s="59" t="s">
        <v>1991</v>
      </c>
      <c r="B139" s="60">
        <v>45324</v>
      </c>
      <c r="C139" s="40">
        <v>1416</v>
      </c>
      <c r="D139" s="35"/>
      <c r="E139" s="39" t="s">
        <v>1992</v>
      </c>
      <c r="F139" s="36">
        <v>45352</v>
      </c>
      <c r="G139" s="37" t="s">
        <v>1993</v>
      </c>
      <c r="H139" s="40" t="s">
        <v>139</v>
      </c>
      <c r="I139" s="62" t="s">
        <v>1994</v>
      </c>
      <c r="J139" s="61">
        <v>763941360</v>
      </c>
      <c r="K139" s="41">
        <v>0</v>
      </c>
      <c r="L139" s="54">
        <v>0</v>
      </c>
      <c r="M139" s="54">
        <v>0</v>
      </c>
      <c r="N139" s="42">
        <v>2.5</v>
      </c>
      <c r="O139" s="43">
        <v>19098534</v>
      </c>
      <c r="P139" s="41">
        <v>744842826</v>
      </c>
      <c r="Q139" s="43">
        <v>19098534</v>
      </c>
      <c r="R139" s="41">
        <v>744842826</v>
      </c>
      <c r="S139" s="30">
        <v>744842826</v>
      </c>
      <c r="T139" s="30">
        <v>744842826</v>
      </c>
      <c r="U139" s="30">
        <v>7.28</v>
      </c>
      <c r="V139" s="41">
        <v>7.0979999999999999</v>
      </c>
      <c r="W139" s="41">
        <v>7098</v>
      </c>
      <c r="X139" s="41">
        <v>104937000</v>
      </c>
      <c r="Y139" s="41">
        <v>73121000</v>
      </c>
      <c r="Z139" s="41">
        <v>31816000</v>
      </c>
      <c r="AA139" s="41">
        <v>0</v>
      </c>
      <c r="AB139" s="41">
        <v>0</v>
      </c>
      <c r="AC139" s="41">
        <v>0</v>
      </c>
      <c r="AD139" s="41">
        <v>104937000</v>
      </c>
      <c r="AE139" s="41">
        <v>744842826</v>
      </c>
      <c r="AF139" s="41">
        <v>104937</v>
      </c>
      <c r="AG139" s="41">
        <v>104937</v>
      </c>
      <c r="AH139" s="36">
        <v>45366</v>
      </c>
      <c r="AI139" s="36">
        <v>45432</v>
      </c>
      <c r="AJ139" s="36"/>
      <c r="AK139" s="36">
        <v>45397</v>
      </c>
      <c r="AL139" s="36">
        <v>45463</v>
      </c>
      <c r="AM139" s="46"/>
      <c r="AN139" s="40" t="s">
        <v>1921</v>
      </c>
      <c r="AO139" s="40" t="s">
        <v>1995</v>
      </c>
      <c r="AP139" s="40" t="s">
        <v>1923</v>
      </c>
      <c r="AQ139" s="40" t="s">
        <v>80</v>
      </c>
      <c r="AR139" s="48">
        <v>100</v>
      </c>
      <c r="AS139" s="37">
        <v>0</v>
      </c>
      <c r="AT139" s="37" t="s">
        <v>93</v>
      </c>
      <c r="AU139" s="47">
        <v>1000</v>
      </c>
      <c r="AV139" s="37" t="s">
        <v>60</v>
      </c>
      <c r="AW139" s="37">
        <v>10</v>
      </c>
      <c r="AX139" s="30">
        <v>76394136</v>
      </c>
      <c r="AY139" s="40" t="s">
        <v>402</v>
      </c>
    </row>
    <row r="140" spans="1:51" ht="48" customHeight="1" x14ac:dyDescent="0.25">
      <c r="A140" s="59" t="s">
        <v>1996</v>
      </c>
      <c r="B140" s="60">
        <v>45324</v>
      </c>
      <c r="C140" s="40">
        <v>1416</v>
      </c>
      <c r="D140" s="35" t="s">
        <v>431</v>
      </c>
      <c r="E140" s="39" t="s">
        <v>1997</v>
      </c>
      <c r="F140" s="36" t="s">
        <v>431</v>
      </c>
      <c r="G140" s="37" t="s">
        <v>431</v>
      </c>
      <c r="H140" s="40" t="s">
        <v>431</v>
      </c>
      <c r="I140" s="62" t="s">
        <v>1998</v>
      </c>
      <c r="J140" s="61">
        <v>169078328.09999999</v>
      </c>
      <c r="K140" s="41">
        <v>0</v>
      </c>
      <c r="L140" s="54">
        <v>0</v>
      </c>
      <c r="M140" s="54">
        <v>0</v>
      </c>
      <c r="N140" s="42">
        <v>100</v>
      </c>
      <c r="O140" s="43">
        <v>169078328.09999999</v>
      </c>
      <c r="P140" s="41"/>
      <c r="Q140" s="43">
        <v>169078328.09999999</v>
      </c>
      <c r="R140" s="41">
        <v>0</v>
      </c>
      <c r="S140" s="30">
        <v>0</v>
      </c>
      <c r="T140" s="30">
        <v>0</v>
      </c>
      <c r="U140" s="30">
        <v>3221.46</v>
      </c>
      <c r="V140" s="41">
        <v>0</v>
      </c>
      <c r="W140" s="41">
        <v>0</v>
      </c>
      <c r="X140" s="41">
        <v>52485</v>
      </c>
      <c r="Y140" s="41">
        <v>17665</v>
      </c>
      <c r="Z140" s="41">
        <v>34820</v>
      </c>
      <c r="AA140" s="41">
        <v>0</v>
      </c>
      <c r="AB140" s="41"/>
      <c r="AC140" s="41">
        <v>0</v>
      </c>
      <c r="AD140" s="41">
        <v>0</v>
      </c>
      <c r="AE140" s="41">
        <v>0</v>
      </c>
      <c r="AF140" s="41" t="e">
        <v>#DIV/0!</v>
      </c>
      <c r="AG140" s="41" t="e">
        <v>#DIV/0!</v>
      </c>
      <c r="AH140" s="36">
        <v>45352</v>
      </c>
      <c r="AI140" s="36">
        <v>45444</v>
      </c>
      <c r="AJ140" s="36"/>
      <c r="AK140" s="36"/>
      <c r="AL140" s="36"/>
      <c r="AM140" s="46"/>
      <c r="AN140" s="40"/>
      <c r="AO140" s="40"/>
      <c r="AP140" s="40"/>
      <c r="AQ140" s="40"/>
      <c r="AR140" s="48"/>
      <c r="AS140" s="37"/>
      <c r="AT140" s="37"/>
      <c r="AU140" s="47"/>
      <c r="AV140" s="37"/>
      <c r="AW140" s="37">
        <v>10</v>
      </c>
      <c r="AX140" s="30">
        <v>16907832.809999999</v>
      </c>
      <c r="AY140" s="40" t="s">
        <v>431</v>
      </c>
    </row>
    <row r="141" spans="1:51" ht="63.75" customHeight="1" x14ac:dyDescent="0.25">
      <c r="A141" s="44" t="s">
        <v>1999</v>
      </c>
      <c r="B141" s="36">
        <v>45327</v>
      </c>
      <c r="C141" s="37">
        <v>1416</v>
      </c>
      <c r="D141" s="35"/>
      <c r="E141" s="39" t="s">
        <v>2000</v>
      </c>
      <c r="F141" s="36">
        <v>45352</v>
      </c>
      <c r="G141" s="37" t="s">
        <v>2001</v>
      </c>
      <c r="H141" s="40" t="s">
        <v>86</v>
      </c>
      <c r="I141" s="40" t="s">
        <v>710</v>
      </c>
      <c r="J141" s="41">
        <v>251473040</v>
      </c>
      <c r="K141" s="41">
        <v>0</v>
      </c>
      <c r="L141" s="54">
        <v>0</v>
      </c>
      <c r="M141" s="54">
        <v>0</v>
      </c>
      <c r="N141" s="42">
        <v>0</v>
      </c>
      <c r="O141" s="43">
        <v>0</v>
      </c>
      <c r="P141" s="41">
        <v>251473040</v>
      </c>
      <c r="Q141" s="43">
        <v>0</v>
      </c>
      <c r="R141" s="41">
        <v>251473040</v>
      </c>
      <c r="S141" s="30">
        <v>251473040</v>
      </c>
      <c r="T141" s="30">
        <v>251473040</v>
      </c>
      <c r="U141" s="30">
        <v>7.28</v>
      </c>
      <c r="V141" s="41">
        <v>7.28</v>
      </c>
      <c r="W141" s="41">
        <v>7280</v>
      </c>
      <c r="X141" s="41">
        <v>34543000</v>
      </c>
      <c r="Y141" s="41">
        <v>34543000</v>
      </c>
      <c r="Z141" s="41">
        <v>0</v>
      </c>
      <c r="AA141" s="41">
        <v>0</v>
      </c>
      <c r="AB141" s="41">
        <v>34543000</v>
      </c>
      <c r="AC141" s="41">
        <v>251473040</v>
      </c>
      <c r="AD141" s="41">
        <v>0</v>
      </c>
      <c r="AE141" s="41">
        <v>0</v>
      </c>
      <c r="AF141" s="41">
        <v>34543</v>
      </c>
      <c r="AG141" s="41">
        <v>34543</v>
      </c>
      <c r="AH141" s="36">
        <v>45366</v>
      </c>
      <c r="AI141" s="36"/>
      <c r="AJ141" s="36"/>
      <c r="AK141" s="36">
        <v>45397</v>
      </c>
      <c r="AL141" s="36"/>
      <c r="AM141" s="46"/>
      <c r="AN141" s="40" t="s">
        <v>1948</v>
      </c>
      <c r="AO141" s="40" t="s">
        <v>2002</v>
      </c>
      <c r="AP141" s="40" t="s">
        <v>1950</v>
      </c>
      <c r="AQ141" s="40" t="s">
        <v>1951</v>
      </c>
      <c r="AR141" s="48">
        <v>0</v>
      </c>
      <c r="AS141" s="37">
        <v>100</v>
      </c>
      <c r="AT141" s="37" t="s">
        <v>93</v>
      </c>
      <c r="AU141" s="47">
        <v>1000</v>
      </c>
      <c r="AV141" s="37" t="s">
        <v>60</v>
      </c>
      <c r="AW141" s="37">
        <v>10</v>
      </c>
      <c r="AX141" s="30">
        <v>25147304</v>
      </c>
      <c r="AY141" s="40" t="s">
        <v>402</v>
      </c>
    </row>
    <row r="142" spans="1:51" ht="41.25" customHeight="1" x14ac:dyDescent="0.25">
      <c r="A142" s="35" t="s">
        <v>2176</v>
      </c>
      <c r="B142" s="36">
        <v>45337</v>
      </c>
      <c r="C142" s="37">
        <v>1416</v>
      </c>
      <c r="D142" s="35"/>
      <c r="E142" s="39" t="s">
        <v>2177</v>
      </c>
      <c r="F142" s="36"/>
      <c r="G142" s="37"/>
      <c r="H142" s="40"/>
      <c r="I142" s="63" t="s">
        <v>2178</v>
      </c>
      <c r="J142" s="41">
        <v>661467276.47000003</v>
      </c>
      <c r="K142" s="41">
        <v>0</v>
      </c>
      <c r="L142" s="54">
        <v>0</v>
      </c>
      <c r="M142" s="54">
        <v>0</v>
      </c>
      <c r="N142" s="42">
        <v>100</v>
      </c>
      <c r="O142" s="43">
        <v>661467276.47000003</v>
      </c>
      <c r="P142" s="41"/>
      <c r="Q142" s="43">
        <v>661467276.47000003</v>
      </c>
      <c r="R142" s="41">
        <v>0</v>
      </c>
      <c r="S142" s="30">
        <v>0</v>
      </c>
      <c r="T142" s="30">
        <v>0</v>
      </c>
      <c r="U142" s="30" t="e">
        <v>#DIV/0!</v>
      </c>
      <c r="V142" s="41" t="e">
        <v>#DIV/0!</v>
      </c>
      <c r="W142" s="41" t="e">
        <v>#DIV/0!</v>
      </c>
      <c r="X142" s="41">
        <v>0</v>
      </c>
      <c r="Y142" s="41">
        <v>0</v>
      </c>
      <c r="Z142" s="41">
        <v>0</v>
      </c>
      <c r="AA142" s="41">
        <v>0</v>
      </c>
      <c r="AB142" s="41"/>
      <c r="AC142" s="41" t="e">
        <v>#DIV/0!</v>
      </c>
      <c r="AD142" s="41"/>
      <c r="AE142" s="41" t="e">
        <v>#DIV/0!</v>
      </c>
      <c r="AF142" s="41" t="e">
        <v>#DIV/0!</v>
      </c>
      <c r="AG142" s="41" t="e">
        <v>#DIV/0!</v>
      </c>
      <c r="AH142" s="36">
        <v>45474</v>
      </c>
      <c r="AI142" s="36"/>
      <c r="AJ142" s="36"/>
      <c r="AK142" s="36"/>
      <c r="AL142" s="36"/>
      <c r="AM142" s="46"/>
      <c r="AN142" s="40"/>
      <c r="AO142" s="40"/>
      <c r="AP142" s="40"/>
      <c r="AQ142" s="40"/>
      <c r="AR142" s="48"/>
      <c r="AS142" s="37"/>
      <c r="AT142" s="37"/>
      <c r="AU142" s="47"/>
      <c r="AV142" s="37"/>
      <c r="AW142" s="37">
        <v>10</v>
      </c>
      <c r="AX142" s="30">
        <v>66146727.647000007</v>
      </c>
      <c r="AY142" s="40"/>
    </row>
    <row r="143" spans="1:51" ht="41.25" customHeight="1" x14ac:dyDescent="0.25">
      <c r="A143" s="35" t="s">
        <v>2185</v>
      </c>
      <c r="B143" s="36">
        <v>45337</v>
      </c>
      <c r="C143" s="37">
        <v>1416</v>
      </c>
      <c r="D143" s="35"/>
      <c r="E143" s="39" t="s">
        <v>2186</v>
      </c>
      <c r="F143" s="36"/>
      <c r="G143" s="37"/>
      <c r="H143" s="40"/>
      <c r="I143" s="63" t="s">
        <v>2187</v>
      </c>
      <c r="J143" s="41">
        <v>626565718.35000002</v>
      </c>
      <c r="K143" s="41">
        <v>0</v>
      </c>
      <c r="L143" s="54">
        <v>0</v>
      </c>
      <c r="M143" s="54">
        <v>0</v>
      </c>
      <c r="N143" s="42">
        <v>100</v>
      </c>
      <c r="O143" s="43">
        <v>626565718.35000002</v>
      </c>
      <c r="P143" s="41"/>
      <c r="Q143" s="43">
        <v>626565718.35000002</v>
      </c>
      <c r="R143" s="41">
        <v>0</v>
      </c>
      <c r="S143" s="30">
        <v>0</v>
      </c>
      <c r="T143" s="30">
        <v>0</v>
      </c>
      <c r="U143" s="30" t="e">
        <v>#DIV/0!</v>
      </c>
      <c r="V143" s="41" t="e">
        <v>#DIV/0!</v>
      </c>
      <c r="W143" s="41" t="e">
        <v>#DIV/0!</v>
      </c>
      <c r="X143" s="41">
        <v>0</v>
      </c>
      <c r="Y143" s="41">
        <v>0</v>
      </c>
      <c r="Z143" s="41">
        <v>0</v>
      </c>
      <c r="AA143" s="41">
        <v>0</v>
      </c>
      <c r="AB143" s="41"/>
      <c r="AC143" s="41" t="e">
        <v>#DIV/0!</v>
      </c>
      <c r="AD143" s="41"/>
      <c r="AE143" s="41" t="e">
        <v>#DIV/0!</v>
      </c>
      <c r="AF143" s="41" t="e">
        <v>#DIV/0!</v>
      </c>
      <c r="AG143" s="41" t="e">
        <v>#DIV/0!</v>
      </c>
      <c r="AH143" s="36">
        <v>45413</v>
      </c>
      <c r="AI143" s="36"/>
      <c r="AJ143" s="36"/>
      <c r="AK143" s="36"/>
      <c r="AL143" s="36"/>
      <c r="AM143" s="46"/>
      <c r="AN143" s="40"/>
      <c r="AO143" s="40"/>
      <c r="AP143" s="40"/>
      <c r="AQ143" s="40"/>
      <c r="AR143" s="48"/>
      <c r="AS143" s="37"/>
      <c r="AT143" s="37"/>
      <c r="AU143" s="47"/>
      <c r="AV143" s="37"/>
      <c r="AW143" s="37">
        <v>10</v>
      </c>
      <c r="AX143" s="30">
        <v>62656571.835000001</v>
      </c>
      <c r="AY143" s="40"/>
    </row>
    <row r="144" spans="1:51" ht="41.25" customHeight="1" x14ac:dyDescent="0.25">
      <c r="A144" s="35" t="s">
        <v>2188</v>
      </c>
      <c r="B144" s="36">
        <v>45337</v>
      </c>
      <c r="C144" s="40" t="s">
        <v>2189</v>
      </c>
      <c r="D144" s="35" t="s">
        <v>431</v>
      </c>
      <c r="E144" s="39" t="s">
        <v>2190</v>
      </c>
      <c r="F144" s="35" t="s">
        <v>431</v>
      </c>
      <c r="G144" s="35" t="s">
        <v>431</v>
      </c>
      <c r="H144" s="35" t="s">
        <v>431</v>
      </c>
      <c r="I144" s="63" t="s">
        <v>2178</v>
      </c>
      <c r="J144" s="41">
        <v>9023426.2799999993</v>
      </c>
      <c r="K144" s="41">
        <v>0</v>
      </c>
      <c r="L144" s="54">
        <v>0</v>
      </c>
      <c r="M144" s="54">
        <v>0</v>
      </c>
      <c r="N144" s="42">
        <v>100</v>
      </c>
      <c r="O144" s="43">
        <v>9023426.2799999993</v>
      </c>
      <c r="P144" s="41"/>
      <c r="Q144" s="43">
        <v>9023426.2799999993</v>
      </c>
      <c r="R144" s="41">
        <v>0</v>
      </c>
      <c r="S144" s="30">
        <v>0</v>
      </c>
      <c r="T144" s="30">
        <v>0</v>
      </c>
      <c r="U144" s="30" t="e">
        <v>#DIV/0!</v>
      </c>
      <c r="V144" s="41" t="e">
        <v>#DIV/0!</v>
      </c>
      <c r="W144" s="41" t="e">
        <v>#DIV/0!</v>
      </c>
      <c r="X144" s="41">
        <v>0</v>
      </c>
      <c r="Y144" s="41">
        <v>0</v>
      </c>
      <c r="Z144" s="41">
        <v>0</v>
      </c>
      <c r="AA144" s="41">
        <v>0</v>
      </c>
      <c r="AB144" s="41"/>
      <c r="AC144" s="41" t="e">
        <v>#DIV/0!</v>
      </c>
      <c r="AD144" s="41"/>
      <c r="AE144" s="41" t="e">
        <v>#DIV/0!</v>
      </c>
      <c r="AF144" s="41" t="e">
        <v>#DIV/0!</v>
      </c>
      <c r="AG144" s="41" t="e">
        <v>#DIV/0!</v>
      </c>
      <c r="AH144" s="36">
        <v>45474</v>
      </c>
      <c r="AI144" s="36"/>
      <c r="AJ144" s="36"/>
      <c r="AK144" s="36"/>
      <c r="AL144" s="36"/>
      <c r="AM144" s="46"/>
      <c r="AN144" s="40"/>
      <c r="AO144" s="40"/>
      <c r="AP144" s="40"/>
      <c r="AQ144" s="40"/>
      <c r="AR144" s="48"/>
      <c r="AS144" s="37"/>
      <c r="AT144" s="37"/>
      <c r="AU144" s="47"/>
      <c r="AV144" s="37"/>
      <c r="AW144" s="37">
        <v>10</v>
      </c>
      <c r="AX144" s="30">
        <v>902342.62800000003</v>
      </c>
      <c r="AY144" s="40" t="s">
        <v>431</v>
      </c>
    </row>
    <row r="145" spans="1:51" ht="41.25" customHeight="1" x14ac:dyDescent="0.25">
      <c r="A145" s="35" t="s">
        <v>2191</v>
      </c>
      <c r="B145" s="36">
        <v>45337</v>
      </c>
      <c r="C145" s="40" t="s">
        <v>2189</v>
      </c>
      <c r="D145" s="35" t="s">
        <v>431</v>
      </c>
      <c r="E145" s="39" t="s">
        <v>2192</v>
      </c>
      <c r="F145" s="35" t="s">
        <v>431</v>
      </c>
      <c r="G145" s="35" t="s">
        <v>431</v>
      </c>
      <c r="H145" s="35" t="s">
        <v>431</v>
      </c>
      <c r="I145" s="63" t="s">
        <v>2193</v>
      </c>
      <c r="J145" s="41">
        <v>62977.5</v>
      </c>
      <c r="K145" s="41">
        <v>0</v>
      </c>
      <c r="L145" s="54">
        <v>0</v>
      </c>
      <c r="M145" s="54">
        <v>0</v>
      </c>
      <c r="N145" s="42">
        <v>100</v>
      </c>
      <c r="O145" s="43">
        <v>62977.5</v>
      </c>
      <c r="P145" s="41"/>
      <c r="Q145" s="43">
        <v>62977.5</v>
      </c>
      <c r="R145" s="41">
        <v>0</v>
      </c>
      <c r="S145" s="30">
        <v>0</v>
      </c>
      <c r="T145" s="30">
        <v>0</v>
      </c>
      <c r="U145" s="30" t="e">
        <v>#DIV/0!</v>
      </c>
      <c r="V145" s="41" t="e">
        <v>#DIV/0!</v>
      </c>
      <c r="W145" s="41" t="e">
        <v>#DIV/0!</v>
      </c>
      <c r="X145" s="41">
        <v>0</v>
      </c>
      <c r="Y145" s="41">
        <v>0</v>
      </c>
      <c r="Z145" s="41">
        <v>0</v>
      </c>
      <c r="AA145" s="41">
        <v>0</v>
      </c>
      <c r="AB145" s="41"/>
      <c r="AC145" s="41" t="e">
        <v>#DIV/0!</v>
      </c>
      <c r="AD145" s="41"/>
      <c r="AE145" s="41" t="e">
        <v>#DIV/0!</v>
      </c>
      <c r="AF145" s="41" t="e">
        <v>#DIV/0!</v>
      </c>
      <c r="AG145" s="41" t="e">
        <v>#DIV/0!</v>
      </c>
      <c r="AH145" s="36">
        <v>45397</v>
      </c>
      <c r="AI145" s="36"/>
      <c r="AJ145" s="36"/>
      <c r="AK145" s="36"/>
      <c r="AL145" s="36"/>
      <c r="AM145" s="46"/>
      <c r="AN145" s="40"/>
      <c r="AO145" s="40"/>
      <c r="AP145" s="40"/>
      <c r="AQ145" s="40"/>
      <c r="AR145" s="48"/>
      <c r="AS145" s="37"/>
      <c r="AT145" s="37"/>
      <c r="AU145" s="47"/>
      <c r="AV145" s="37"/>
      <c r="AW145" s="37">
        <v>10</v>
      </c>
      <c r="AX145" s="30">
        <v>6297.75</v>
      </c>
      <c r="AY145" s="40" t="s">
        <v>431</v>
      </c>
    </row>
    <row r="146" spans="1:51" ht="41.25" customHeight="1" x14ac:dyDescent="0.25">
      <c r="A146" s="35" t="s">
        <v>2204</v>
      </c>
      <c r="B146" s="36">
        <v>45337</v>
      </c>
      <c r="C146" s="40" t="s">
        <v>2189</v>
      </c>
      <c r="D146" s="35"/>
      <c r="E146" s="39" t="s">
        <v>2205</v>
      </c>
      <c r="F146" s="36">
        <v>45350</v>
      </c>
      <c r="G146" s="37" t="s">
        <v>2206</v>
      </c>
      <c r="H146" s="40" t="s">
        <v>2162</v>
      </c>
      <c r="I146" s="63" t="s">
        <v>2187</v>
      </c>
      <c r="J146" s="41">
        <v>3802660.95</v>
      </c>
      <c r="K146" s="41">
        <v>0</v>
      </c>
      <c r="L146" s="54">
        <v>0</v>
      </c>
      <c r="M146" s="54">
        <v>0</v>
      </c>
      <c r="N146" s="42">
        <v>0</v>
      </c>
      <c r="O146" s="43">
        <v>0</v>
      </c>
      <c r="P146" s="41">
        <v>3802660.95</v>
      </c>
      <c r="Q146" s="43">
        <v>0</v>
      </c>
      <c r="R146" s="41">
        <v>3802660.95</v>
      </c>
      <c r="S146" s="30">
        <v>3802660.95</v>
      </c>
      <c r="T146" s="30">
        <v>3802660.95</v>
      </c>
      <c r="U146" s="30">
        <v>1212.97</v>
      </c>
      <c r="V146" s="41">
        <v>1212.97</v>
      </c>
      <c r="W146" s="41">
        <v>18194.55</v>
      </c>
      <c r="X146" s="41">
        <v>3135</v>
      </c>
      <c r="Y146" s="41">
        <v>3135</v>
      </c>
      <c r="Z146" s="41">
        <v>0</v>
      </c>
      <c r="AA146" s="41">
        <v>0</v>
      </c>
      <c r="AB146" s="41">
        <v>0</v>
      </c>
      <c r="AC146" s="41">
        <v>0</v>
      </c>
      <c r="AD146" s="41">
        <v>3135</v>
      </c>
      <c r="AE146" s="41">
        <v>3802660.95</v>
      </c>
      <c r="AF146" s="41">
        <v>209</v>
      </c>
      <c r="AG146" s="41">
        <v>209</v>
      </c>
      <c r="AH146" s="36">
        <v>45413</v>
      </c>
      <c r="AI146" s="36"/>
      <c r="AJ146" s="36"/>
      <c r="AK146" s="36">
        <v>45444</v>
      </c>
      <c r="AL146" s="36"/>
      <c r="AM146" s="46"/>
      <c r="AN146" s="40" t="s">
        <v>2207</v>
      </c>
      <c r="AO146" s="40" t="s">
        <v>2208</v>
      </c>
      <c r="AP146" s="40" t="s">
        <v>2209</v>
      </c>
      <c r="AQ146" s="40" t="s">
        <v>80</v>
      </c>
      <c r="AR146" s="48">
        <v>100</v>
      </c>
      <c r="AS146" s="37">
        <v>0</v>
      </c>
      <c r="AT146" s="37" t="s">
        <v>386</v>
      </c>
      <c r="AU146" s="47">
        <v>15</v>
      </c>
      <c r="AV146" s="37" t="s">
        <v>219</v>
      </c>
      <c r="AW146" s="37">
        <v>10</v>
      </c>
      <c r="AX146" s="30">
        <v>380266.09499999997</v>
      </c>
      <c r="AY146" s="40" t="s">
        <v>402</v>
      </c>
    </row>
    <row r="147" spans="1:51" ht="41.25" customHeight="1" x14ac:dyDescent="0.25">
      <c r="A147" s="59" t="s">
        <v>2214</v>
      </c>
      <c r="B147" s="60">
        <v>45338</v>
      </c>
      <c r="C147" s="37">
        <v>1416</v>
      </c>
      <c r="D147" s="35"/>
      <c r="E147" s="39" t="s">
        <v>2215</v>
      </c>
      <c r="F147" s="36"/>
      <c r="G147" s="37"/>
      <c r="H147" s="40"/>
      <c r="I147" s="62" t="s">
        <v>1027</v>
      </c>
      <c r="J147" s="61">
        <v>2708640</v>
      </c>
      <c r="K147" s="41"/>
      <c r="L147" s="54"/>
      <c r="M147" s="54"/>
      <c r="N147" s="42"/>
      <c r="O147" s="43"/>
      <c r="P147" s="41"/>
      <c r="Q147" s="43"/>
      <c r="R147" s="41"/>
      <c r="S147" s="30"/>
      <c r="T147" s="30"/>
      <c r="U147" s="30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36">
        <v>45474</v>
      </c>
      <c r="AI147" s="36"/>
      <c r="AJ147" s="36"/>
      <c r="AK147" s="36"/>
      <c r="AL147" s="36"/>
      <c r="AM147" s="46"/>
      <c r="AN147" s="40"/>
      <c r="AO147" s="40"/>
      <c r="AP147" s="40"/>
      <c r="AQ147" s="40"/>
      <c r="AR147" s="48"/>
      <c r="AS147" s="37"/>
      <c r="AT147" s="37"/>
      <c r="AU147" s="47"/>
      <c r="AV147" s="37"/>
      <c r="AW147" s="37"/>
      <c r="AX147" s="30"/>
      <c r="AY147" s="40"/>
    </row>
    <row r="148" spans="1:51" ht="48" customHeight="1" x14ac:dyDescent="0.25">
      <c r="A148" s="59" t="s">
        <v>2258</v>
      </c>
      <c r="B148" s="60">
        <v>45341</v>
      </c>
      <c r="C148" s="37">
        <v>1416</v>
      </c>
      <c r="D148" s="35"/>
      <c r="E148" s="39" t="s">
        <v>2259</v>
      </c>
      <c r="F148" s="36"/>
      <c r="G148" s="37"/>
      <c r="H148" s="40"/>
      <c r="I148" s="62" t="s">
        <v>2260</v>
      </c>
      <c r="J148" s="61">
        <v>454968600</v>
      </c>
      <c r="K148" s="41">
        <v>0</v>
      </c>
      <c r="L148" s="54">
        <v>0</v>
      </c>
      <c r="M148" s="54">
        <v>0</v>
      </c>
      <c r="N148" s="42">
        <v>100</v>
      </c>
      <c r="O148" s="43">
        <v>454968600</v>
      </c>
      <c r="P148" s="41"/>
      <c r="Q148" s="43">
        <v>454968600</v>
      </c>
      <c r="R148" s="41">
        <v>0</v>
      </c>
      <c r="S148" s="30">
        <v>0</v>
      </c>
      <c r="T148" s="30">
        <v>0</v>
      </c>
      <c r="U148" s="30" t="e">
        <v>#DIV/0!</v>
      </c>
      <c r="V148" s="41" t="e">
        <v>#DIV/0!</v>
      </c>
      <c r="W148" s="41" t="e">
        <v>#DIV/0!</v>
      </c>
      <c r="X148" s="41">
        <v>0</v>
      </c>
      <c r="Y148" s="41">
        <v>0</v>
      </c>
      <c r="Z148" s="41">
        <v>0</v>
      </c>
      <c r="AA148" s="41">
        <v>0</v>
      </c>
      <c r="AB148" s="41"/>
      <c r="AC148" s="41" t="e">
        <v>#DIV/0!</v>
      </c>
      <c r="AD148" s="41"/>
      <c r="AE148" s="41" t="e">
        <v>#DIV/0!</v>
      </c>
      <c r="AF148" s="41" t="e">
        <v>#DIV/0!</v>
      </c>
      <c r="AG148" s="41" t="e">
        <v>#DIV/0!</v>
      </c>
      <c r="AH148" s="36">
        <v>45397</v>
      </c>
      <c r="AI148" s="36">
        <v>45443</v>
      </c>
      <c r="AJ148" s="36"/>
      <c r="AK148" s="36"/>
      <c r="AL148" s="36"/>
      <c r="AM148" s="46"/>
      <c r="AN148" s="40"/>
      <c r="AO148" s="40"/>
      <c r="AP148" s="40"/>
      <c r="AQ148" s="40"/>
      <c r="AR148" s="48"/>
      <c r="AS148" s="37"/>
      <c r="AT148" s="37"/>
      <c r="AU148" s="47"/>
      <c r="AV148" s="37"/>
      <c r="AW148" s="37">
        <v>10</v>
      </c>
      <c r="AX148" s="30">
        <v>45496860</v>
      </c>
      <c r="AY148" s="40"/>
    </row>
    <row r="149" spans="1:51" ht="48" customHeight="1" x14ac:dyDescent="0.25">
      <c r="A149" s="59" t="s">
        <v>2261</v>
      </c>
      <c r="B149" s="60">
        <v>45341</v>
      </c>
      <c r="C149" s="37">
        <v>1416</v>
      </c>
      <c r="D149" s="35"/>
      <c r="E149" s="39" t="s">
        <v>2262</v>
      </c>
      <c r="F149" s="36"/>
      <c r="G149" s="37"/>
      <c r="H149" s="40"/>
      <c r="I149" s="62" t="s">
        <v>2193</v>
      </c>
      <c r="J149" s="61">
        <v>6465690</v>
      </c>
      <c r="K149" s="41">
        <v>0</v>
      </c>
      <c r="L149" s="54">
        <v>0</v>
      </c>
      <c r="M149" s="54">
        <v>0</v>
      </c>
      <c r="N149" s="42">
        <v>100</v>
      </c>
      <c r="O149" s="43">
        <v>6465690</v>
      </c>
      <c r="P149" s="41"/>
      <c r="Q149" s="43">
        <v>6465690</v>
      </c>
      <c r="R149" s="41">
        <v>0</v>
      </c>
      <c r="S149" s="30">
        <v>0</v>
      </c>
      <c r="T149" s="30">
        <v>0</v>
      </c>
      <c r="U149" s="30" t="e">
        <v>#DIV/0!</v>
      </c>
      <c r="V149" s="41" t="e">
        <v>#DIV/0!</v>
      </c>
      <c r="W149" s="41" t="e">
        <v>#DIV/0!</v>
      </c>
      <c r="X149" s="41">
        <v>0</v>
      </c>
      <c r="Y149" s="41">
        <v>0</v>
      </c>
      <c r="Z149" s="41">
        <v>0</v>
      </c>
      <c r="AA149" s="41">
        <v>0</v>
      </c>
      <c r="AB149" s="41"/>
      <c r="AC149" s="41" t="e">
        <v>#DIV/0!</v>
      </c>
      <c r="AD149" s="41"/>
      <c r="AE149" s="41" t="e">
        <v>#DIV/0!</v>
      </c>
      <c r="AF149" s="41" t="e">
        <v>#DIV/0!</v>
      </c>
      <c r="AG149" s="41" t="e">
        <v>#DIV/0!</v>
      </c>
      <c r="AH149" s="36">
        <v>45397</v>
      </c>
      <c r="AI149" s="36"/>
      <c r="AJ149" s="36"/>
      <c r="AK149" s="36"/>
      <c r="AL149" s="36"/>
      <c r="AM149" s="46"/>
      <c r="AN149" s="40"/>
      <c r="AO149" s="40"/>
      <c r="AP149" s="40"/>
      <c r="AQ149" s="40"/>
      <c r="AR149" s="48"/>
      <c r="AS149" s="37"/>
      <c r="AT149" s="37"/>
      <c r="AU149" s="47"/>
      <c r="AV149" s="37"/>
      <c r="AW149" s="37">
        <v>10</v>
      </c>
      <c r="AX149" s="30">
        <v>646569</v>
      </c>
      <c r="AY149" s="40"/>
    </row>
    <row r="150" spans="1:51" ht="48" customHeight="1" x14ac:dyDescent="0.25">
      <c r="A150" s="59" t="s">
        <v>2263</v>
      </c>
      <c r="B150" s="60">
        <v>45341</v>
      </c>
      <c r="C150" s="37">
        <v>1416</v>
      </c>
      <c r="D150" s="35"/>
      <c r="E150" s="39" t="s">
        <v>2264</v>
      </c>
      <c r="F150" s="36"/>
      <c r="G150" s="37"/>
      <c r="H150" s="40"/>
      <c r="I150" s="62" t="s">
        <v>2265</v>
      </c>
      <c r="J150" s="61">
        <v>680150160</v>
      </c>
      <c r="K150" s="41">
        <v>0</v>
      </c>
      <c r="L150" s="54">
        <v>0</v>
      </c>
      <c r="M150" s="54">
        <v>0</v>
      </c>
      <c r="N150" s="42">
        <v>100</v>
      </c>
      <c r="O150" s="43">
        <v>680150160</v>
      </c>
      <c r="P150" s="41"/>
      <c r="Q150" s="43">
        <v>680150160</v>
      </c>
      <c r="R150" s="41">
        <v>0</v>
      </c>
      <c r="S150" s="30">
        <v>0</v>
      </c>
      <c r="T150" s="30">
        <v>0</v>
      </c>
      <c r="U150" s="30" t="e">
        <v>#DIV/0!</v>
      </c>
      <c r="V150" s="41" t="e">
        <v>#DIV/0!</v>
      </c>
      <c r="W150" s="41" t="e">
        <v>#DIV/0!</v>
      </c>
      <c r="X150" s="41">
        <v>0</v>
      </c>
      <c r="Y150" s="41">
        <v>0</v>
      </c>
      <c r="Z150" s="41">
        <v>0</v>
      </c>
      <c r="AA150" s="41">
        <v>0</v>
      </c>
      <c r="AB150" s="41"/>
      <c r="AC150" s="41" t="e">
        <v>#DIV/0!</v>
      </c>
      <c r="AD150" s="41"/>
      <c r="AE150" s="41" t="e">
        <v>#DIV/0!</v>
      </c>
      <c r="AF150" s="41" t="e">
        <v>#DIV/0!</v>
      </c>
      <c r="AG150" s="41" t="e">
        <v>#DIV/0!</v>
      </c>
      <c r="AH150" s="36">
        <v>45397</v>
      </c>
      <c r="AI150" s="36"/>
      <c r="AJ150" s="36"/>
      <c r="AK150" s="36"/>
      <c r="AL150" s="36"/>
      <c r="AM150" s="46"/>
      <c r="AN150" s="40"/>
      <c r="AO150" s="40"/>
      <c r="AP150" s="40"/>
      <c r="AQ150" s="40"/>
      <c r="AR150" s="48"/>
      <c r="AS150" s="37"/>
      <c r="AT150" s="37"/>
      <c r="AU150" s="47"/>
      <c r="AV150" s="37"/>
      <c r="AW150" s="37">
        <v>10</v>
      </c>
      <c r="AX150" s="30">
        <v>68015016</v>
      </c>
      <c r="AY150" s="40"/>
    </row>
    <row r="151" spans="1:51" ht="48" customHeight="1" x14ac:dyDescent="0.25">
      <c r="A151" s="59" t="s">
        <v>2306</v>
      </c>
      <c r="B151" s="60">
        <v>45343</v>
      </c>
      <c r="C151" s="37">
        <v>1416</v>
      </c>
      <c r="D151" s="37" t="s">
        <v>431</v>
      </c>
      <c r="E151" s="39" t="s">
        <v>2307</v>
      </c>
      <c r="F151" s="37" t="s">
        <v>431</v>
      </c>
      <c r="G151" s="37" t="s">
        <v>431</v>
      </c>
      <c r="H151" s="37" t="s">
        <v>431</v>
      </c>
      <c r="I151" s="62" t="s">
        <v>2308</v>
      </c>
      <c r="J151" s="61">
        <v>2041600</v>
      </c>
      <c r="K151" s="41">
        <v>0</v>
      </c>
      <c r="L151" s="54">
        <v>0</v>
      </c>
      <c r="M151" s="54">
        <v>0</v>
      </c>
      <c r="N151" s="42">
        <v>100</v>
      </c>
      <c r="O151" s="43">
        <v>2041600</v>
      </c>
      <c r="P151" s="41"/>
      <c r="Q151" s="43">
        <v>2041600</v>
      </c>
      <c r="R151" s="41">
        <v>0</v>
      </c>
      <c r="S151" s="30">
        <v>0</v>
      </c>
      <c r="T151" s="30">
        <v>0</v>
      </c>
      <c r="U151" s="30" t="e">
        <v>#DIV/0!</v>
      </c>
      <c r="V151" s="41" t="e">
        <v>#DIV/0!</v>
      </c>
      <c r="W151" s="41" t="e">
        <v>#DIV/0!</v>
      </c>
      <c r="X151" s="41">
        <v>0</v>
      </c>
      <c r="Y151" s="41">
        <v>0</v>
      </c>
      <c r="Z151" s="41">
        <v>0</v>
      </c>
      <c r="AA151" s="41">
        <v>0</v>
      </c>
      <c r="AB151" s="41"/>
      <c r="AC151" s="41" t="e">
        <v>#DIV/0!</v>
      </c>
      <c r="AD151" s="41"/>
      <c r="AE151" s="41" t="e">
        <v>#DIV/0!</v>
      </c>
      <c r="AF151" s="41" t="e">
        <v>#DIV/0!</v>
      </c>
      <c r="AG151" s="41" t="e">
        <v>#DIV/0!</v>
      </c>
      <c r="AH151" s="36">
        <v>45397</v>
      </c>
      <c r="AI151" s="36"/>
      <c r="AJ151" s="36"/>
      <c r="AK151" s="36"/>
      <c r="AL151" s="36"/>
      <c r="AM151" s="46"/>
      <c r="AN151" s="40"/>
      <c r="AO151" s="40"/>
      <c r="AP151" s="40"/>
      <c r="AQ151" s="40"/>
      <c r="AR151" s="48"/>
      <c r="AS151" s="37"/>
      <c r="AT151" s="37"/>
      <c r="AU151" s="47"/>
      <c r="AV151" s="37"/>
      <c r="AW151" s="37">
        <v>10</v>
      </c>
      <c r="AX151" s="30">
        <v>204160</v>
      </c>
      <c r="AY151" s="40" t="s">
        <v>431</v>
      </c>
    </row>
    <row r="152" spans="1:51" ht="39" customHeight="1" x14ac:dyDescent="0.25">
      <c r="A152" s="59" t="s">
        <v>2320</v>
      </c>
      <c r="B152" s="60">
        <v>45343</v>
      </c>
      <c r="C152" s="37">
        <v>1416</v>
      </c>
      <c r="D152" s="35"/>
      <c r="E152" s="39" t="s">
        <v>2321</v>
      </c>
      <c r="F152" s="36"/>
      <c r="G152" s="37"/>
      <c r="H152" s="40"/>
      <c r="I152" s="62" t="s">
        <v>2322</v>
      </c>
      <c r="J152" s="61">
        <v>45157260</v>
      </c>
      <c r="K152" s="41">
        <v>0</v>
      </c>
      <c r="L152" s="54">
        <v>0</v>
      </c>
      <c r="M152" s="54">
        <v>0</v>
      </c>
      <c r="N152" s="42">
        <v>100</v>
      </c>
      <c r="O152" s="43">
        <v>45157260</v>
      </c>
      <c r="P152" s="41"/>
      <c r="Q152" s="43">
        <v>45157260</v>
      </c>
      <c r="R152" s="41">
        <v>0</v>
      </c>
      <c r="S152" s="30">
        <v>0</v>
      </c>
      <c r="T152" s="30">
        <v>0</v>
      </c>
      <c r="U152" s="30" t="e">
        <v>#DIV/0!</v>
      </c>
      <c r="V152" s="41" t="e">
        <v>#DIV/0!</v>
      </c>
      <c r="W152" s="41" t="e">
        <v>#DIV/0!</v>
      </c>
      <c r="X152" s="41">
        <v>0</v>
      </c>
      <c r="Y152" s="41">
        <v>0</v>
      </c>
      <c r="Z152" s="41">
        <v>0</v>
      </c>
      <c r="AA152" s="41">
        <v>0</v>
      </c>
      <c r="AB152" s="41"/>
      <c r="AC152" s="41" t="e">
        <v>#DIV/0!</v>
      </c>
      <c r="AD152" s="41"/>
      <c r="AE152" s="41" t="e">
        <v>#DIV/0!</v>
      </c>
      <c r="AF152" s="41" t="e">
        <v>#DIV/0!</v>
      </c>
      <c r="AG152" s="41" t="e">
        <v>#DIV/0!</v>
      </c>
      <c r="AH152" s="36">
        <v>45397</v>
      </c>
      <c r="AI152" s="36">
        <v>45443</v>
      </c>
      <c r="AJ152" s="36"/>
      <c r="AK152" s="36"/>
      <c r="AL152" s="36"/>
      <c r="AM152" s="46"/>
      <c r="AN152" s="40"/>
      <c r="AO152" s="40"/>
      <c r="AP152" s="40"/>
      <c r="AQ152" s="40"/>
      <c r="AR152" s="48"/>
      <c r="AS152" s="37"/>
      <c r="AT152" s="37"/>
      <c r="AU152" s="47"/>
      <c r="AV152" s="37"/>
      <c r="AW152" s="37">
        <v>10</v>
      </c>
      <c r="AX152" s="30">
        <v>4515726</v>
      </c>
      <c r="AY152" s="40"/>
    </row>
    <row r="153" spans="1:51" ht="39" customHeight="1" x14ac:dyDescent="0.25">
      <c r="A153" s="59" t="s">
        <v>2325</v>
      </c>
      <c r="B153" s="60">
        <v>45343</v>
      </c>
      <c r="C153" s="37">
        <v>1416</v>
      </c>
      <c r="D153" s="35"/>
      <c r="E153" s="39" t="s">
        <v>2326</v>
      </c>
      <c r="F153" s="36"/>
      <c r="G153" s="37"/>
      <c r="H153" s="40"/>
      <c r="I153" s="62" t="s">
        <v>2327</v>
      </c>
      <c r="J153" s="61">
        <v>217068760</v>
      </c>
      <c r="K153" s="41">
        <v>0</v>
      </c>
      <c r="L153" s="54">
        <v>0</v>
      </c>
      <c r="M153" s="54">
        <v>0</v>
      </c>
      <c r="N153" s="42">
        <v>100</v>
      </c>
      <c r="O153" s="43">
        <v>217068760</v>
      </c>
      <c r="P153" s="41"/>
      <c r="Q153" s="43">
        <v>217068760</v>
      </c>
      <c r="R153" s="41">
        <v>0</v>
      </c>
      <c r="S153" s="30">
        <v>0</v>
      </c>
      <c r="T153" s="30">
        <v>0</v>
      </c>
      <c r="U153" s="30" t="e">
        <v>#DIV/0!</v>
      </c>
      <c r="V153" s="41" t="e">
        <v>#DIV/0!</v>
      </c>
      <c r="W153" s="41" t="e">
        <v>#DIV/0!</v>
      </c>
      <c r="X153" s="41">
        <v>0</v>
      </c>
      <c r="Y153" s="41">
        <v>0</v>
      </c>
      <c r="Z153" s="41">
        <v>0</v>
      </c>
      <c r="AA153" s="41">
        <v>0</v>
      </c>
      <c r="AB153" s="41"/>
      <c r="AC153" s="41" t="e">
        <v>#DIV/0!</v>
      </c>
      <c r="AD153" s="41"/>
      <c r="AE153" s="41" t="e">
        <v>#DIV/0!</v>
      </c>
      <c r="AF153" s="41" t="e">
        <v>#DIV/0!</v>
      </c>
      <c r="AG153" s="41" t="e">
        <v>#DIV/0!</v>
      </c>
      <c r="AH153" s="36">
        <v>45397</v>
      </c>
      <c r="AI153" s="36"/>
      <c r="AJ153" s="36"/>
      <c r="AK153" s="36"/>
      <c r="AL153" s="36"/>
      <c r="AM153" s="46"/>
      <c r="AN153" s="40"/>
      <c r="AO153" s="40"/>
      <c r="AP153" s="40"/>
      <c r="AQ153" s="40"/>
      <c r="AR153" s="48"/>
      <c r="AS153" s="37"/>
      <c r="AT153" s="37"/>
      <c r="AU153" s="47"/>
      <c r="AV153" s="37"/>
      <c r="AW153" s="37">
        <v>10</v>
      </c>
      <c r="AX153" s="30">
        <v>21706876</v>
      </c>
      <c r="AY153" s="40"/>
    </row>
    <row r="154" spans="1:51" ht="39" customHeight="1" x14ac:dyDescent="0.25">
      <c r="A154" s="59" t="s">
        <v>2328</v>
      </c>
      <c r="B154" s="60">
        <v>45343</v>
      </c>
      <c r="C154" s="37">
        <v>1416</v>
      </c>
      <c r="D154" s="35"/>
      <c r="E154" s="39" t="s">
        <v>2329</v>
      </c>
      <c r="F154" s="36"/>
      <c r="G154" s="37"/>
      <c r="H154" s="40"/>
      <c r="I154" s="62" t="s">
        <v>2330</v>
      </c>
      <c r="J154" s="61">
        <v>351221410</v>
      </c>
      <c r="K154" s="41">
        <v>0</v>
      </c>
      <c r="L154" s="54">
        <v>0</v>
      </c>
      <c r="M154" s="54">
        <v>0</v>
      </c>
      <c r="N154" s="42">
        <v>100</v>
      </c>
      <c r="O154" s="43">
        <v>351221410</v>
      </c>
      <c r="P154" s="41"/>
      <c r="Q154" s="43">
        <v>351221410</v>
      </c>
      <c r="R154" s="41">
        <v>0</v>
      </c>
      <c r="S154" s="30">
        <v>0</v>
      </c>
      <c r="T154" s="30">
        <v>0</v>
      </c>
      <c r="U154" s="30" t="e">
        <v>#DIV/0!</v>
      </c>
      <c r="V154" s="41" t="e">
        <v>#DIV/0!</v>
      </c>
      <c r="W154" s="41" t="e">
        <v>#DIV/0!</v>
      </c>
      <c r="X154" s="41">
        <v>0</v>
      </c>
      <c r="Y154" s="41">
        <v>0</v>
      </c>
      <c r="Z154" s="41">
        <v>0</v>
      </c>
      <c r="AA154" s="41">
        <v>0</v>
      </c>
      <c r="AB154" s="41"/>
      <c r="AC154" s="41" t="e">
        <v>#DIV/0!</v>
      </c>
      <c r="AD154" s="41"/>
      <c r="AE154" s="41" t="e">
        <v>#DIV/0!</v>
      </c>
      <c r="AF154" s="41" t="e">
        <v>#DIV/0!</v>
      </c>
      <c r="AG154" s="41" t="e">
        <v>#DIV/0!</v>
      </c>
      <c r="AH154" s="36">
        <v>45397</v>
      </c>
      <c r="AI154" s="36"/>
      <c r="AJ154" s="36"/>
      <c r="AK154" s="36"/>
      <c r="AL154" s="36"/>
      <c r="AM154" s="46"/>
      <c r="AN154" s="40"/>
      <c r="AO154" s="40"/>
      <c r="AP154" s="40"/>
      <c r="AQ154" s="40"/>
      <c r="AR154" s="48"/>
      <c r="AS154" s="37"/>
      <c r="AT154" s="37"/>
      <c r="AU154" s="47"/>
      <c r="AV154" s="37"/>
      <c r="AW154" s="37">
        <v>10</v>
      </c>
      <c r="AX154" s="30">
        <v>35122141</v>
      </c>
      <c r="AY154" s="40"/>
    </row>
    <row r="155" spans="1:51" ht="39" customHeight="1" x14ac:dyDescent="0.25">
      <c r="A155" s="59" t="s">
        <v>2336</v>
      </c>
      <c r="B155" s="60">
        <v>45343</v>
      </c>
      <c r="C155" s="40" t="s">
        <v>2189</v>
      </c>
      <c r="D155" s="35"/>
      <c r="E155" s="39" t="s">
        <v>2337</v>
      </c>
      <c r="F155" s="36">
        <v>45356</v>
      </c>
      <c r="G155" s="37" t="s">
        <v>2338</v>
      </c>
      <c r="H155" s="40" t="s">
        <v>1830</v>
      </c>
      <c r="I155" s="62" t="s">
        <v>1435</v>
      </c>
      <c r="J155" s="61">
        <v>435864</v>
      </c>
      <c r="K155" s="41">
        <v>0</v>
      </c>
      <c r="L155" s="54">
        <v>0</v>
      </c>
      <c r="M155" s="54">
        <v>0</v>
      </c>
      <c r="N155" s="42">
        <v>2.3860653781913623E-2</v>
      </c>
      <c r="O155" s="43">
        <v>104</v>
      </c>
      <c r="P155" s="41">
        <v>435760</v>
      </c>
      <c r="Q155" s="43">
        <v>104</v>
      </c>
      <c r="R155" s="41">
        <v>435760</v>
      </c>
      <c r="S155" s="30">
        <v>435760</v>
      </c>
      <c r="T155" s="30">
        <v>435760</v>
      </c>
      <c r="U155" s="30">
        <v>41.9</v>
      </c>
      <c r="V155" s="41">
        <v>41.9</v>
      </c>
      <c r="W155" s="41">
        <v>2095</v>
      </c>
      <c r="X155" s="41">
        <v>10400</v>
      </c>
      <c r="Y155" s="41">
        <v>10400</v>
      </c>
      <c r="Z155" s="41">
        <v>0</v>
      </c>
      <c r="AA155" s="41">
        <v>0</v>
      </c>
      <c r="AB155" s="41">
        <v>1800</v>
      </c>
      <c r="AC155" s="41">
        <v>75420</v>
      </c>
      <c r="AD155" s="41">
        <v>8600</v>
      </c>
      <c r="AE155" s="41">
        <v>360340</v>
      </c>
      <c r="AF155" s="41">
        <v>208</v>
      </c>
      <c r="AG155" s="41">
        <v>208</v>
      </c>
      <c r="AH155" s="36">
        <v>45397</v>
      </c>
      <c r="AI155" s="36"/>
      <c r="AJ155" s="36"/>
      <c r="AK155" s="36">
        <v>45427</v>
      </c>
      <c r="AL155" s="36"/>
      <c r="AM155" s="46"/>
      <c r="AN155" s="40" t="s">
        <v>865</v>
      </c>
      <c r="AO155" s="40" t="s">
        <v>1463</v>
      </c>
      <c r="AP155" s="40" t="s">
        <v>867</v>
      </c>
      <c r="AQ155" s="40" t="s">
        <v>80</v>
      </c>
      <c r="AR155" s="48">
        <v>100</v>
      </c>
      <c r="AS155" s="37">
        <v>0</v>
      </c>
      <c r="AT155" s="37" t="s">
        <v>386</v>
      </c>
      <c r="AU155" s="47">
        <v>50</v>
      </c>
      <c r="AV155" s="37" t="s">
        <v>2339</v>
      </c>
      <c r="AW155" s="37">
        <v>10</v>
      </c>
      <c r="AX155" s="30">
        <v>43586.400000000001</v>
      </c>
      <c r="AY155" s="40" t="s">
        <v>402</v>
      </c>
    </row>
    <row r="156" spans="1:51" ht="39" customHeight="1" x14ac:dyDescent="0.25">
      <c r="A156" s="59" t="s">
        <v>2340</v>
      </c>
      <c r="B156" s="60">
        <v>45343</v>
      </c>
      <c r="C156" s="37">
        <v>1416</v>
      </c>
      <c r="D156" s="35"/>
      <c r="E156" s="39" t="s">
        <v>2341</v>
      </c>
      <c r="F156" s="36"/>
      <c r="G156" s="37"/>
      <c r="H156" s="40"/>
      <c r="I156" s="62" t="s">
        <v>2342</v>
      </c>
      <c r="J156" s="61">
        <v>205846080</v>
      </c>
      <c r="K156" s="41">
        <v>0</v>
      </c>
      <c r="L156" s="54">
        <v>0</v>
      </c>
      <c r="M156" s="54">
        <v>0</v>
      </c>
      <c r="N156" s="42">
        <v>100</v>
      </c>
      <c r="O156" s="43">
        <v>205846080</v>
      </c>
      <c r="P156" s="41"/>
      <c r="Q156" s="43">
        <v>205846080</v>
      </c>
      <c r="R156" s="41">
        <v>0</v>
      </c>
      <c r="S156" s="30">
        <v>0</v>
      </c>
      <c r="T156" s="30">
        <v>0</v>
      </c>
      <c r="U156" s="30" t="e">
        <v>#DIV/0!</v>
      </c>
      <c r="V156" s="41" t="e">
        <v>#DIV/0!</v>
      </c>
      <c r="W156" s="41" t="e">
        <v>#DIV/0!</v>
      </c>
      <c r="X156" s="41">
        <v>0</v>
      </c>
      <c r="Y156" s="41">
        <v>0</v>
      </c>
      <c r="Z156" s="41">
        <v>0</v>
      </c>
      <c r="AA156" s="41">
        <v>0</v>
      </c>
      <c r="AB156" s="41"/>
      <c r="AC156" s="41" t="e">
        <v>#DIV/0!</v>
      </c>
      <c r="AD156" s="41"/>
      <c r="AE156" s="41" t="e">
        <v>#DIV/0!</v>
      </c>
      <c r="AF156" s="41" t="e">
        <v>#DIV/0!</v>
      </c>
      <c r="AG156" s="41" t="e">
        <v>#DIV/0!</v>
      </c>
      <c r="AH156" s="36">
        <v>45397</v>
      </c>
      <c r="AI156" s="36"/>
      <c r="AJ156" s="36"/>
      <c r="AK156" s="36"/>
      <c r="AL156" s="36"/>
      <c r="AM156" s="46"/>
      <c r="AN156" s="40"/>
      <c r="AO156" s="40"/>
      <c r="AP156" s="40"/>
      <c r="AQ156" s="40"/>
      <c r="AR156" s="48"/>
      <c r="AS156" s="37"/>
      <c r="AT156" s="37"/>
      <c r="AU156" s="47"/>
      <c r="AV156" s="37"/>
      <c r="AW156" s="37">
        <v>10</v>
      </c>
      <c r="AX156" s="30">
        <v>20584608</v>
      </c>
      <c r="AY156" s="40"/>
    </row>
    <row r="157" spans="1:51" ht="39" customHeight="1" x14ac:dyDescent="0.25">
      <c r="A157" s="59" t="s">
        <v>2357</v>
      </c>
      <c r="B157" s="60">
        <v>45343</v>
      </c>
      <c r="C157" s="37">
        <v>1416</v>
      </c>
      <c r="D157" s="35"/>
      <c r="E157" s="39" t="s">
        <v>2358</v>
      </c>
      <c r="F157" s="36"/>
      <c r="G157" s="37"/>
      <c r="H157" s="40"/>
      <c r="I157" s="62" t="s">
        <v>2359</v>
      </c>
      <c r="J157" s="61">
        <v>194060560</v>
      </c>
      <c r="K157" s="41">
        <v>0</v>
      </c>
      <c r="L157" s="54">
        <v>0</v>
      </c>
      <c r="M157" s="54">
        <v>0</v>
      </c>
      <c r="N157" s="42">
        <v>100</v>
      </c>
      <c r="O157" s="43">
        <v>194060560</v>
      </c>
      <c r="P157" s="41"/>
      <c r="Q157" s="43">
        <v>194060560</v>
      </c>
      <c r="R157" s="41">
        <v>0</v>
      </c>
      <c r="S157" s="30">
        <v>0</v>
      </c>
      <c r="T157" s="30">
        <v>0</v>
      </c>
      <c r="U157" s="30" t="e">
        <v>#DIV/0!</v>
      </c>
      <c r="V157" s="41" t="e">
        <v>#DIV/0!</v>
      </c>
      <c r="W157" s="41" t="e">
        <v>#DIV/0!</v>
      </c>
      <c r="X157" s="41">
        <v>0</v>
      </c>
      <c r="Y157" s="41">
        <v>0</v>
      </c>
      <c r="Z157" s="41">
        <v>0</v>
      </c>
      <c r="AA157" s="41">
        <v>0</v>
      </c>
      <c r="AB157" s="41"/>
      <c r="AC157" s="41" t="e">
        <v>#DIV/0!</v>
      </c>
      <c r="AD157" s="41"/>
      <c r="AE157" s="41" t="e">
        <v>#DIV/0!</v>
      </c>
      <c r="AF157" s="41" t="e">
        <v>#DIV/0!</v>
      </c>
      <c r="AG157" s="41" t="e">
        <v>#DIV/0!</v>
      </c>
      <c r="AH157" s="36">
        <v>45397</v>
      </c>
      <c r="AI157" s="36"/>
      <c r="AJ157" s="36"/>
      <c r="AK157" s="36"/>
      <c r="AL157" s="36"/>
      <c r="AM157" s="46"/>
      <c r="AN157" s="40"/>
      <c r="AO157" s="40"/>
      <c r="AP157" s="40"/>
      <c r="AQ157" s="40"/>
      <c r="AR157" s="48"/>
      <c r="AS157" s="37"/>
      <c r="AT157" s="37"/>
      <c r="AU157" s="47"/>
      <c r="AV157" s="37"/>
      <c r="AW157" s="37">
        <v>10</v>
      </c>
      <c r="AX157" s="30">
        <v>19406056</v>
      </c>
      <c r="AY157" s="40"/>
    </row>
    <row r="158" spans="1:51" ht="42" customHeight="1" x14ac:dyDescent="0.25">
      <c r="A158" s="59" t="s">
        <v>2360</v>
      </c>
      <c r="B158" s="60">
        <v>45343</v>
      </c>
      <c r="C158" s="37">
        <v>1416</v>
      </c>
      <c r="D158" s="35"/>
      <c r="E158" s="39" t="s">
        <v>2361</v>
      </c>
      <c r="F158" s="36"/>
      <c r="G158" s="37"/>
      <c r="H158" s="40"/>
      <c r="I158" s="62" t="s">
        <v>2362</v>
      </c>
      <c r="J158" s="61">
        <v>57676320</v>
      </c>
      <c r="K158" s="41">
        <v>0</v>
      </c>
      <c r="L158" s="54">
        <v>0</v>
      </c>
      <c r="M158" s="54">
        <v>0</v>
      </c>
      <c r="N158" s="42">
        <v>100</v>
      </c>
      <c r="O158" s="43">
        <v>57676320</v>
      </c>
      <c r="P158" s="41"/>
      <c r="Q158" s="43">
        <v>57676320</v>
      </c>
      <c r="R158" s="41">
        <v>0</v>
      </c>
      <c r="S158" s="30">
        <v>0</v>
      </c>
      <c r="T158" s="30">
        <v>0</v>
      </c>
      <c r="U158" s="30" t="e">
        <v>#DIV/0!</v>
      </c>
      <c r="V158" s="41" t="e">
        <v>#DIV/0!</v>
      </c>
      <c r="W158" s="41" t="e">
        <v>#DIV/0!</v>
      </c>
      <c r="X158" s="41">
        <v>0</v>
      </c>
      <c r="Y158" s="41">
        <v>0</v>
      </c>
      <c r="Z158" s="41">
        <v>0</v>
      </c>
      <c r="AA158" s="41">
        <v>0</v>
      </c>
      <c r="AB158" s="41"/>
      <c r="AC158" s="41" t="e">
        <v>#DIV/0!</v>
      </c>
      <c r="AD158" s="41"/>
      <c r="AE158" s="41" t="e">
        <v>#DIV/0!</v>
      </c>
      <c r="AF158" s="41" t="e">
        <v>#DIV/0!</v>
      </c>
      <c r="AG158" s="41" t="e">
        <v>#DIV/0!</v>
      </c>
      <c r="AH158" s="36">
        <v>45397</v>
      </c>
      <c r="AI158" s="36"/>
      <c r="AJ158" s="36"/>
      <c r="AK158" s="36"/>
      <c r="AL158" s="36"/>
      <c r="AM158" s="46"/>
      <c r="AN158" s="40"/>
      <c r="AO158" s="40"/>
      <c r="AP158" s="40"/>
      <c r="AQ158" s="40"/>
      <c r="AR158" s="48"/>
      <c r="AS158" s="37"/>
      <c r="AT158" s="37"/>
      <c r="AU158" s="47"/>
      <c r="AV158" s="37"/>
      <c r="AW158" s="37">
        <v>10</v>
      </c>
      <c r="AX158" s="30">
        <v>5767632</v>
      </c>
      <c r="AY158" s="40"/>
    </row>
    <row r="159" spans="1:51" ht="42" customHeight="1" x14ac:dyDescent="0.25">
      <c r="A159" s="59" t="s">
        <v>2369</v>
      </c>
      <c r="B159" s="60">
        <v>45344</v>
      </c>
      <c r="C159" s="37">
        <v>1416</v>
      </c>
      <c r="D159" s="35"/>
      <c r="E159" s="39" t="s">
        <v>2370</v>
      </c>
      <c r="F159" s="36"/>
      <c r="G159" s="37"/>
      <c r="H159" s="40"/>
      <c r="I159" s="62" t="s">
        <v>764</v>
      </c>
      <c r="J159" s="61">
        <v>1175551149.8499999</v>
      </c>
      <c r="K159" s="41">
        <v>0</v>
      </c>
      <c r="L159" s="54">
        <v>0</v>
      </c>
      <c r="M159" s="54">
        <v>0</v>
      </c>
      <c r="N159" s="42">
        <v>100</v>
      </c>
      <c r="O159" s="43">
        <v>1175551149.8499999</v>
      </c>
      <c r="P159" s="41"/>
      <c r="Q159" s="43">
        <v>1175551149.8499999</v>
      </c>
      <c r="R159" s="41">
        <v>0</v>
      </c>
      <c r="S159" s="30">
        <v>0</v>
      </c>
      <c r="T159" s="30">
        <v>0</v>
      </c>
      <c r="U159" s="30" t="e">
        <v>#DIV/0!</v>
      </c>
      <c r="V159" s="41" t="e">
        <v>#DIV/0!</v>
      </c>
      <c r="W159" s="41" t="e">
        <v>#DIV/0!</v>
      </c>
      <c r="X159" s="41">
        <v>0</v>
      </c>
      <c r="Y159" s="41">
        <v>0</v>
      </c>
      <c r="Z159" s="41">
        <v>0</v>
      </c>
      <c r="AA159" s="41">
        <v>0</v>
      </c>
      <c r="AB159" s="41"/>
      <c r="AC159" s="41" t="e">
        <v>#DIV/0!</v>
      </c>
      <c r="AD159" s="41"/>
      <c r="AE159" s="41" t="e">
        <v>#DIV/0!</v>
      </c>
      <c r="AF159" s="41" t="e">
        <v>#DIV/0!</v>
      </c>
      <c r="AG159" s="41" t="e">
        <v>#DIV/0!</v>
      </c>
      <c r="AH159" s="36">
        <v>45413</v>
      </c>
      <c r="AI159" s="36">
        <v>45505</v>
      </c>
      <c r="AJ159" s="36"/>
      <c r="AK159" s="36"/>
      <c r="AL159" s="36"/>
      <c r="AM159" s="46"/>
      <c r="AN159" s="40"/>
      <c r="AO159" s="40"/>
      <c r="AP159" s="40"/>
      <c r="AQ159" s="40"/>
      <c r="AR159" s="48"/>
      <c r="AS159" s="37"/>
      <c r="AT159" s="37"/>
      <c r="AU159" s="47"/>
      <c r="AV159" s="37"/>
      <c r="AW159" s="37">
        <v>10</v>
      </c>
      <c r="AX159" s="30">
        <v>117555114.985</v>
      </c>
      <c r="AY159" s="40"/>
    </row>
    <row r="160" spans="1:51" ht="42" customHeight="1" x14ac:dyDescent="0.25">
      <c r="A160" s="59" t="s">
        <v>2374</v>
      </c>
      <c r="B160" s="60">
        <v>45344</v>
      </c>
      <c r="C160" s="37">
        <v>1416</v>
      </c>
      <c r="D160" s="37" t="s">
        <v>431</v>
      </c>
      <c r="E160" s="39" t="s">
        <v>2375</v>
      </c>
      <c r="F160" s="37" t="s">
        <v>431</v>
      </c>
      <c r="G160" s="37" t="s">
        <v>431</v>
      </c>
      <c r="H160" s="37" t="s">
        <v>431</v>
      </c>
      <c r="I160" s="62" t="s">
        <v>2376</v>
      </c>
      <c r="J160" s="61">
        <v>124614128</v>
      </c>
      <c r="K160" s="41">
        <v>0</v>
      </c>
      <c r="L160" s="54">
        <v>0</v>
      </c>
      <c r="M160" s="54">
        <v>0</v>
      </c>
      <c r="N160" s="42">
        <v>100</v>
      </c>
      <c r="O160" s="43">
        <v>124614128</v>
      </c>
      <c r="P160" s="41"/>
      <c r="Q160" s="43">
        <v>124614128</v>
      </c>
      <c r="R160" s="41">
        <v>0</v>
      </c>
      <c r="S160" s="30">
        <v>0</v>
      </c>
      <c r="T160" s="30">
        <v>0</v>
      </c>
      <c r="U160" s="30" t="e">
        <v>#DIV/0!</v>
      </c>
      <c r="V160" s="41" t="e">
        <v>#DIV/0!</v>
      </c>
      <c r="W160" s="41" t="e">
        <v>#DIV/0!</v>
      </c>
      <c r="X160" s="41">
        <v>0</v>
      </c>
      <c r="Y160" s="41">
        <v>0</v>
      </c>
      <c r="Z160" s="41">
        <v>0</v>
      </c>
      <c r="AA160" s="41">
        <v>0</v>
      </c>
      <c r="AB160" s="41"/>
      <c r="AC160" s="41" t="e">
        <v>#DIV/0!</v>
      </c>
      <c r="AD160" s="41"/>
      <c r="AE160" s="41" t="e">
        <v>#DIV/0!</v>
      </c>
      <c r="AF160" s="41" t="e">
        <v>#DIV/0!</v>
      </c>
      <c r="AG160" s="41" t="e">
        <v>#DIV/0!</v>
      </c>
      <c r="AH160" s="36">
        <v>45413</v>
      </c>
      <c r="AI160" s="36"/>
      <c r="AJ160" s="36"/>
      <c r="AK160" s="36"/>
      <c r="AL160" s="36"/>
      <c r="AM160" s="46"/>
      <c r="AN160" s="40"/>
      <c r="AO160" s="40"/>
      <c r="AP160" s="40"/>
      <c r="AQ160" s="40"/>
      <c r="AR160" s="48"/>
      <c r="AS160" s="37"/>
      <c r="AT160" s="37"/>
      <c r="AU160" s="47"/>
      <c r="AV160" s="37"/>
      <c r="AW160" s="37">
        <v>10</v>
      </c>
      <c r="AX160" s="30">
        <v>12461412.800000001</v>
      </c>
      <c r="AY160" s="40" t="s">
        <v>431</v>
      </c>
    </row>
    <row r="161" spans="1:51" ht="42" customHeight="1" x14ac:dyDescent="0.25">
      <c r="A161" s="59" t="s">
        <v>2380</v>
      </c>
      <c r="B161" s="60">
        <v>45344</v>
      </c>
      <c r="C161" s="37">
        <v>1416</v>
      </c>
      <c r="D161" s="35"/>
      <c r="E161" s="39" t="s">
        <v>2381</v>
      </c>
      <c r="F161" s="36"/>
      <c r="G161" s="37"/>
      <c r="H161" s="40"/>
      <c r="I161" s="62" t="s">
        <v>2382</v>
      </c>
      <c r="J161" s="61">
        <v>70148691.599999994</v>
      </c>
      <c r="K161" s="41">
        <v>0</v>
      </c>
      <c r="L161" s="54">
        <v>0</v>
      </c>
      <c r="M161" s="54">
        <v>0</v>
      </c>
      <c r="N161" s="42">
        <v>100</v>
      </c>
      <c r="O161" s="43">
        <v>70148691.599999994</v>
      </c>
      <c r="P161" s="41"/>
      <c r="Q161" s="43">
        <v>70148691.599999994</v>
      </c>
      <c r="R161" s="41">
        <v>0</v>
      </c>
      <c r="S161" s="30">
        <v>0</v>
      </c>
      <c r="T161" s="30">
        <v>0</v>
      </c>
      <c r="U161" s="30" t="e">
        <v>#DIV/0!</v>
      </c>
      <c r="V161" s="41" t="e">
        <v>#DIV/0!</v>
      </c>
      <c r="W161" s="41" t="e">
        <v>#DIV/0!</v>
      </c>
      <c r="X161" s="41">
        <v>0</v>
      </c>
      <c r="Y161" s="41">
        <v>0</v>
      </c>
      <c r="Z161" s="41">
        <v>0</v>
      </c>
      <c r="AA161" s="41">
        <v>0</v>
      </c>
      <c r="AB161" s="41"/>
      <c r="AC161" s="41" t="e">
        <v>#DIV/0!</v>
      </c>
      <c r="AD161" s="41"/>
      <c r="AE161" s="41" t="e">
        <v>#DIV/0!</v>
      </c>
      <c r="AF161" s="41" t="e">
        <v>#DIV/0!</v>
      </c>
      <c r="AG161" s="41" t="e">
        <v>#DIV/0!</v>
      </c>
      <c r="AH161" s="36">
        <v>45443</v>
      </c>
      <c r="AI161" s="36"/>
      <c r="AJ161" s="36"/>
      <c r="AK161" s="36"/>
      <c r="AL161" s="36"/>
      <c r="AM161" s="46"/>
      <c r="AN161" s="40"/>
      <c r="AO161" s="40"/>
      <c r="AP161" s="40"/>
      <c r="AQ161" s="40"/>
      <c r="AR161" s="48"/>
      <c r="AS161" s="37"/>
      <c r="AT161" s="37"/>
      <c r="AU161" s="47"/>
      <c r="AV161" s="37"/>
      <c r="AW161" s="37">
        <v>10</v>
      </c>
      <c r="AX161" s="30">
        <v>7014869.1600000001</v>
      </c>
      <c r="AY161" s="40"/>
    </row>
    <row r="162" spans="1:51" ht="42" customHeight="1" x14ac:dyDescent="0.25">
      <c r="A162" s="59" t="s">
        <v>2386</v>
      </c>
      <c r="B162" s="60">
        <v>45344</v>
      </c>
      <c r="C162" s="37">
        <v>1416</v>
      </c>
      <c r="D162" s="35"/>
      <c r="E162" s="39" t="s">
        <v>2387</v>
      </c>
      <c r="F162" s="36"/>
      <c r="G162" s="37"/>
      <c r="H162" s="40"/>
      <c r="I162" s="62" t="s">
        <v>1090</v>
      </c>
      <c r="J162" s="61">
        <v>233179952.59999999</v>
      </c>
      <c r="K162" s="41">
        <v>0</v>
      </c>
      <c r="L162" s="54">
        <v>0</v>
      </c>
      <c r="M162" s="54">
        <v>0</v>
      </c>
      <c r="N162" s="42">
        <v>100</v>
      </c>
      <c r="O162" s="43">
        <v>233179952.59999999</v>
      </c>
      <c r="P162" s="41"/>
      <c r="Q162" s="43">
        <v>233179952.59999999</v>
      </c>
      <c r="R162" s="41">
        <v>0</v>
      </c>
      <c r="S162" s="30">
        <v>0</v>
      </c>
      <c r="T162" s="30">
        <v>0</v>
      </c>
      <c r="U162" s="30" t="e">
        <v>#DIV/0!</v>
      </c>
      <c r="V162" s="41" t="e">
        <v>#DIV/0!</v>
      </c>
      <c r="W162" s="41" t="e">
        <v>#DIV/0!</v>
      </c>
      <c r="X162" s="41">
        <v>0</v>
      </c>
      <c r="Y162" s="41">
        <v>0</v>
      </c>
      <c r="Z162" s="41">
        <v>0</v>
      </c>
      <c r="AA162" s="41">
        <v>0</v>
      </c>
      <c r="AB162" s="41"/>
      <c r="AC162" s="41" t="e">
        <v>#DIV/0!</v>
      </c>
      <c r="AD162" s="41"/>
      <c r="AE162" s="41" t="e">
        <v>#DIV/0!</v>
      </c>
      <c r="AF162" s="41" t="e">
        <v>#DIV/0!</v>
      </c>
      <c r="AG162" s="41" t="e">
        <v>#DIV/0!</v>
      </c>
      <c r="AH162" s="36">
        <v>45473</v>
      </c>
      <c r="AI162" s="36"/>
      <c r="AJ162" s="36"/>
      <c r="AK162" s="36"/>
      <c r="AL162" s="36"/>
      <c r="AM162" s="46"/>
      <c r="AN162" s="40"/>
      <c r="AO162" s="40"/>
      <c r="AP162" s="40"/>
      <c r="AQ162" s="40"/>
      <c r="AR162" s="48"/>
      <c r="AS162" s="37"/>
      <c r="AT162" s="37"/>
      <c r="AU162" s="47"/>
      <c r="AV162" s="37"/>
      <c r="AW162" s="37">
        <v>10</v>
      </c>
      <c r="AX162" s="30">
        <v>23317995.260000002</v>
      </c>
      <c r="AY162" s="40"/>
    </row>
    <row r="163" spans="1:51" ht="42" customHeight="1" x14ac:dyDescent="0.25">
      <c r="A163" s="59" t="s">
        <v>2391</v>
      </c>
      <c r="B163" s="60">
        <v>45344</v>
      </c>
      <c r="C163" s="37">
        <v>1416</v>
      </c>
      <c r="D163" s="35"/>
      <c r="E163" s="39" t="s">
        <v>2392</v>
      </c>
      <c r="F163" s="36"/>
      <c r="G163" s="37"/>
      <c r="H163" s="40"/>
      <c r="I163" s="62" t="s">
        <v>1140</v>
      </c>
      <c r="J163" s="69" t="s">
        <v>2393</v>
      </c>
      <c r="K163" s="41">
        <v>0</v>
      </c>
      <c r="L163" s="54">
        <v>0</v>
      </c>
      <c r="M163" s="54">
        <v>0</v>
      </c>
      <c r="N163" s="42" t="e">
        <v>#VALUE!</v>
      </c>
      <c r="O163" s="43" t="e">
        <v>#VALUE!</v>
      </c>
      <c r="P163" s="41"/>
      <c r="Q163" s="43" t="e">
        <v>#VALUE!</v>
      </c>
      <c r="R163" s="41">
        <v>0</v>
      </c>
      <c r="S163" s="30">
        <v>0</v>
      </c>
      <c r="T163" s="30">
        <v>0</v>
      </c>
      <c r="U163" s="30" t="e">
        <v>#DIV/0!</v>
      </c>
      <c r="V163" s="41" t="e">
        <v>#DIV/0!</v>
      </c>
      <c r="W163" s="41" t="e">
        <v>#DIV/0!</v>
      </c>
      <c r="X163" s="41">
        <v>0</v>
      </c>
      <c r="Y163" s="41">
        <v>0</v>
      </c>
      <c r="Z163" s="41">
        <v>0</v>
      </c>
      <c r="AA163" s="41">
        <v>0</v>
      </c>
      <c r="AB163" s="41"/>
      <c r="AC163" s="41" t="e">
        <v>#DIV/0!</v>
      </c>
      <c r="AD163" s="41"/>
      <c r="AE163" s="41" t="e">
        <v>#DIV/0!</v>
      </c>
      <c r="AF163" s="41" t="e">
        <v>#DIV/0!</v>
      </c>
      <c r="AG163" s="41" t="e">
        <v>#DIV/0!</v>
      </c>
      <c r="AH163" s="36">
        <v>45458</v>
      </c>
      <c r="AI163" s="36"/>
      <c r="AJ163" s="36"/>
      <c r="AK163" s="36"/>
      <c r="AL163" s="36"/>
      <c r="AM163" s="46"/>
      <c r="AN163" s="40"/>
      <c r="AO163" s="40"/>
      <c r="AP163" s="40"/>
      <c r="AQ163" s="40"/>
      <c r="AR163" s="48"/>
      <c r="AS163" s="37"/>
      <c r="AT163" s="37"/>
      <c r="AU163" s="47"/>
      <c r="AV163" s="37"/>
      <c r="AW163" s="37">
        <v>10</v>
      </c>
      <c r="AX163" s="30" t="e">
        <v>#VALUE!</v>
      </c>
      <c r="AY163" s="40"/>
    </row>
    <row r="164" spans="1:51" ht="42" customHeight="1" x14ac:dyDescent="0.25">
      <c r="A164" s="59" t="s">
        <v>2399</v>
      </c>
      <c r="B164" s="60">
        <v>45344</v>
      </c>
      <c r="C164" s="37">
        <v>1416</v>
      </c>
      <c r="D164" s="35"/>
      <c r="E164" s="39" t="s">
        <v>2400</v>
      </c>
      <c r="F164" s="36"/>
      <c r="G164" s="37"/>
      <c r="H164" s="40"/>
      <c r="I164" s="62" t="s">
        <v>2401</v>
      </c>
      <c r="J164" s="61">
        <v>173661265.13999999</v>
      </c>
      <c r="K164" s="41">
        <v>0</v>
      </c>
      <c r="L164" s="54">
        <v>0</v>
      </c>
      <c r="M164" s="54">
        <v>0</v>
      </c>
      <c r="N164" s="42">
        <v>100</v>
      </c>
      <c r="O164" s="43">
        <v>173661265.13999999</v>
      </c>
      <c r="P164" s="41"/>
      <c r="Q164" s="43">
        <v>173661265.13999999</v>
      </c>
      <c r="R164" s="41">
        <v>0</v>
      </c>
      <c r="S164" s="30">
        <v>0</v>
      </c>
      <c r="T164" s="30">
        <v>0</v>
      </c>
      <c r="U164" s="30" t="e">
        <v>#DIV/0!</v>
      </c>
      <c r="V164" s="41" t="e">
        <v>#DIV/0!</v>
      </c>
      <c r="W164" s="41" t="e">
        <v>#DIV/0!</v>
      </c>
      <c r="X164" s="41">
        <v>0</v>
      </c>
      <c r="Y164" s="41">
        <v>0</v>
      </c>
      <c r="Z164" s="41">
        <v>0</v>
      </c>
      <c r="AA164" s="41">
        <v>0</v>
      </c>
      <c r="AB164" s="41"/>
      <c r="AC164" s="41" t="e">
        <v>#DIV/0!</v>
      </c>
      <c r="AD164" s="41"/>
      <c r="AE164" s="41" t="e">
        <v>#DIV/0!</v>
      </c>
      <c r="AF164" s="41" t="e">
        <v>#DIV/0!</v>
      </c>
      <c r="AG164" s="41" t="e">
        <v>#DIV/0!</v>
      </c>
      <c r="AH164" s="36">
        <v>45536</v>
      </c>
      <c r="AI164" s="36"/>
      <c r="AJ164" s="36"/>
      <c r="AK164" s="36"/>
      <c r="AL164" s="36"/>
      <c r="AM164" s="46"/>
      <c r="AN164" s="40"/>
      <c r="AO164" s="40"/>
      <c r="AP164" s="40"/>
      <c r="AQ164" s="40"/>
      <c r="AR164" s="48"/>
      <c r="AS164" s="37"/>
      <c r="AT164" s="37"/>
      <c r="AU164" s="47"/>
      <c r="AV164" s="37"/>
      <c r="AW164" s="37">
        <v>10</v>
      </c>
      <c r="AX164" s="30">
        <v>17366126.513999999</v>
      </c>
      <c r="AY164" s="40"/>
    </row>
    <row r="165" spans="1:51" ht="42" customHeight="1" x14ac:dyDescent="0.25">
      <c r="A165" s="59" t="s">
        <v>2413</v>
      </c>
      <c r="B165" s="60">
        <v>45348</v>
      </c>
      <c r="C165" s="37" t="s">
        <v>2189</v>
      </c>
      <c r="D165" s="35"/>
      <c r="E165" s="39" t="s">
        <v>2414</v>
      </c>
      <c r="F165" s="36">
        <v>45358</v>
      </c>
      <c r="G165" s="37" t="s">
        <v>2415</v>
      </c>
      <c r="H165" s="40" t="s">
        <v>2162</v>
      </c>
      <c r="I165" s="62" t="s">
        <v>2416</v>
      </c>
      <c r="J165" s="61">
        <v>2488200</v>
      </c>
      <c r="K165" s="41">
        <v>0</v>
      </c>
      <c r="L165" s="54">
        <v>0</v>
      </c>
      <c r="M165" s="54">
        <v>0</v>
      </c>
      <c r="N165" s="42">
        <v>0</v>
      </c>
      <c r="O165" s="43">
        <v>0</v>
      </c>
      <c r="P165" s="61">
        <v>2488200</v>
      </c>
      <c r="Q165" s="43">
        <v>0</v>
      </c>
      <c r="R165" s="61">
        <v>2488200</v>
      </c>
      <c r="S165" s="30">
        <v>2488200</v>
      </c>
      <c r="T165" s="30">
        <v>2488200</v>
      </c>
      <c r="U165" s="30">
        <v>220</v>
      </c>
      <c r="V165" s="41">
        <v>220</v>
      </c>
      <c r="W165" s="41">
        <v>3300</v>
      </c>
      <c r="X165" s="41">
        <v>11310</v>
      </c>
      <c r="Y165" s="41">
        <v>11310</v>
      </c>
      <c r="Z165" s="41">
        <v>0</v>
      </c>
      <c r="AA165" s="41">
        <v>0</v>
      </c>
      <c r="AB165" s="41">
        <v>11310</v>
      </c>
      <c r="AC165" s="41">
        <v>2488200</v>
      </c>
      <c r="AD165" s="41">
        <v>0</v>
      </c>
      <c r="AE165" s="41">
        <v>0</v>
      </c>
      <c r="AF165" s="41">
        <v>754</v>
      </c>
      <c r="AG165" s="41">
        <v>754</v>
      </c>
      <c r="AH165" s="36">
        <v>45413</v>
      </c>
      <c r="AI165" s="36"/>
      <c r="AJ165" s="36"/>
      <c r="AK165" s="36">
        <v>45444</v>
      </c>
      <c r="AL165" s="36"/>
      <c r="AM165" s="46"/>
      <c r="AN165" s="40" t="s">
        <v>2417</v>
      </c>
      <c r="AO165" s="40" t="s">
        <v>2418</v>
      </c>
      <c r="AP165" s="40" t="s">
        <v>2419</v>
      </c>
      <c r="AQ165" s="40" t="s">
        <v>80</v>
      </c>
      <c r="AR165" s="48">
        <v>100</v>
      </c>
      <c r="AS165" s="37">
        <v>0</v>
      </c>
      <c r="AT165" s="37" t="s">
        <v>324</v>
      </c>
      <c r="AU165" s="47">
        <v>15</v>
      </c>
      <c r="AV165" s="37" t="s">
        <v>219</v>
      </c>
      <c r="AW165" s="37">
        <v>10</v>
      </c>
      <c r="AX165" s="30">
        <v>248820</v>
      </c>
      <c r="AY165" s="40" t="s">
        <v>402</v>
      </c>
    </row>
    <row r="166" spans="1:51" ht="42" customHeight="1" x14ac:dyDescent="0.25">
      <c r="A166" s="59" t="s">
        <v>2425</v>
      </c>
      <c r="B166" s="60">
        <v>45348</v>
      </c>
      <c r="C166" s="37" t="s">
        <v>2189</v>
      </c>
      <c r="D166" s="35"/>
      <c r="E166" s="39" t="s">
        <v>2426</v>
      </c>
      <c r="F166" s="36"/>
      <c r="G166" s="37"/>
      <c r="H166" s="40"/>
      <c r="I166" s="62" t="s">
        <v>2427</v>
      </c>
      <c r="J166" s="61">
        <v>2320692</v>
      </c>
      <c r="K166" s="41">
        <v>0</v>
      </c>
      <c r="L166" s="54">
        <v>0</v>
      </c>
      <c r="M166" s="54">
        <v>0</v>
      </c>
      <c r="N166" s="42">
        <v>100</v>
      </c>
      <c r="O166" s="43">
        <v>2320692</v>
      </c>
      <c r="P166" s="41"/>
      <c r="Q166" s="43">
        <v>2320692</v>
      </c>
      <c r="R166" s="41">
        <v>0</v>
      </c>
      <c r="S166" s="30">
        <v>0</v>
      </c>
      <c r="T166" s="30">
        <v>0</v>
      </c>
      <c r="U166" s="30" t="e">
        <v>#DIV/0!</v>
      </c>
      <c r="V166" s="41" t="e">
        <v>#DIV/0!</v>
      </c>
      <c r="W166" s="41" t="e">
        <v>#DIV/0!</v>
      </c>
      <c r="X166" s="41">
        <v>0</v>
      </c>
      <c r="Y166" s="41">
        <v>0</v>
      </c>
      <c r="Z166" s="41">
        <v>0</v>
      </c>
      <c r="AA166" s="41">
        <v>0</v>
      </c>
      <c r="AB166" s="41"/>
      <c r="AC166" s="41" t="e">
        <v>#DIV/0!</v>
      </c>
      <c r="AD166" s="41"/>
      <c r="AE166" s="41" t="e">
        <v>#DIV/0!</v>
      </c>
      <c r="AF166" s="41" t="e">
        <v>#DIV/0!</v>
      </c>
      <c r="AG166" s="41" t="e">
        <v>#DIV/0!</v>
      </c>
      <c r="AH166" s="36">
        <v>45413</v>
      </c>
      <c r="AI166" s="36"/>
      <c r="AJ166" s="36"/>
      <c r="AK166" s="36"/>
      <c r="AL166" s="36"/>
      <c r="AM166" s="46"/>
      <c r="AN166" s="40"/>
      <c r="AO166" s="40"/>
      <c r="AP166" s="40"/>
      <c r="AQ166" s="40"/>
      <c r="AR166" s="48"/>
      <c r="AS166" s="37"/>
      <c r="AT166" s="37"/>
      <c r="AU166" s="47"/>
      <c r="AV166" s="37"/>
      <c r="AW166" s="37">
        <v>10</v>
      </c>
      <c r="AX166" s="30">
        <v>232069.2</v>
      </c>
      <c r="AY166" s="40"/>
    </row>
    <row r="167" spans="1:51" ht="42" customHeight="1" x14ac:dyDescent="0.25">
      <c r="A167" s="59" t="s">
        <v>2428</v>
      </c>
      <c r="B167" s="60">
        <v>45348</v>
      </c>
      <c r="C167" s="37" t="s">
        <v>2189</v>
      </c>
      <c r="D167" s="35"/>
      <c r="E167" s="39" t="s">
        <v>2429</v>
      </c>
      <c r="F167" s="36"/>
      <c r="G167" s="37"/>
      <c r="H167" s="40"/>
      <c r="I167" s="62" t="s">
        <v>2430</v>
      </c>
      <c r="J167" s="61">
        <v>138022.5</v>
      </c>
      <c r="K167" s="41">
        <v>0</v>
      </c>
      <c r="L167" s="54">
        <v>0</v>
      </c>
      <c r="M167" s="54">
        <v>0</v>
      </c>
      <c r="N167" s="42">
        <v>100</v>
      </c>
      <c r="O167" s="43">
        <v>138022.5</v>
      </c>
      <c r="P167" s="41"/>
      <c r="Q167" s="43">
        <v>138022.5</v>
      </c>
      <c r="R167" s="41">
        <v>0</v>
      </c>
      <c r="S167" s="30">
        <v>0</v>
      </c>
      <c r="T167" s="30">
        <v>0</v>
      </c>
      <c r="U167" s="30" t="e">
        <v>#DIV/0!</v>
      </c>
      <c r="V167" s="41" t="e">
        <v>#DIV/0!</v>
      </c>
      <c r="W167" s="41" t="e">
        <v>#DIV/0!</v>
      </c>
      <c r="X167" s="41">
        <v>0</v>
      </c>
      <c r="Y167" s="41">
        <v>0</v>
      </c>
      <c r="Z167" s="41">
        <v>0</v>
      </c>
      <c r="AA167" s="41">
        <v>0</v>
      </c>
      <c r="AB167" s="41"/>
      <c r="AC167" s="41" t="e">
        <v>#DIV/0!</v>
      </c>
      <c r="AD167" s="41"/>
      <c r="AE167" s="41" t="e">
        <v>#DIV/0!</v>
      </c>
      <c r="AF167" s="41" t="e">
        <v>#DIV/0!</v>
      </c>
      <c r="AG167" s="41" t="e">
        <v>#DIV/0!</v>
      </c>
      <c r="AH167" s="36">
        <v>45397</v>
      </c>
      <c r="AI167" s="36"/>
      <c r="AJ167" s="36"/>
      <c r="AK167" s="36"/>
      <c r="AL167" s="36"/>
      <c r="AM167" s="46"/>
      <c r="AN167" s="40"/>
      <c r="AO167" s="40"/>
      <c r="AP167" s="40"/>
      <c r="AQ167" s="40"/>
      <c r="AR167" s="48"/>
      <c r="AS167" s="37"/>
      <c r="AT167" s="37"/>
      <c r="AU167" s="47"/>
      <c r="AV167" s="37"/>
      <c r="AW167" s="37">
        <v>10</v>
      </c>
      <c r="AX167" s="30">
        <v>13802.25</v>
      </c>
      <c r="AY167" s="40"/>
    </row>
    <row r="168" spans="1:51" ht="42" customHeight="1" x14ac:dyDescent="0.25">
      <c r="A168" s="59" t="s">
        <v>2448</v>
      </c>
      <c r="B168" s="60">
        <v>45349</v>
      </c>
      <c r="C168" s="37" t="s">
        <v>2189</v>
      </c>
      <c r="D168" s="35"/>
      <c r="E168" s="39" t="s">
        <v>2449</v>
      </c>
      <c r="F168" s="36"/>
      <c r="G168" s="37"/>
      <c r="H168" s="40"/>
      <c r="I168" s="64" t="s">
        <v>1218</v>
      </c>
      <c r="J168" s="61">
        <v>501897</v>
      </c>
      <c r="K168" s="41">
        <v>0</v>
      </c>
      <c r="L168" s="54">
        <v>0</v>
      </c>
      <c r="M168" s="54">
        <v>0</v>
      </c>
      <c r="N168" s="42">
        <v>100</v>
      </c>
      <c r="O168" s="43">
        <v>501897</v>
      </c>
      <c r="P168" s="41"/>
      <c r="Q168" s="43">
        <v>501897</v>
      </c>
      <c r="R168" s="41">
        <v>0</v>
      </c>
      <c r="S168" s="30">
        <v>0</v>
      </c>
      <c r="T168" s="30">
        <v>0</v>
      </c>
      <c r="U168" s="30" t="e">
        <v>#DIV/0!</v>
      </c>
      <c r="V168" s="41" t="e">
        <v>#DIV/0!</v>
      </c>
      <c r="W168" s="41" t="e">
        <v>#DIV/0!</v>
      </c>
      <c r="X168" s="41">
        <v>0</v>
      </c>
      <c r="Y168" s="41">
        <v>0</v>
      </c>
      <c r="Z168" s="41">
        <v>0</v>
      </c>
      <c r="AA168" s="41">
        <v>0</v>
      </c>
      <c r="AB168" s="41"/>
      <c r="AC168" s="41" t="e">
        <v>#DIV/0!</v>
      </c>
      <c r="AD168" s="41"/>
      <c r="AE168" s="41" t="e">
        <v>#DIV/0!</v>
      </c>
      <c r="AF168" s="41" t="e">
        <v>#DIV/0!</v>
      </c>
      <c r="AG168" s="41" t="e">
        <v>#DIV/0!</v>
      </c>
      <c r="AH168" s="36">
        <v>45427</v>
      </c>
      <c r="AI168" s="36"/>
      <c r="AJ168" s="36"/>
      <c r="AK168" s="36"/>
      <c r="AL168" s="36"/>
      <c r="AM168" s="46"/>
      <c r="AN168" s="40"/>
      <c r="AO168" s="40"/>
      <c r="AP168" s="40"/>
      <c r="AQ168" s="40"/>
      <c r="AR168" s="48"/>
      <c r="AS168" s="37"/>
      <c r="AT168" s="37"/>
      <c r="AU168" s="47"/>
      <c r="AV168" s="37"/>
      <c r="AW168" s="37">
        <v>10</v>
      </c>
      <c r="AX168" s="30">
        <v>50189.7</v>
      </c>
      <c r="AY168" s="40"/>
    </row>
    <row r="169" spans="1:51" ht="42" customHeight="1" x14ac:dyDescent="0.25">
      <c r="A169" s="59" t="s">
        <v>2450</v>
      </c>
      <c r="B169" s="60">
        <v>45349</v>
      </c>
      <c r="C169" s="37" t="s">
        <v>2189</v>
      </c>
      <c r="D169" s="35"/>
      <c r="E169" s="39" t="s">
        <v>2451</v>
      </c>
      <c r="F169" s="36"/>
      <c r="G169" s="37"/>
      <c r="H169" s="40"/>
      <c r="I169" s="62" t="s">
        <v>2401</v>
      </c>
      <c r="J169" s="61">
        <v>1477519.12</v>
      </c>
      <c r="K169" s="41">
        <v>0</v>
      </c>
      <c r="L169" s="54">
        <v>0</v>
      </c>
      <c r="M169" s="54">
        <v>0</v>
      </c>
      <c r="N169" s="42">
        <v>100</v>
      </c>
      <c r="O169" s="43">
        <v>1477519.12</v>
      </c>
      <c r="P169" s="41"/>
      <c r="Q169" s="43">
        <v>1477519.12</v>
      </c>
      <c r="R169" s="41">
        <v>0</v>
      </c>
      <c r="S169" s="30">
        <v>0</v>
      </c>
      <c r="T169" s="30">
        <v>0</v>
      </c>
      <c r="U169" s="30" t="e">
        <v>#DIV/0!</v>
      </c>
      <c r="V169" s="41" t="e">
        <v>#DIV/0!</v>
      </c>
      <c r="W169" s="41" t="e">
        <v>#DIV/0!</v>
      </c>
      <c r="X169" s="41">
        <v>0</v>
      </c>
      <c r="Y169" s="41">
        <v>0</v>
      </c>
      <c r="Z169" s="41">
        <v>0</v>
      </c>
      <c r="AA169" s="41">
        <v>0</v>
      </c>
      <c r="AB169" s="41"/>
      <c r="AC169" s="41" t="e">
        <v>#DIV/0!</v>
      </c>
      <c r="AD169" s="41"/>
      <c r="AE169" s="41" t="e">
        <v>#DIV/0!</v>
      </c>
      <c r="AF169" s="41" t="e">
        <v>#DIV/0!</v>
      </c>
      <c r="AG169" s="41" t="e">
        <v>#DIV/0!</v>
      </c>
      <c r="AH169" s="36">
        <v>45536</v>
      </c>
      <c r="AI169" s="36"/>
      <c r="AJ169" s="36"/>
      <c r="AK169" s="36"/>
      <c r="AL169" s="36"/>
      <c r="AM169" s="46"/>
      <c r="AN169" s="40"/>
      <c r="AO169" s="40"/>
      <c r="AP169" s="40"/>
      <c r="AQ169" s="40"/>
      <c r="AR169" s="48"/>
      <c r="AS169" s="37"/>
      <c r="AT169" s="37"/>
      <c r="AU169" s="47"/>
      <c r="AV169" s="37"/>
      <c r="AW169" s="37">
        <v>10</v>
      </c>
      <c r="AX169" s="30">
        <v>147751.91200000001</v>
      </c>
      <c r="AY169" s="40"/>
    </row>
    <row r="170" spans="1:51" ht="42" customHeight="1" x14ac:dyDescent="0.25">
      <c r="A170" s="59" t="s">
        <v>2452</v>
      </c>
      <c r="B170" s="60">
        <v>45349</v>
      </c>
      <c r="C170" s="37" t="s">
        <v>2189</v>
      </c>
      <c r="D170" s="35"/>
      <c r="E170" s="39" t="s">
        <v>2453</v>
      </c>
      <c r="F170" s="36"/>
      <c r="G170" s="37"/>
      <c r="H170" s="40"/>
      <c r="I170" s="62" t="s">
        <v>1070</v>
      </c>
      <c r="J170" s="61">
        <v>2840763.67</v>
      </c>
      <c r="K170" s="41">
        <v>0</v>
      </c>
      <c r="L170" s="54">
        <v>0</v>
      </c>
      <c r="M170" s="54">
        <v>0</v>
      </c>
      <c r="N170" s="42">
        <v>100</v>
      </c>
      <c r="O170" s="43">
        <v>2840763.67</v>
      </c>
      <c r="P170" s="41"/>
      <c r="Q170" s="43">
        <v>2840763.67</v>
      </c>
      <c r="R170" s="41">
        <v>0</v>
      </c>
      <c r="S170" s="30">
        <v>0</v>
      </c>
      <c r="T170" s="30">
        <v>0</v>
      </c>
      <c r="U170" s="30" t="e">
        <v>#DIV/0!</v>
      </c>
      <c r="V170" s="41" t="e">
        <v>#DIV/0!</v>
      </c>
      <c r="W170" s="41" t="e">
        <v>#DIV/0!</v>
      </c>
      <c r="X170" s="41">
        <v>0</v>
      </c>
      <c r="Y170" s="41">
        <v>0</v>
      </c>
      <c r="Z170" s="41">
        <v>0</v>
      </c>
      <c r="AA170" s="41">
        <v>0</v>
      </c>
      <c r="AB170" s="41"/>
      <c r="AC170" s="41" t="e">
        <v>#DIV/0!</v>
      </c>
      <c r="AD170" s="41"/>
      <c r="AE170" s="41" t="e">
        <v>#DIV/0!</v>
      </c>
      <c r="AF170" s="41" t="e">
        <v>#DIV/0!</v>
      </c>
      <c r="AG170" s="41" t="e">
        <v>#DIV/0!</v>
      </c>
      <c r="AH170" s="36">
        <v>45413</v>
      </c>
      <c r="AI170" s="36"/>
      <c r="AJ170" s="36"/>
      <c r="AK170" s="36"/>
      <c r="AL170" s="36"/>
      <c r="AM170" s="46"/>
      <c r="AN170" s="40"/>
      <c r="AO170" s="40"/>
      <c r="AP170" s="40"/>
      <c r="AQ170" s="40"/>
      <c r="AR170" s="48"/>
      <c r="AS170" s="37"/>
      <c r="AT170" s="37"/>
      <c r="AU170" s="47"/>
      <c r="AV170" s="37"/>
      <c r="AW170" s="37">
        <v>10</v>
      </c>
      <c r="AX170" s="30">
        <v>284076.36699999997</v>
      </c>
      <c r="AY170" s="40"/>
    </row>
    <row r="171" spans="1:51" ht="42" customHeight="1" x14ac:dyDescent="0.25">
      <c r="A171" s="59" t="s">
        <v>2454</v>
      </c>
      <c r="B171" s="60">
        <v>45349</v>
      </c>
      <c r="C171" s="37">
        <v>1416</v>
      </c>
      <c r="D171" s="35"/>
      <c r="E171" s="39" t="s">
        <v>2455</v>
      </c>
      <c r="F171" s="36"/>
      <c r="G171" s="37"/>
      <c r="H171" s="40"/>
      <c r="I171" s="62" t="s">
        <v>2456</v>
      </c>
      <c r="J171" s="61">
        <v>367610100</v>
      </c>
      <c r="K171" s="41">
        <v>0</v>
      </c>
      <c r="L171" s="54">
        <v>0</v>
      </c>
      <c r="M171" s="54">
        <v>0</v>
      </c>
      <c r="N171" s="42">
        <v>100</v>
      </c>
      <c r="O171" s="43">
        <v>367610100</v>
      </c>
      <c r="P171" s="41"/>
      <c r="Q171" s="43">
        <v>367610100</v>
      </c>
      <c r="R171" s="41">
        <v>0</v>
      </c>
      <c r="S171" s="30">
        <v>0</v>
      </c>
      <c r="T171" s="30">
        <v>0</v>
      </c>
      <c r="U171" s="30" t="e">
        <v>#DIV/0!</v>
      </c>
      <c r="V171" s="41" t="e">
        <v>#DIV/0!</v>
      </c>
      <c r="W171" s="41" t="e">
        <v>#DIV/0!</v>
      </c>
      <c r="X171" s="41">
        <v>0</v>
      </c>
      <c r="Y171" s="41">
        <v>0</v>
      </c>
      <c r="Z171" s="41">
        <v>0</v>
      </c>
      <c r="AA171" s="41">
        <v>0</v>
      </c>
      <c r="AB171" s="41"/>
      <c r="AC171" s="41" t="e">
        <v>#DIV/0!</v>
      </c>
      <c r="AD171" s="41"/>
      <c r="AE171" s="41" t="e">
        <v>#DIV/0!</v>
      </c>
      <c r="AF171" s="41" t="e">
        <v>#DIV/0!</v>
      </c>
      <c r="AG171" s="41" t="e">
        <v>#DIV/0!</v>
      </c>
      <c r="AH171" s="36">
        <v>45413</v>
      </c>
      <c r="AI171" s="36">
        <v>45505</v>
      </c>
      <c r="AJ171" s="36"/>
      <c r="AK171" s="36"/>
      <c r="AL171" s="36"/>
      <c r="AM171" s="46"/>
      <c r="AN171" s="40"/>
      <c r="AO171" s="40"/>
      <c r="AP171" s="40"/>
      <c r="AQ171" s="40"/>
      <c r="AR171" s="48"/>
      <c r="AS171" s="37"/>
      <c r="AT171" s="37"/>
      <c r="AU171" s="47"/>
      <c r="AV171" s="37"/>
      <c r="AW171" s="37">
        <v>10</v>
      </c>
      <c r="AX171" s="30">
        <v>36761010</v>
      </c>
      <c r="AY171" s="40"/>
    </row>
    <row r="172" spans="1:51" ht="42.75" customHeight="1" x14ac:dyDescent="0.25">
      <c r="A172" s="59" t="s">
        <v>2459</v>
      </c>
      <c r="B172" s="60">
        <v>45349</v>
      </c>
      <c r="C172" s="37">
        <v>1416</v>
      </c>
      <c r="D172" s="35"/>
      <c r="E172" s="39" t="s">
        <v>2460</v>
      </c>
      <c r="F172" s="36"/>
      <c r="G172" s="37"/>
      <c r="H172" s="40"/>
      <c r="I172" s="64" t="s">
        <v>1218</v>
      </c>
      <c r="J172" s="61">
        <v>2304967.5</v>
      </c>
      <c r="K172" s="41">
        <v>0</v>
      </c>
      <c r="L172" s="54">
        <v>0</v>
      </c>
      <c r="M172" s="54">
        <v>0</v>
      </c>
      <c r="N172" s="42">
        <v>100</v>
      </c>
      <c r="O172" s="43">
        <v>2304967.5</v>
      </c>
      <c r="P172" s="41"/>
      <c r="Q172" s="43">
        <v>2304967.5</v>
      </c>
      <c r="R172" s="41">
        <v>0</v>
      </c>
      <c r="S172" s="30">
        <v>0</v>
      </c>
      <c r="T172" s="30">
        <v>0</v>
      </c>
      <c r="U172" s="30" t="e">
        <v>#DIV/0!</v>
      </c>
      <c r="V172" s="41" t="e">
        <v>#DIV/0!</v>
      </c>
      <c r="W172" s="41" t="e">
        <v>#DIV/0!</v>
      </c>
      <c r="X172" s="41">
        <v>0</v>
      </c>
      <c r="Y172" s="41">
        <v>0</v>
      </c>
      <c r="Z172" s="41">
        <v>0</v>
      </c>
      <c r="AA172" s="41">
        <v>0</v>
      </c>
      <c r="AB172" s="41"/>
      <c r="AC172" s="41" t="e">
        <v>#DIV/0!</v>
      </c>
      <c r="AD172" s="41"/>
      <c r="AE172" s="41" t="e">
        <v>#DIV/0!</v>
      </c>
      <c r="AF172" s="41" t="e">
        <v>#DIV/0!</v>
      </c>
      <c r="AG172" s="41" t="e">
        <v>#DIV/0!</v>
      </c>
      <c r="AH172" s="36">
        <v>45413</v>
      </c>
      <c r="AI172" s="36"/>
      <c r="AJ172" s="36"/>
      <c r="AK172" s="36"/>
      <c r="AL172" s="36"/>
      <c r="AM172" s="46"/>
      <c r="AN172" s="40"/>
      <c r="AO172" s="40"/>
      <c r="AP172" s="40"/>
      <c r="AQ172" s="40"/>
      <c r="AR172" s="48"/>
      <c r="AS172" s="37"/>
      <c r="AT172" s="37"/>
      <c r="AU172" s="47"/>
      <c r="AV172" s="37"/>
      <c r="AW172" s="37">
        <v>10</v>
      </c>
      <c r="AX172" s="30">
        <v>230496.75</v>
      </c>
      <c r="AY172" s="40"/>
    </row>
    <row r="173" spans="1:51" ht="42.75" customHeight="1" x14ac:dyDescent="0.25">
      <c r="A173" s="59" t="s">
        <v>2461</v>
      </c>
      <c r="B173" s="60">
        <v>45350</v>
      </c>
      <c r="C173" s="37">
        <v>1416</v>
      </c>
      <c r="D173" s="35"/>
      <c r="E173" s="39" t="s">
        <v>2462</v>
      </c>
      <c r="F173" s="36"/>
      <c r="G173" s="37"/>
      <c r="H173" s="40"/>
      <c r="I173" s="62" t="s">
        <v>2463</v>
      </c>
      <c r="J173" s="61">
        <v>92834</v>
      </c>
      <c r="K173" s="41">
        <v>0</v>
      </c>
      <c r="L173" s="54">
        <v>0</v>
      </c>
      <c r="M173" s="54">
        <v>0</v>
      </c>
      <c r="N173" s="42">
        <v>100</v>
      </c>
      <c r="O173" s="43">
        <v>92834</v>
      </c>
      <c r="P173" s="41"/>
      <c r="Q173" s="43">
        <v>92834</v>
      </c>
      <c r="R173" s="41">
        <v>0</v>
      </c>
      <c r="S173" s="30">
        <v>0</v>
      </c>
      <c r="T173" s="30">
        <v>0</v>
      </c>
      <c r="U173" s="30" t="e">
        <v>#DIV/0!</v>
      </c>
      <c r="V173" s="41" t="e">
        <v>#DIV/0!</v>
      </c>
      <c r="W173" s="41" t="e">
        <v>#DIV/0!</v>
      </c>
      <c r="X173" s="41">
        <v>0</v>
      </c>
      <c r="Y173" s="41">
        <v>0</v>
      </c>
      <c r="Z173" s="41">
        <v>0</v>
      </c>
      <c r="AA173" s="41">
        <v>0</v>
      </c>
      <c r="AB173" s="41"/>
      <c r="AC173" s="41" t="e">
        <v>#DIV/0!</v>
      </c>
      <c r="AD173" s="41"/>
      <c r="AE173" s="41" t="e">
        <v>#DIV/0!</v>
      </c>
      <c r="AF173" s="41" t="e">
        <v>#DIV/0!</v>
      </c>
      <c r="AG173" s="41" t="e">
        <v>#DIV/0!</v>
      </c>
      <c r="AH173" s="60">
        <v>45413</v>
      </c>
      <c r="AI173" s="36"/>
      <c r="AJ173" s="36"/>
      <c r="AK173" s="36"/>
      <c r="AL173" s="36"/>
      <c r="AM173" s="46"/>
      <c r="AN173" s="40"/>
      <c r="AO173" s="40"/>
      <c r="AP173" s="40"/>
      <c r="AQ173" s="40"/>
      <c r="AR173" s="48"/>
      <c r="AS173" s="37"/>
      <c r="AT173" s="37"/>
      <c r="AU173" s="47"/>
      <c r="AV173" s="37"/>
      <c r="AW173" s="37">
        <v>10</v>
      </c>
      <c r="AX173" s="30">
        <v>9283.4</v>
      </c>
      <c r="AY173" s="40"/>
    </row>
    <row r="174" spans="1:51" ht="42.75" customHeight="1" x14ac:dyDescent="0.25">
      <c r="A174" s="59" t="s">
        <v>2468</v>
      </c>
      <c r="B174" s="60">
        <v>45350</v>
      </c>
      <c r="C174" s="37">
        <v>1416</v>
      </c>
      <c r="D174" s="35"/>
      <c r="E174" s="39" t="s">
        <v>2469</v>
      </c>
      <c r="F174" s="36"/>
      <c r="G174" s="37"/>
      <c r="H174" s="40"/>
      <c r="I174" s="62" t="s">
        <v>787</v>
      </c>
      <c r="J174" s="61">
        <v>188409760</v>
      </c>
      <c r="K174" s="41">
        <v>0</v>
      </c>
      <c r="L174" s="54">
        <v>0</v>
      </c>
      <c r="M174" s="54">
        <v>0</v>
      </c>
      <c r="N174" s="42">
        <v>100</v>
      </c>
      <c r="O174" s="43">
        <v>188409760</v>
      </c>
      <c r="P174" s="41"/>
      <c r="Q174" s="43">
        <v>188409760</v>
      </c>
      <c r="R174" s="41">
        <v>0</v>
      </c>
      <c r="S174" s="30">
        <v>0</v>
      </c>
      <c r="T174" s="30">
        <v>0</v>
      </c>
      <c r="U174" s="30" t="e">
        <v>#DIV/0!</v>
      </c>
      <c r="V174" s="41" t="e">
        <v>#DIV/0!</v>
      </c>
      <c r="W174" s="41" t="e">
        <v>#DIV/0!</v>
      </c>
      <c r="X174" s="41">
        <v>0</v>
      </c>
      <c r="Y174" s="41">
        <v>0</v>
      </c>
      <c r="Z174" s="41">
        <v>0</v>
      </c>
      <c r="AA174" s="41">
        <v>0</v>
      </c>
      <c r="AB174" s="41"/>
      <c r="AC174" s="41" t="e">
        <v>#DIV/0!</v>
      </c>
      <c r="AD174" s="41"/>
      <c r="AE174" s="41" t="e">
        <v>#DIV/0!</v>
      </c>
      <c r="AF174" s="41" t="e">
        <v>#DIV/0!</v>
      </c>
      <c r="AG174" s="41" t="e">
        <v>#DIV/0!</v>
      </c>
      <c r="AH174" s="60">
        <v>45413</v>
      </c>
      <c r="AI174" s="36"/>
      <c r="AJ174" s="36"/>
      <c r="AK174" s="36"/>
      <c r="AL174" s="36"/>
      <c r="AM174" s="46"/>
      <c r="AN174" s="40"/>
      <c r="AO174" s="40"/>
      <c r="AP174" s="40"/>
      <c r="AQ174" s="40"/>
      <c r="AR174" s="48"/>
      <c r="AS174" s="37"/>
      <c r="AT174" s="37"/>
      <c r="AU174" s="47"/>
      <c r="AV174" s="37"/>
      <c r="AW174" s="37">
        <v>10</v>
      </c>
      <c r="AX174" s="30">
        <v>18840976</v>
      </c>
      <c r="AY174" s="40"/>
    </row>
    <row r="175" spans="1:51" ht="42.75" customHeight="1" x14ac:dyDescent="0.25">
      <c r="A175" s="59" t="s">
        <v>2470</v>
      </c>
      <c r="B175" s="60">
        <v>45350</v>
      </c>
      <c r="C175" s="37" t="s">
        <v>2189</v>
      </c>
      <c r="D175" s="35"/>
      <c r="E175" s="39" t="s">
        <v>2471</v>
      </c>
      <c r="F175" s="36"/>
      <c r="G175" s="37"/>
      <c r="H175" s="40"/>
      <c r="I175" s="62" t="s">
        <v>2472</v>
      </c>
      <c r="J175" s="61">
        <v>588058.80000000005</v>
      </c>
      <c r="K175" s="41">
        <v>0</v>
      </c>
      <c r="L175" s="54">
        <v>0</v>
      </c>
      <c r="M175" s="54">
        <v>0</v>
      </c>
      <c r="N175" s="42">
        <v>100</v>
      </c>
      <c r="O175" s="43">
        <v>588058.80000000005</v>
      </c>
      <c r="P175" s="41"/>
      <c r="Q175" s="43">
        <v>588058.80000000005</v>
      </c>
      <c r="R175" s="41">
        <v>0</v>
      </c>
      <c r="S175" s="30">
        <v>0</v>
      </c>
      <c r="T175" s="30">
        <v>0</v>
      </c>
      <c r="U175" s="30" t="e">
        <v>#DIV/0!</v>
      </c>
      <c r="V175" s="41" t="e">
        <v>#DIV/0!</v>
      </c>
      <c r="W175" s="41" t="e">
        <v>#DIV/0!</v>
      </c>
      <c r="X175" s="41">
        <v>0</v>
      </c>
      <c r="Y175" s="41">
        <v>0</v>
      </c>
      <c r="Z175" s="41">
        <v>0</v>
      </c>
      <c r="AA175" s="41">
        <v>0</v>
      </c>
      <c r="AB175" s="41"/>
      <c r="AC175" s="41" t="e">
        <v>#DIV/0!</v>
      </c>
      <c r="AD175" s="41"/>
      <c r="AE175" s="41" t="e">
        <v>#DIV/0!</v>
      </c>
      <c r="AF175" s="41" t="e">
        <v>#DIV/0!</v>
      </c>
      <c r="AG175" s="41" t="e">
        <v>#DIV/0!</v>
      </c>
      <c r="AH175" s="60">
        <v>45413</v>
      </c>
      <c r="AI175" s="36"/>
      <c r="AJ175" s="36"/>
      <c r="AK175" s="36"/>
      <c r="AL175" s="36"/>
      <c r="AM175" s="46"/>
      <c r="AN175" s="40"/>
      <c r="AO175" s="40"/>
      <c r="AP175" s="40"/>
      <c r="AQ175" s="40"/>
      <c r="AR175" s="48"/>
      <c r="AS175" s="37"/>
      <c r="AT175" s="37"/>
      <c r="AU175" s="47"/>
      <c r="AV175" s="37"/>
      <c r="AW175" s="37">
        <v>10</v>
      </c>
      <c r="AX175" s="30">
        <v>58805.88</v>
      </c>
      <c r="AY175" s="40"/>
    </row>
    <row r="176" spans="1:51" ht="42.75" customHeight="1" x14ac:dyDescent="0.25">
      <c r="A176" s="59" t="s">
        <v>2473</v>
      </c>
      <c r="B176" s="60">
        <v>45350</v>
      </c>
      <c r="C176" s="37" t="s">
        <v>2189</v>
      </c>
      <c r="D176" s="35"/>
      <c r="E176" s="39" t="s">
        <v>2474</v>
      </c>
      <c r="F176" s="36"/>
      <c r="G176" s="37"/>
      <c r="H176" s="40"/>
      <c r="I176" s="62" t="s">
        <v>2475</v>
      </c>
      <c r="J176" s="61">
        <v>1272030</v>
      </c>
      <c r="K176" s="41">
        <v>0</v>
      </c>
      <c r="L176" s="54">
        <v>0</v>
      </c>
      <c r="M176" s="54">
        <v>0</v>
      </c>
      <c r="N176" s="42">
        <v>100</v>
      </c>
      <c r="O176" s="43">
        <v>1272030</v>
      </c>
      <c r="P176" s="41"/>
      <c r="Q176" s="43">
        <v>1272030</v>
      </c>
      <c r="R176" s="41">
        <v>0</v>
      </c>
      <c r="S176" s="30">
        <v>0</v>
      </c>
      <c r="T176" s="30">
        <v>0</v>
      </c>
      <c r="U176" s="30" t="e">
        <v>#DIV/0!</v>
      </c>
      <c r="V176" s="41" t="e">
        <v>#DIV/0!</v>
      </c>
      <c r="W176" s="41" t="e">
        <v>#DIV/0!</v>
      </c>
      <c r="X176" s="41">
        <v>0</v>
      </c>
      <c r="Y176" s="41">
        <v>0</v>
      </c>
      <c r="Z176" s="41">
        <v>0</v>
      </c>
      <c r="AA176" s="41">
        <v>0</v>
      </c>
      <c r="AB176" s="41"/>
      <c r="AC176" s="41" t="e">
        <v>#DIV/0!</v>
      </c>
      <c r="AD176" s="41"/>
      <c r="AE176" s="41" t="e">
        <v>#DIV/0!</v>
      </c>
      <c r="AF176" s="41" t="e">
        <v>#DIV/0!</v>
      </c>
      <c r="AG176" s="41" t="e">
        <v>#DIV/0!</v>
      </c>
      <c r="AH176" s="60">
        <v>45413</v>
      </c>
      <c r="AI176" s="36"/>
      <c r="AJ176" s="36"/>
      <c r="AK176" s="36"/>
      <c r="AL176" s="36"/>
      <c r="AM176" s="46"/>
      <c r="AN176" s="40"/>
      <c r="AO176" s="40"/>
      <c r="AP176" s="40"/>
      <c r="AQ176" s="40"/>
      <c r="AR176" s="48"/>
      <c r="AS176" s="37"/>
      <c r="AT176" s="37"/>
      <c r="AU176" s="47"/>
      <c r="AV176" s="37"/>
      <c r="AW176" s="37">
        <v>10</v>
      </c>
      <c r="AX176" s="30">
        <v>127203</v>
      </c>
      <c r="AY176" s="40"/>
    </row>
    <row r="177" spans="1:51" ht="42.75" customHeight="1" x14ac:dyDescent="0.25">
      <c r="A177" s="59" t="s">
        <v>2476</v>
      </c>
      <c r="B177" s="60">
        <v>45350</v>
      </c>
      <c r="C177" s="37" t="s">
        <v>2189</v>
      </c>
      <c r="D177" s="35"/>
      <c r="E177" s="39" t="s">
        <v>2477</v>
      </c>
      <c r="F177" s="36"/>
      <c r="G177" s="37"/>
      <c r="H177" s="40"/>
      <c r="I177" s="62" t="s">
        <v>2478</v>
      </c>
      <c r="J177" s="61">
        <v>156739.79999999999</v>
      </c>
      <c r="K177" s="41">
        <v>0</v>
      </c>
      <c r="L177" s="54">
        <v>0</v>
      </c>
      <c r="M177" s="54">
        <v>0</v>
      </c>
      <c r="N177" s="42">
        <v>100</v>
      </c>
      <c r="O177" s="43">
        <v>156739.79999999999</v>
      </c>
      <c r="P177" s="41"/>
      <c r="Q177" s="43">
        <v>156739.79999999999</v>
      </c>
      <c r="R177" s="41">
        <v>0</v>
      </c>
      <c r="S177" s="30">
        <v>0</v>
      </c>
      <c r="T177" s="30">
        <v>0</v>
      </c>
      <c r="U177" s="30" t="e">
        <v>#DIV/0!</v>
      </c>
      <c r="V177" s="41" t="e">
        <v>#DIV/0!</v>
      </c>
      <c r="W177" s="41" t="e">
        <v>#DIV/0!</v>
      </c>
      <c r="X177" s="41">
        <v>0</v>
      </c>
      <c r="Y177" s="41">
        <v>0</v>
      </c>
      <c r="Z177" s="41">
        <v>0</v>
      </c>
      <c r="AA177" s="41">
        <v>0</v>
      </c>
      <c r="AB177" s="41"/>
      <c r="AC177" s="41" t="e">
        <v>#DIV/0!</v>
      </c>
      <c r="AD177" s="41"/>
      <c r="AE177" s="41" t="e">
        <v>#DIV/0!</v>
      </c>
      <c r="AF177" s="41" t="e">
        <v>#DIV/0!</v>
      </c>
      <c r="AG177" s="41" t="e">
        <v>#DIV/0!</v>
      </c>
      <c r="AH177" s="60">
        <v>45413</v>
      </c>
      <c r="AI177" s="36"/>
      <c r="AJ177" s="36"/>
      <c r="AK177" s="36"/>
      <c r="AL177" s="36"/>
      <c r="AM177" s="46"/>
      <c r="AN177" s="40"/>
      <c r="AO177" s="40"/>
      <c r="AP177" s="40"/>
      <c r="AQ177" s="40"/>
      <c r="AR177" s="48"/>
      <c r="AS177" s="37"/>
      <c r="AT177" s="37"/>
      <c r="AU177" s="47"/>
      <c r="AV177" s="37"/>
      <c r="AW177" s="37">
        <v>10</v>
      </c>
      <c r="AX177" s="30">
        <v>15673.98</v>
      </c>
      <c r="AY177" s="40"/>
    </row>
    <row r="178" spans="1:51" ht="42.75" customHeight="1" x14ac:dyDescent="0.25">
      <c r="A178" s="59" t="s">
        <v>2479</v>
      </c>
      <c r="B178" s="60">
        <v>45350</v>
      </c>
      <c r="C178" s="37" t="s">
        <v>2189</v>
      </c>
      <c r="D178" s="35"/>
      <c r="E178" s="39" t="s">
        <v>2480</v>
      </c>
      <c r="F178" s="36"/>
      <c r="G178" s="37"/>
      <c r="H178" s="40"/>
      <c r="I178" s="62" t="s">
        <v>2481</v>
      </c>
      <c r="J178" s="61">
        <v>155554.56</v>
      </c>
      <c r="K178" s="41">
        <v>0</v>
      </c>
      <c r="L178" s="54">
        <v>0</v>
      </c>
      <c r="M178" s="54">
        <v>0</v>
      </c>
      <c r="N178" s="42">
        <v>100</v>
      </c>
      <c r="O178" s="43">
        <v>155554.56</v>
      </c>
      <c r="P178" s="41"/>
      <c r="Q178" s="43">
        <v>155554.56</v>
      </c>
      <c r="R178" s="41">
        <v>0</v>
      </c>
      <c r="S178" s="30">
        <v>0</v>
      </c>
      <c r="T178" s="30">
        <v>0</v>
      </c>
      <c r="U178" s="30" t="e">
        <v>#DIV/0!</v>
      </c>
      <c r="V178" s="41" t="e">
        <v>#DIV/0!</v>
      </c>
      <c r="W178" s="41" t="e">
        <v>#DIV/0!</v>
      </c>
      <c r="X178" s="41">
        <v>0</v>
      </c>
      <c r="Y178" s="41">
        <v>0</v>
      </c>
      <c r="Z178" s="41">
        <v>0</v>
      </c>
      <c r="AA178" s="41">
        <v>0</v>
      </c>
      <c r="AB178" s="41"/>
      <c r="AC178" s="41" t="e">
        <v>#DIV/0!</v>
      </c>
      <c r="AD178" s="41"/>
      <c r="AE178" s="41" t="e">
        <v>#DIV/0!</v>
      </c>
      <c r="AF178" s="41" t="e">
        <v>#DIV/0!</v>
      </c>
      <c r="AG178" s="41" t="e">
        <v>#DIV/0!</v>
      </c>
      <c r="AH178" s="60">
        <v>45413</v>
      </c>
      <c r="AI178" s="36"/>
      <c r="AJ178" s="36"/>
      <c r="AK178" s="36"/>
      <c r="AL178" s="36"/>
      <c r="AM178" s="46"/>
      <c r="AN178" s="40"/>
      <c r="AO178" s="40"/>
      <c r="AP178" s="40"/>
      <c r="AQ178" s="40"/>
      <c r="AR178" s="48"/>
      <c r="AS178" s="37"/>
      <c r="AT178" s="37"/>
      <c r="AU178" s="47"/>
      <c r="AV178" s="37"/>
      <c r="AW178" s="37">
        <v>10</v>
      </c>
      <c r="AX178" s="30">
        <v>15555.456</v>
      </c>
      <c r="AY178" s="40"/>
    </row>
    <row r="179" spans="1:51" ht="42.75" customHeight="1" x14ac:dyDescent="0.25">
      <c r="A179" s="59" t="s">
        <v>2482</v>
      </c>
      <c r="B179" s="60">
        <v>45350</v>
      </c>
      <c r="C179" s="37" t="s">
        <v>2189</v>
      </c>
      <c r="D179" s="35"/>
      <c r="E179" s="39" t="s">
        <v>2483</v>
      </c>
      <c r="F179" s="36"/>
      <c r="G179" s="37"/>
      <c r="H179" s="40"/>
      <c r="I179" s="62" t="s">
        <v>2484</v>
      </c>
      <c r="J179" s="61">
        <v>52561.5</v>
      </c>
      <c r="K179" s="41">
        <v>0</v>
      </c>
      <c r="L179" s="54">
        <v>0</v>
      </c>
      <c r="M179" s="54">
        <v>0</v>
      </c>
      <c r="N179" s="42">
        <v>100</v>
      </c>
      <c r="O179" s="43">
        <v>52561.5</v>
      </c>
      <c r="P179" s="41"/>
      <c r="Q179" s="43">
        <v>52561.5</v>
      </c>
      <c r="R179" s="41">
        <v>0</v>
      </c>
      <c r="S179" s="30">
        <v>0</v>
      </c>
      <c r="T179" s="30">
        <v>0</v>
      </c>
      <c r="U179" s="30" t="e">
        <v>#DIV/0!</v>
      </c>
      <c r="V179" s="41" t="e">
        <v>#DIV/0!</v>
      </c>
      <c r="W179" s="41" t="e">
        <v>#DIV/0!</v>
      </c>
      <c r="X179" s="41">
        <v>0</v>
      </c>
      <c r="Y179" s="41">
        <v>0</v>
      </c>
      <c r="Z179" s="41">
        <v>0</v>
      </c>
      <c r="AA179" s="41">
        <v>0</v>
      </c>
      <c r="AB179" s="41"/>
      <c r="AC179" s="41" t="e">
        <v>#DIV/0!</v>
      </c>
      <c r="AD179" s="41"/>
      <c r="AE179" s="41" t="e">
        <v>#DIV/0!</v>
      </c>
      <c r="AF179" s="41" t="e">
        <v>#DIV/0!</v>
      </c>
      <c r="AG179" s="41" t="e">
        <v>#DIV/0!</v>
      </c>
      <c r="AH179" s="60">
        <v>45413</v>
      </c>
      <c r="AI179" s="36"/>
      <c r="AJ179" s="36"/>
      <c r="AK179" s="36"/>
      <c r="AL179" s="36"/>
      <c r="AM179" s="46"/>
      <c r="AN179" s="40"/>
      <c r="AO179" s="40"/>
      <c r="AP179" s="40"/>
      <c r="AQ179" s="40"/>
      <c r="AR179" s="48"/>
      <c r="AS179" s="37"/>
      <c r="AT179" s="37"/>
      <c r="AU179" s="47"/>
      <c r="AV179" s="37"/>
      <c r="AW179" s="37">
        <v>10</v>
      </c>
      <c r="AX179" s="30">
        <v>5256.15</v>
      </c>
      <c r="AY179" s="40"/>
    </row>
    <row r="180" spans="1:51" ht="42.75" customHeight="1" x14ac:dyDescent="0.25">
      <c r="A180" s="59" t="s">
        <v>2485</v>
      </c>
      <c r="B180" s="60">
        <v>45350</v>
      </c>
      <c r="C180" s="37">
        <v>1416</v>
      </c>
      <c r="D180" s="35"/>
      <c r="E180" s="39" t="s">
        <v>2486</v>
      </c>
      <c r="F180" s="36"/>
      <c r="G180" s="37"/>
      <c r="H180" s="40"/>
      <c r="I180" s="62" t="s">
        <v>2487</v>
      </c>
      <c r="J180" s="61">
        <v>449689624.02999997</v>
      </c>
      <c r="K180" s="41">
        <v>0</v>
      </c>
      <c r="L180" s="54">
        <v>0</v>
      </c>
      <c r="M180" s="54">
        <v>0</v>
      </c>
      <c r="N180" s="42">
        <v>100</v>
      </c>
      <c r="O180" s="43">
        <v>449689624.02999997</v>
      </c>
      <c r="P180" s="41"/>
      <c r="Q180" s="43">
        <v>449689624.02999997</v>
      </c>
      <c r="R180" s="41">
        <v>0</v>
      </c>
      <c r="S180" s="30">
        <v>0</v>
      </c>
      <c r="T180" s="30">
        <v>0</v>
      </c>
      <c r="U180" s="30" t="e">
        <v>#DIV/0!</v>
      </c>
      <c r="V180" s="41" t="e">
        <v>#DIV/0!</v>
      </c>
      <c r="W180" s="41" t="e">
        <v>#DIV/0!</v>
      </c>
      <c r="X180" s="41">
        <v>0</v>
      </c>
      <c r="Y180" s="41">
        <v>0</v>
      </c>
      <c r="Z180" s="41">
        <v>0</v>
      </c>
      <c r="AA180" s="41">
        <v>0</v>
      </c>
      <c r="AB180" s="41"/>
      <c r="AC180" s="41" t="e">
        <v>#DIV/0!</v>
      </c>
      <c r="AD180" s="41"/>
      <c r="AE180" s="41" t="e">
        <v>#DIV/0!</v>
      </c>
      <c r="AF180" s="41" t="e">
        <v>#DIV/0!</v>
      </c>
      <c r="AG180" s="41" t="e">
        <v>#DIV/0!</v>
      </c>
      <c r="AH180" s="60">
        <v>45413</v>
      </c>
      <c r="AI180" s="36"/>
      <c r="AJ180" s="36"/>
      <c r="AK180" s="36"/>
      <c r="AL180" s="36"/>
      <c r="AM180" s="46"/>
      <c r="AN180" s="40"/>
      <c r="AO180" s="40"/>
      <c r="AP180" s="40"/>
      <c r="AQ180" s="40"/>
      <c r="AR180" s="48"/>
      <c r="AS180" s="37"/>
      <c r="AT180" s="37"/>
      <c r="AU180" s="47"/>
      <c r="AV180" s="37"/>
      <c r="AW180" s="37">
        <v>10</v>
      </c>
      <c r="AX180" s="30">
        <v>44968962.40299999</v>
      </c>
      <c r="AY180" s="40"/>
    </row>
    <row r="181" spans="1:51" ht="42.75" customHeight="1" x14ac:dyDescent="0.25">
      <c r="A181" s="59" t="s">
        <v>2488</v>
      </c>
      <c r="B181" s="60">
        <v>45350</v>
      </c>
      <c r="C181" s="37">
        <v>1416</v>
      </c>
      <c r="D181" s="35"/>
      <c r="E181" s="39" t="s">
        <v>2489</v>
      </c>
      <c r="F181" s="36"/>
      <c r="G181" s="37"/>
      <c r="H181" s="40"/>
      <c r="I181" s="62" t="s">
        <v>2484</v>
      </c>
      <c r="J181" s="61">
        <v>7595529</v>
      </c>
      <c r="K181" s="41">
        <v>0</v>
      </c>
      <c r="L181" s="54">
        <v>0</v>
      </c>
      <c r="M181" s="54">
        <v>0</v>
      </c>
      <c r="N181" s="42">
        <v>100</v>
      </c>
      <c r="O181" s="43">
        <v>7595529</v>
      </c>
      <c r="P181" s="41"/>
      <c r="Q181" s="43">
        <v>7595529</v>
      </c>
      <c r="R181" s="41">
        <v>0</v>
      </c>
      <c r="S181" s="30">
        <v>0</v>
      </c>
      <c r="T181" s="30">
        <v>0</v>
      </c>
      <c r="U181" s="30" t="e">
        <v>#DIV/0!</v>
      </c>
      <c r="V181" s="41" t="e">
        <v>#DIV/0!</v>
      </c>
      <c r="W181" s="41" t="e">
        <v>#DIV/0!</v>
      </c>
      <c r="X181" s="41">
        <v>0</v>
      </c>
      <c r="Y181" s="41">
        <v>0</v>
      </c>
      <c r="Z181" s="41">
        <v>0</v>
      </c>
      <c r="AA181" s="41">
        <v>0</v>
      </c>
      <c r="AB181" s="41"/>
      <c r="AC181" s="41" t="e">
        <v>#DIV/0!</v>
      </c>
      <c r="AD181" s="41"/>
      <c r="AE181" s="41" t="e">
        <v>#DIV/0!</v>
      </c>
      <c r="AF181" s="41" t="e">
        <v>#DIV/0!</v>
      </c>
      <c r="AG181" s="41" t="e">
        <v>#DIV/0!</v>
      </c>
      <c r="AH181" s="60">
        <v>45413</v>
      </c>
      <c r="AI181" s="36"/>
      <c r="AJ181" s="36"/>
      <c r="AK181" s="36"/>
      <c r="AL181" s="36"/>
      <c r="AM181" s="46"/>
      <c r="AN181" s="40"/>
      <c r="AO181" s="40"/>
      <c r="AP181" s="40"/>
      <c r="AQ181" s="40"/>
      <c r="AR181" s="48"/>
      <c r="AS181" s="37"/>
      <c r="AT181" s="37"/>
      <c r="AU181" s="47"/>
      <c r="AV181" s="37"/>
      <c r="AW181" s="37">
        <v>10</v>
      </c>
      <c r="AX181" s="30">
        <v>759552.9</v>
      </c>
      <c r="AY181" s="40"/>
    </row>
    <row r="182" spans="1:51" ht="42.75" customHeight="1" x14ac:dyDescent="0.25">
      <c r="A182" s="59" t="s">
        <v>2490</v>
      </c>
      <c r="B182" s="60">
        <v>45350</v>
      </c>
      <c r="C182" s="37">
        <v>1416</v>
      </c>
      <c r="D182" s="35"/>
      <c r="E182" s="39" t="s">
        <v>2491</v>
      </c>
      <c r="F182" s="36"/>
      <c r="G182" s="37"/>
      <c r="H182" s="40"/>
      <c r="I182" s="62" t="s">
        <v>2492</v>
      </c>
      <c r="J182" s="61">
        <v>12242301.279999999</v>
      </c>
      <c r="K182" s="41">
        <v>0</v>
      </c>
      <c r="L182" s="54">
        <v>0</v>
      </c>
      <c r="M182" s="54">
        <v>0</v>
      </c>
      <c r="N182" s="42">
        <v>100</v>
      </c>
      <c r="O182" s="43">
        <v>12242301.279999999</v>
      </c>
      <c r="P182" s="41"/>
      <c r="Q182" s="43">
        <v>12242301.279999999</v>
      </c>
      <c r="R182" s="41">
        <v>0</v>
      </c>
      <c r="S182" s="30">
        <v>0</v>
      </c>
      <c r="T182" s="30">
        <v>0</v>
      </c>
      <c r="U182" s="30" t="e">
        <v>#DIV/0!</v>
      </c>
      <c r="V182" s="41" t="e">
        <v>#DIV/0!</v>
      </c>
      <c r="W182" s="41" t="e">
        <v>#DIV/0!</v>
      </c>
      <c r="X182" s="41">
        <v>0</v>
      </c>
      <c r="Y182" s="41">
        <v>0</v>
      </c>
      <c r="Z182" s="41">
        <v>0</v>
      </c>
      <c r="AA182" s="41">
        <v>0</v>
      </c>
      <c r="AB182" s="41"/>
      <c r="AC182" s="41" t="e">
        <v>#DIV/0!</v>
      </c>
      <c r="AD182" s="41"/>
      <c r="AE182" s="41" t="e">
        <v>#DIV/0!</v>
      </c>
      <c r="AF182" s="41" t="e">
        <v>#DIV/0!</v>
      </c>
      <c r="AG182" s="41" t="e">
        <v>#DIV/0!</v>
      </c>
      <c r="AH182" s="60">
        <v>45536</v>
      </c>
      <c r="AI182" s="36"/>
      <c r="AJ182" s="36"/>
      <c r="AK182" s="36"/>
      <c r="AL182" s="36"/>
      <c r="AM182" s="46"/>
      <c r="AN182" s="40"/>
      <c r="AO182" s="40"/>
      <c r="AP182" s="40"/>
      <c r="AQ182" s="40"/>
      <c r="AR182" s="48"/>
      <c r="AS182" s="37"/>
      <c r="AT182" s="37"/>
      <c r="AU182" s="47"/>
      <c r="AV182" s="37"/>
      <c r="AW182" s="37">
        <v>10</v>
      </c>
      <c r="AX182" s="30">
        <v>1224230.128</v>
      </c>
      <c r="AY182" s="40"/>
    </row>
    <row r="183" spans="1:51" ht="42.75" customHeight="1" x14ac:dyDescent="0.25">
      <c r="A183" s="59" t="s">
        <v>2493</v>
      </c>
      <c r="B183" s="60">
        <v>45350</v>
      </c>
      <c r="C183" s="37">
        <v>1416</v>
      </c>
      <c r="D183" s="35"/>
      <c r="E183" s="39" t="s">
        <v>2494</v>
      </c>
      <c r="F183" s="36"/>
      <c r="G183" s="37"/>
      <c r="H183" s="40"/>
      <c r="I183" s="62" t="s">
        <v>241</v>
      </c>
      <c r="J183" s="61">
        <v>974646.96</v>
      </c>
      <c r="K183" s="41">
        <v>0</v>
      </c>
      <c r="L183" s="54">
        <v>0</v>
      </c>
      <c r="M183" s="54">
        <v>0</v>
      </c>
      <c r="N183" s="42">
        <v>100</v>
      </c>
      <c r="O183" s="43">
        <v>974646.96</v>
      </c>
      <c r="P183" s="41"/>
      <c r="Q183" s="43">
        <v>974646.96</v>
      </c>
      <c r="R183" s="41">
        <v>0</v>
      </c>
      <c r="S183" s="30">
        <v>0</v>
      </c>
      <c r="T183" s="30">
        <v>0</v>
      </c>
      <c r="U183" s="30" t="e">
        <v>#DIV/0!</v>
      </c>
      <c r="V183" s="41" t="e">
        <v>#DIV/0!</v>
      </c>
      <c r="W183" s="41" t="e">
        <v>#DIV/0!</v>
      </c>
      <c r="X183" s="41">
        <v>0</v>
      </c>
      <c r="Y183" s="41">
        <v>0</v>
      </c>
      <c r="Z183" s="41">
        <v>0</v>
      </c>
      <c r="AA183" s="41">
        <v>0</v>
      </c>
      <c r="AB183" s="41"/>
      <c r="AC183" s="41" t="e">
        <v>#DIV/0!</v>
      </c>
      <c r="AD183" s="41"/>
      <c r="AE183" s="41" t="e">
        <v>#DIV/0!</v>
      </c>
      <c r="AF183" s="41" t="e">
        <v>#DIV/0!</v>
      </c>
      <c r="AG183" s="41" t="e">
        <v>#DIV/0!</v>
      </c>
      <c r="AH183" s="60">
        <v>45413</v>
      </c>
      <c r="AI183" s="36"/>
      <c r="AJ183" s="36"/>
      <c r="AK183" s="36"/>
      <c r="AL183" s="36"/>
      <c r="AM183" s="46"/>
      <c r="AN183" s="40"/>
      <c r="AO183" s="40"/>
      <c r="AP183" s="40"/>
      <c r="AQ183" s="40"/>
      <c r="AR183" s="48"/>
      <c r="AS183" s="37"/>
      <c r="AT183" s="37"/>
      <c r="AU183" s="47"/>
      <c r="AV183" s="37"/>
      <c r="AW183" s="37">
        <v>10</v>
      </c>
      <c r="AX183" s="30">
        <v>97464.695999999996</v>
      </c>
      <c r="AY183" s="40"/>
    </row>
    <row r="184" spans="1:51" ht="42.75" customHeight="1" x14ac:dyDescent="0.25">
      <c r="A184" s="59" t="s">
        <v>2498</v>
      </c>
      <c r="B184" s="60">
        <v>45350</v>
      </c>
      <c r="C184" s="37">
        <v>1416</v>
      </c>
      <c r="D184" s="35"/>
      <c r="E184" s="39" t="s">
        <v>2499</v>
      </c>
      <c r="F184" s="36"/>
      <c r="G184" s="37"/>
      <c r="H184" s="40"/>
      <c r="I184" s="62" t="s">
        <v>1154</v>
      </c>
      <c r="J184" s="61">
        <v>89366255</v>
      </c>
      <c r="K184" s="41">
        <v>0</v>
      </c>
      <c r="L184" s="54">
        <v>0</v>
      </c>
      <c r="M184" s="54">
        <v>0</v>
      </c>
      <c r="N184" s="42">
        <v>100</v>
      </c>
      <c r="O184" s="43">
        <v>89366255</v>
      </c>
      <c r="P184" s="41"/>
      <c r="Q184" s="43">
        <v>89366255</v>
      </c>
      <c r="R184" s="41">
        <v>0</v>
      </c>
      <c r="S184" s="30">
        <v>0</v>
      </c>
      <c r="T184" s="30">
        <v>0</v>
      </c>
      <c r="U184" s="30" t="e">
        <v>#DIV/0!</v>
      </c>
      <c r="V184" s="41" t="e">
        <v>#DIV/0!</v>
      </c>
      <c r="W184" s="41" t="e">
        <v>#DIV/0!</v>
      </c>
      <c r="X184" s="41">
        <v>0</v>
      </c>
      <c r="Y184" s="41">
        <v>0</v>
      </c>
      <c r="Z184" s="41">
        <v>0</v>
      </c>
      <c r="AA184" s="41">
        <v>0</v>
      </c>
      <c r="AB184" s="41"/>
      <c r="AC184" s="41" t="e">
        <v>#DIV/0!</v>
      </c>
      <c r="AD184" s="41"/>
      <c r="AE184" s="41" t="e">
        <v>#DIV/0!</v>
      </c>
      <c r="AF184" s="41" t="e">
        <v>#DIV/0!</v>
      </c>
      <c r="AG184" s="41" t="e">
        <v>#DIV/0!</v>
      </c>
      <c r="AH184" s="60">
        <v>45413</v>
      </c>
      <c r="AI184" s="36"/>
      <c r="AJ184" s="36"/>
      <c r="AK184" s="36"/>
      <c r="AL184" s="36"/>
      <c r="AM184" s="46"/>
      <c r="AN184" s="40"/>
      <c r="AO184" s="40"/>
      <c r="AP184" s="40"/>
      <c r="AQ184" s="40"/>
      <c r="AR184" s="48"/>
      <c r="AS184" s="37"/>
      <c r="AT184" s="37"/>
      <c r="AU184" s="47"/>
      <c r="AV184" s="37"/>
      <c r="AW184" s="37">
        <v>10</v>
      </c>
      <c r="AX184" s="30">
        <v>8936625.5</v>
      </c>
      <c r="AY184" s="40"/>
    </row>
    <row r="185" spans="1:51" ht="42.75" customHeight="1" x14ac:dyDescent="0.25">
      <c r="A185" s="59" t="s">
        <v>2505</v>
      </c>
      <c r="B185" s="60">
        <v>45350</v>
      </c>
      <c r="C185" s="37" t="s">
        <v>2189</v>
      </c>
      <c r="D185" s="35"/>
      <c r="E185" s="39" t="s">
        <v>2506</v>
      </c>
      <c r="F185" s="36"/>
      <c r="G185" s="37"/>
      <c r="H185" s="40"/>
      <c r="I185" s="62" t="s">
        <v>2507</v>
      </c>
      <c r="J185" s="61">
        <v>54850.2</v>
      </c>
      <c r="K185" s="41">
        <v>0</v>
      </c>
      <c r="L185" s="54">
        <v>0</v>
      </c>
      <c r="M185" s="54">
        <v>0</v>
      </c>
      <c r="N185" s="42">
        <v>100</v>
      </c>
      <c r="O185" s="43">
        <v>54850.2</v>
      </c>
      <c r="P185" s="41"/>
      <c r="Q185" s="43">
        <v>54850.2</v>
      </c>
      <c r="R185" s="41">
        <v>0</v>
      </c>
      <c r="S185" s="30">
        <v>0</v>
      </c>
      <c r="T185" s="30">
        <v>0</v>
      </c>
      <c r="U185" s="30" t="e">
        <v>#DIV/0!</v>
      </c>
      <c r="V185" s="41" t="e">
        <v>#DIV/0!</v>
      </c>
      <c r="W185" s="41" t="e">
        <v>#DIV/0!</v>
      </c>
      <c r="X185" s="41">
        <v>0</v>
      </c>
      <c r="Y185" s="41">
        <v>0</v>
      </c>
      <c r="Z185" s="41">
        <v>0</v>
      </c>
      <c r="AA185" s="41">
        <v>0</v>
      </c>
      <c r="AB185" s="41"/>
      <c r="AC185" s="41" t="e">
        <v>#DIV/0!</v>
      </c>
      <c r="AD185" s="41"/>
      <c r="AE185" s="41" t="e">
        <v>#DIV/0!</v>
      </c>
      <c r="AF185" s="41" t="e">
        <v>#DIV/0!</v>
      </c>
      <c r="AG185" s="41" t="e">
        <v>#DIV/0!</v>
      </c>
      <c r="AH185" s="60">
        <v>45413</v>
      </c>
      <c r="AI185" s="36"/>
      <c r="AJ185" s="36"/>
      <c r="AK185" s="36"/>
      <c r="AL185" s="36"/>
      <c r="AM185" s="46"/>
      <c r="AN185" s="40"/>
      <c r="AO185" s="40"/>
      <c r="AP185" s="40"/>
      <c r="AQ185" s="40"/>
      <c r="AR185" s="48"/>
      <c r="AS185" s="37"/>
      <c r="AT185" s="37"/>
      <c r="AU185" s="47"/>
      <c r="AV185" s="37"/>
      <c r="AW185" s="37">
        <v>10</v>
      </c>
      <c r="AX185" s="30">
        <v>5485.02</v>
      </c>
      <c r="AY185" s="40"/>
    </row>
    <row r="186" spans="1:51" ht="42.75" customHeight="1" x14ac:dyDescent="0.25">
      <c r="A186" s="59" t="s">
        <v>2508</v>
      </c>
      <c r="B186" s="60">
        <v>45350</v>
      </c>
      <c r="C186" s="37" t="s">
        <v>2189</v>
      </c>
      <c r="D186" s="35"/>
      <c r="E186" s="39" t="s">
        <v>2509</v>
      </c>
      <c r="F186" s="36"/>
      <c r="G186" s="37"/>
      <c r="H186" s="40"/>
      <c r="I186" s="62" t="s">
        <v>241</v>
      </c>
      <c r="J186" s="61">
        <v>1387.68</v>
      </c>
      <c r="K186" s="41">
        <v>0</v>
      </c>
      <c r="L186" s="54">
        <v>0</v>
      </c>
      <c r="M186" s="54">
        <v>0</v>
      </c>
      <c r="N186" s="42">
        <v>100</v>
      </c>
      <c r="O186" s="43">
        <v>1387.68</v>
      </c>
      <c r="P186" s="41"/>
      <c r="Q186" s="43">
        <v>1387.68</v>
      </c>
      <c r="R186" s="41">
        <v>0</v>
      </c>
      <c r="S186" s="30">
        <v>0</v>
      </c>
      <c r="T186" s="30">
        <v>0</v>
      </c>
      <c r="U186" s="30" t="e">
        <v>#DIV/0!</v>
      </c>
      <c r="V186" s="41" t="e">
        <v>#DIV/0!</v>
      </c>
      <c r="W186" s="41" t="e">
        <v>#DIV/0!</v>
      </c>
      <c r="X186" s="41">
        <v>0</v>
      </c>
      <c r="Y186" s="41">
        <v>0</v>
      </c>
      <c r="Z186" s="41">
        <v>0</v>
      </c>
      <c r="AA186" s="41">
        <v>0</v>
      </c>
      <c r="AB186" s="41"/>
      <c r="AC186" s="41" t="e">
        <v>#DIV/0!</v>
      </c>
      <c r="AD186" s="41"/>
      <c r="AE186" s="41" t="e">
        <v>#DIV/0!</v>
      </c>
      <c r="AF186" s="41" t="e">
        <v>#DIV/0!</v>
      </c>
      <c r="AG186" s="41" t="e">
        <v>#DIV/0!</v>
      </c>
      <c r="AH186" s="60">
        <v>45413</v>
      </c>
      <c r="AI186" s="36"/>
      <c r="AJ186" s="36"/>
      <c r="AK186" s="36"/>
      <c r="AL186" s="36"/>
      <c r="AM186" s="46"/>
      <c r="AN186" s="40"/>
      <c r="AO186" s="40"/>
      <c r="AP186" s="40"/>
      <c r="AQ186" s="40"/>
      <c r="AR186" s="48"/>
      <c r="AS186" s="37"/>
      <c r="AT186" s="37"/>
      <c r="AU186" s="47"/>
      <c r="AV186" s="37"/>
      <c r="AW186" s="37">
        <v>10</v>
      </c>
      <c r="AX186" s="30">
        <v>138.768</v>
      </c>
      <c r="AY186" s="40"/>
    </row>
    <row r="187" spans="1:51" ht="42.75" customHeight="1" x14ac:dyDescent="0.25">
      <c r="A187" s="59" t="s">
        <v>2515</v>
      </c>
      <c r="B187" s="60">
        <v>45350</v>
      </c>
      <c r="C187" s="37" t="s">
        <v>2189</v>
      </c>
      <c r="D187" s="35"/>
      <c r="E187" s="39" t="s">
        <v>2516</v>
      </c>
      <c r="F187" s="36"/>
      <c r="G187" s="37"/>
      <c r="H187" s="40"/>
      <c r="I187" s="62" t="s">
        <v>739</v>
      </c>
      <c r="J187" s="61">
        <v>480955.06</v>
      </c>
      <c r="K187" s="41">
        <v>0</v>
      </c>
      <c r="L187" s="54">
        <v>0</v>
      </c>
      <c r="M187" s="54">
        <v>0</v>
      </c>
      <c r="N187" s="42">
        <v>100</v>
      </c>
      <c r="O187" s="43">
        <v>480955.06</v>
      </c>
      <c r="P187" s="41"/>
      <c r="Q187" s="43">
        <v>480955.06</v>
      </c>
      <c r="R187" s="41">
        <v>0</v>
      </c>
      <c r="S187" s="30">
        <v>0</v>
      </c>
      <c r="T187" s="30">
        <v>0</v>
      </c>
      <c r="U187" s="30" t="e">
        <v>#DIV/0!</v>
      </c>
      <c r="V187" s="41" t="e">
        <v>#DIV/0!</v>
      </c>
      <c r="W187" s="41" t="e">
        <v>#DIV/0!</v>
      </c>
      <c r="X187" s="41">
        <v>0</v>
      </c>
      <c r="Y187" s="41">
        <v>0</v>
      </c>
      <c r="Z187" s="41">
        <v>0</v>
      </c>
      <c r="AA187" s="41">
        <v>0</v>
      </c>
      <c r="AB187" s="41"/>
      <c r="AC187" s="41" t="e">
        <v>#DIV/0!</v>
      </c>
      <c r="AD187" s="41"/>
      <c r="AE187" s="41" t="e">
        <v>#DIV/0!</v>
      </c>
      <c r="AF187" s="41" t="e">
        <v>#DIV/0!</v>
      </c>
      <c r="AG187" s="41" t="e">
        <v>#DIV/0!</v>
      </c>
      <c r="AH187" s="60">
        <v>45473</v>
      </c>
      <c r="AI187" s="36"/>
      <c r="AJ187" s="36"/>
      <c r="AK187" s="36"/>
      <c r="AL187" s="36"/>
      <c r="AM187" s="46"/>
      <c r="AN187" s="40"/>
      <c r="AO187" s="40"/>
      <c r="AP187" s="40"/>
      <c r="AQ187" s="40"/>
      <c r="AR187" s="48"/>
      <c r="AS187" s="37"/>
      <c r="AT187" s="37"/>
      <c r="AU187" s="47"/>
      <c r="AV187" s="37"/>
      <c r="AW187" s="37">
        <v>10</v>
      </c>
      <c r="AX187" s="30">
        <v>48095.505999999994</v>
      </c>
      <c r="AY187" s="40"/>
    </row>
    <row r="188" spans="1:51" ht="42.75" customHeight="1" x14ac:dyDescent="0.25">
      <c r="A188" s="59" t="s">
        <v>2517</v>
      </c>
      <c r="B188" s="60">
        <v>45350</v>
      </c>
      <c r="C188" s="37">
        <v>1416</v>
      </c>
      <c r="D188" s="35"/>
      <c r="E188" s="39" t="s">
        <v>2518</v>
      </c>
      <c r="F188" s="36"/>
      <c r="G188" s="37"/>
      <c r="H188" s="40"/>
      <c r="I188" s="62" t="s">
        <v>739</v>
      </c>
      <c r="J188" s="61">
        <v>56993174.140000001</v>
      </c>
      <c r="K188" s="41">
        <v>0</v>
      </c>
      <c r="L188" s="54">
        <v>0</v>
      </c>
      <c r="M188" s="54">
        <v>0</v>
      </c>
      <c r="N188" s="42">
        <v>100</v>
      </c>
      <c r="O188" s="43">
        <v>56993174.140000001</v>
      </c>
      <c r="P188" s="41"/>
      <c r="Q188" s="43">
        <v>56993174.140000001</v>
      </c>
      <c r="R188" s="41">
        <v>0</v>
      </c>
      <c r="S188" s="30">
        <v>0</v>
      </c>
      <c r="T188" s="30">
        <v>0</v>
      </c>
      <c r="U188" s="30" t="e">
        <v>#DIV/0!</v>
      </c>
      <c r="V188" s="41" t="e">
        <v>#DIV/0!</v>
      </c>
      <c r="W188" s="41" t="e">
        <v>#DIV/0!</v>
      </c>
      <c r="X188" s="41">
        <v>0</v>
      </c>
      <c r="Y188" s="41">
        <v>0</v>
      </c>
      <c r="Z188" s="41">
        <v>0</v>
      </c>
      <c r="AA188" s="41">
        <v>0</v>
      </c>
      <c r="AB188" s="41"/>
      <c r="AC188" s="41" t="e">
        <v>#DIV/0!</v>
      </c>
      <c r="AD188" s="41"/>
      <c r="AE188" s="41" t="e">
        <v>#DIV/0!</v>
      </c>
      <c r="AF188" s="41" t="e">
        <v>#DIV/0!</v>
      </c>
      <c r="AG188" s="41" t="e">
        <v>#DIV/0!</v>
      </c>
      <c r="AH188" s="60">
        <v>45473</v>
      </c>
      <c r="AI188" s="36"/>
      <c r="AJ188" s="36"/>
      <c r="AK188" s="36"/>
      <c r="AL188" s="36"/>
      <c r="AM188" s="46"/>
      <c r="AN188" s="40"/>
      <c r="AO188" s="40"/>
      <c r="AP188" s="40"/>
      <c r="AQ188" s="40"/>
      <c r="AR188" s="48"/>
      <c r="AS188" s="37"/>
      <c r="AT188" s="37"/>
      <c r="AU188" s="47"/>
      <c r="AV188" s="37"/>
      <c r="AW188" s="37">
        <v>10</v>
      </c>
      <c r="AX188" s="30">
        <v>5699317.4139999999</v>
      </c>
      <c r="AY188" s="40"/>
    </row>
    <row r="189" spans="1:51" ht="43.5" customHeight="1" x14ac:dyDescent="0.25">
      <c r="A189" s="59" t="s">
        <v>2528</v>
      </c>
      <c r="B189" s="60">
        <v>45352</v>
      </c>
      <c r="C189" s="37">
        <v>1416</v>
      </c>
      <c r="D189" s="35"/>
      <c r="E189" s="40"/>
      <c r="F189" s="36"/>
      <c r="G189" s="37"/>
      <c r="H189" s="40"/>
      <c r="I189" s="62" t="s">
        <v>2529</v>
      </c>
      <c r="J189" s="61">
        <v>255339696</v>
      </c>
      <c r="K189" s="41">
        <v>0</v>
      </c>
      <c r="L189" s="54">
        <v>0</v>
      </c>
      <c r="M189" s="54">
        <v>0</v>
      </c>
      <c r="N189" s="42">
        <v>100</v>
      </c>
      <c r="O189" s="43">
        <v>255339696</v>
      </c>
      <c r="P189" s="41"/>
      <c r="Q189" s="43">
        <v>255339696</v>
      </c>
      <c r="R189" s="41">
        <v>0</v>
      </c>
      <c r="S189" s="30">
        <v>0</v>
      </c>
      <c r="T189" s="30">
        <v>0</v>
      </c>
      <c r="U189" s="30" t="e">
        <v>#DIV/0!</v>
      </c>
      <c r="V189" s="41" t="e">
        <v>#DIV/0!</v>
      </c>
      <c r="W189" s="41" t="e">
        <v>#DIV/0!</v>
      </c>
      <c r="X189" s="41">
        <v>0</v>
      </c>
      <c r="Y189" s="41">
        <v>0</v>
      </c>
      <c r="Z189" s="41">
        <v>0</v>
      </c>
      <c r="AA189" s="41">
        <v>0</v>
      </c>
      <c r="AB189" s="41"/>
      <c r="AC189" s="41" t="e">
        <v>#DIV/0!</v>
      </c>
      <c r="AD189" s="41"/>
      <c r="AE189" s="41" t="e">
        <v>#DIV/0!</v>
      </c>
      <c r="AF189" s="41" t="e">
        <v>#DIV/0!</v>
      </c>
      <c r="AG189" s="41" t="e">
        <v>#DIV/0!</v>
      </c>
      <c r="AH189" s="36">
        <v>45444</v>
      </c>
      <c r="AI189" s="36"/>
      <c r="AJ189" s="36"/>
      <c r="AK189" s="36"/>
      <c r="AL189" s="36"/>
      <c r="AM189" s="46"/>
      <c r="AN189" s="40"/>
      <c r="AO189" s="40"/>
      <c r="AP189" s="40"/>
      <c r="AQ189" s="40"/>
      <c r="AR189" s="48"/>
      <c r="AS189" s="37"/>
      <c r="AT189" s="37"/>
      <c r="AU189" s="47"/>
      <c r="AV189" s="37"/>
      <c r="AW189" s="37">
        <v>10</v>
      </c>
      <c r="AX189" s="30">
        <v>25533969.600000001</v>
      </c>
      <c r="AY189" s="40"/>
    </row>
    <row r="190" spans="1:51" ht="43.5" customHeight="1" x14ac:dyDescent="0.25">
      <c r="A190" s="59" t="s">
        <v>2530</v>
      </c>
      <c r="B190" s="60">
        <v>45352</v>
      </c>
      <c r="C190" s="37">
        <v>1416</v>
      </c>
      <c r="D190" s="35"/>
      <c r="E190" s="40"/>
      <c r="F190" s="36"/>
      <c r="G190" s="37"/>
      <c r="H190" s="40"/>
      <c r="I190" s="62" t="s">
        <v>931</v>
      </c>
      <c r="J190" s="61">
        <v>53722536</v>
      </c>
      <c r="K190" s="41">
        <v>0</v>
      </c>
      <c r="L190" s="54">
        <v>0</v>
      </c>
      <c r="M190" s="54">
        <v>0</v>
      </c>
      <c r="N190" s="42">
        <v>100</v>
      </c>
      <c r="O190" s="43">
        <v>53722536</v>
      </c>
      <c r="P190" s="41"/>
      <c r="Q190" s="43">
        <v>53722536</v>
      </c>
      <c r="R190" s="41">
        <v>0</v>
      </c>
      <c r="S190" s="30">
        <v>0</v>
      </c>
      <c r="T190" s="30">
        <v>0</v>
      </c>
      <c r="U190" s="30" t="e">
        <v>#DIV/0!</v>
      </c>
      <c r="V190" s="41" t="e">
        <v>#DIV/0!</v>
      </c>
      <c r="W190" s="41" t="e">
        <v>#DIV/0!</v>
      </c>
      <c r="X190" s="41">
        <v>0</v>
      </c>
      <c r="Y190" s="41">
        <v>0</v>
      </c>
      <c r="Z190" s="41">
        <v>0</v>
      </c>
      <c r="AA190" s="41">
        <v>0</v>
      </c>
      <c r="AB190" s="41"/>
      <c r="AC190" s="41" t="e">
        <v>#DIV/0!</v>
      </c>
      <c r="AD190" s="41"/>
      <c r="AE190" s="41" t="e">
        <v>#DIV/0!</v>
      </c>
      <c r="AF190" s="41" t="e">
        <v>#DIV/0!</v>
      </c>
      <c r="AG190" s="41" t="e">
        <v>#DIV/0!</v>
      </c>
      <c r="AH190" s="36">
        <v>45444</v>
      </c>
      <c r="AI190" s="36"/>
      <c r="AJ190" s="36"/>
      <c r="AK190" s="36"/>
      <c r="AL190" s="36"/>
      <c r="AM190" s="46"/>
      <c r="AN190" s="40"/>
      <c r="AO190" s="40"/>
      <c r="AP190" s="40"/>
      <c r="AQ190" s="40"/>
      <c r="AR190" s="48"/>
      <c r="AS190" s="37"/>
      <c r="AT190" s="37"/>
      <c r="AU190" s="47"/>
      <c r="AV190" s="37"/>
      <c r="AW190" s="37">
        <v>10</v>
      </c>
      <c r="AX190" s="30">
        <v>5372253.5999999996</v>
      </c>
      <c r="AY190" s="40"/>
    </row>
    <row r="191" spans="1:51" ht="43.5" customHeight="1" x14ac:dyDescent="0.25">
      <c r="A191" s="59" t="s">
        <v>2531</v>
      </c>
      <c r="B191" s="60">
        <v>45352</v>
      </c>
      <c r="C191" s="37">
        <v>1416</v>
      </c>
      <c r="D191" s="35"/>
      <c r="E191" s="40"/>
      <c r="F191" s="36"/>
      <c r="G191" s="37"/>
      <c r="H191" s="40"/>
      <c r="I191" s="62" t="s">
        <v>2532</v>
      </c>
      <c r="J191" s="61">
        <v>1881289.02</v>
      </c>
      <c r="K191" s="41">
        <v>0</v>
      </c>
      <c r="L191" s="54">
        <v>0</v>
      </c>
      <c r="M191" s="54">
        <v>0</v>
      </c>
      <c r="N191" s="42">
        <v>100</v>
      </c>
      <c r="O191" s="43">
        <v>1881289.02</v>
      </c>
      <c r="P191" s="41"/>
      <c r="Q191" s="43">
        <v>1881289.02</v>
      </c>
      <c r="R191" s="41">
        <v>0</v>
      </c>
      <c r="S191" s="30">
        <v>0</v>
      </c>
      <c r="T191" s="30">
        <v>0</v>
      </c>
      <c r="U191" s="30" t="e">
        <v>#DIV/0!</v>
      </c>
      <c r="V191" s="41" t="e">
        <v>#DIV/0!</v>
      </c>
      <c r="W191" s="41" t="e">
        <v>#DIV/0!</v>
      </c>
      <c r="X191" s="41">
        <v>0</v>
      </c>
      <c r="Y191" s="41">
        <v>0</v>
      </c>
      <c r="Z191" s="41">
        <v>0</v>
      </c>
      <c r="AA191" s="41">
        <v>0</v>
      </c>
      <c r="AB191" s="41"/>
      <c r="AC191" s="41" t="e">
        <v>#DIV/0!</v>
      </c>
      <c r="AD191" s="41"/>
      <c r="AE191" s="41" t="e">
        <v>#DIV/0!</v>
      </c>
      <c r="AF191" s="41" t="e">
        <v>#DIV/0!</v>
      </c>
      <c r="AG191" s="41" t="e">
        <v>#DIV/0!</v>
      </c>
      <c r="AH191" s="36">
        <v>45413</v>
      </c>
      <c r="AI191" s="36"/>
      <c r="AJ191" s="36"/>
      <c r="AK191" s="36"/>
      <c r="AL191" s="36"/>
      <c r="AM191" s="46"/>
      <c r="AN191" s="40"/>
      <c r="AO191" s="40"/>
      <c r="AP191" s="40"/>
      <c r="AQ191" s="40"/>
      <c r="AR191" s="48"/>
      <c r="AS191" s="37"/>
      <c r="AT191" s="37"/>
      <c r="AU191" s="47"/>
      <c r="AV191" s="37"/>
      <c r="AW191" s="37">
        <v>10</v>
      </c>
      <c r="AX191" s="30">
        <v>188128.902</v>
      </c>
      <c r="AY191" s="40"/>
    </row>
    <row r="192" spans="1:51" ht="43.5" customHeight="1" x14ac:dyDescent="0.25">
      <c r="A192" s="59" t="s">
        <v>2533</v>
      </c>
      <c r="B192" s="60">
        <v>45352</v>
      </c>
      <c r="C192" s="37">
        <v>1416</v>
      </c>
      <c r="D192" s="35"/>
      <c r="E192" s="40"/>
      <c r="F192" s="36"/>
      <c r="G192" s="37"/>
      <c r="H192" s="40"/>
      <c r="I192" s="62" t="s">
        <v>2534</v>
      </c>
      <c r="J192" s="61">
        <v>131845280</v>
      </c>
      <c r="K192" s="41">
        <v>0</v>
      </c>
      <c r="L192" s="54">
        <v>0</v>
      </c>
      <c r="M192" s="54">
        <v>0</v>
      </c>
      <c r="N192" s="42">
        <v>100</v>
      </c>
      <c r="O192" s="43">
        <v>131845280</v>
      </c>
      <c r="P192" s="41"/>
      <c r="Q192" s="43">
        <v>131845280</v>
      </c>
      <c r="R192" s="41">
        <v>0</v>
      </c>
      <c r="S192" s="30">
        <v>0</v>
      </c>
      <c r="T192" s="30">
        <v>0</v>
      </c>
      <c r="U192" s="30" t="e">
        <v>#DIV/0!</v>
      </c>
      <c r="V192" s="41" t="e">
        <v>#DIV/0!</v>
      </c>
      <c r="W192" s="41" t="e">
        <v>#DIV/0!</v>
      </c>
      <c r="X192" s="41">
        <v>0</v>
      </c>
      <c r="Y192" s="41">
        <v>0</v>
      </c>
      <c r="Z192" s="41">
        <v>0</v>
      </c>
      <c r="AA192" s="41">
        <v>0</v>
      </c>
      <c r="AB192" s="41"/>
      <c r="AC192" s="41" t="e">
        <v>#DIV/0!</v>
      </c>
      <c r="AD192" s="41"/>
      <c r="AE192" s="41" t="e">
        <v>#DIV/0!</v>
      </c>
      <c r="AF192" s="41" t="e">
        <v>#DIV/0!</v>
      </c>
      <c r="AG192" s="41" t="e">
        <v>#DIV/0!</v>
      </c>
      <c r="AH192" s="36">
        <v>45427</v>
      </c>
      <c r="AI192" s="36"/>
      <c r="AJ192" s="36"/>
      <c r="AK192" s="36"/>
      <c r="AL192" s="36"/>
      <c r="AM192" s="46"/>
      <c r="AN192" s="40"/>
      <c r="AO192" s="40"/>
      <c r="AP192" s="40"/>
      <c r="AQ192" s="40"/>
      <c r="AR192" s="48"/>
      <c r="AS192" s="37"/>
      <c r="AT192" s="37"/>
      <c r="AU192" s="47"/>
      <c r="AV192" s="37"/>
      <c r="AW192" s="37">
        <v>10</v>
      </c>
      <c r="AX192" s="30">
        <v>13184528</v>
      </c>
      <c r="AY192" s="40"/>
    </row>
    <row r="193" spans="1:51" ht="43.5" customHeight="1" x14ac:dyDescent="0.25">
      <c r="A193" s="59" t="s">
        <v>2535</v>
      </c>
      <c r="B193" s="60">
        <v>45352</v>
      </c>
      <c r="C193" s="37">
        <v>1416</v>
      </c>
      <c r="D193" s="35"/>
      <c r="E193" s="40"/>
      <c r="F193" s="36"/>
      <c r="G193" s="37"/>
      <c r="H193" s="40"/>
      <c r="I193" s="64" t="s">
        <v>805</v>
      </c>
      <c r="J193" s="61">
        <v>54348255.359999999</v>
      </c>
      <c r="K193" s="41">
        <v>0</v>
      </c>
      <c r="L193" s="54">
        <v>0</v>
      </c>
      <c r="M193" s="54">
        <v>0</v>
      </c>
      <c r="N193" s="42">
        <v>100</v>
      </c>
      <c r="O193" s="43">
        <v>54348255.359999999</v>
      </c>
      <c r="P193" s="41"/>
      <c r="Q193" s="43">
        <v>54348255.359999999</v>
      </c>
      <c r="R193" s="41">
        <v>0</v>
      </c>
      <c r="S193" s="30">
        <v>0</v>
      </c>
      <c r="T193" s="30">
        <v>0</v>
      </c>
      <c r="U193" s="30" t="e">
        <v>#DIV/0!</v>
      </c>
      <c r="V193" s="41" t="e">
        <v>#DIV/0!</v>
      </c>
      <c r="W193" s="41" t="e">
        <v>#DIV/0!</v>
      </c>
      <c r="X193" s="41">
        <v>0</v>
      </c>
      <c r="Y193" s="41">
        <v>0</v>
      </c>
      <c r="Z193" s="41">
        <v>0</v>
      </c>
      <c r="AA193" s="41">
        <v>0</v>
      </c>
      <c r="AB193" s="41"/>
      <c r="AC193" s="41" t="e">
        <v>#DIV/0!</v>
      </c>
      <c r="AD193" s="41"/>
      <c r="AE193" s="41" t="e">
        <v>#DIV/0!</v>
      </c>
      <c r="AF193" s="41" t="e">
        <v>#DIV/0!</v>
      </c>
      <c r="AG193" s="41" t="e">
        <v>#DIV/0!</v>
      </c>
      <c r="AH193" s="36">
        <v>45413</v>
      </c>
      <c r="AI193" s="36"/>
      <c r="AJ193" s="36"/>
      <c r="AK193" s="36"/>
      <c r="AL193" s="36"/>
      <c r="AM193" s="46"/>
      <c r="AN193" s="40"/>
      <c r="AO193" s="40"/>
      <c r="AP193" s="40"/>
      <c r="AQ193" s="40"/>
      <c r="AR193" s="48"/>
      <c r="AS193" s="37"/>
      <c r="AT193" s="37"/>
      <c r="AU193" s="47"/>
      <c r="AV193" s="37"/>
      <c r="AW193" s="37">
        <v>10</v>
      </c>
      <c r="AX193" s="30">
        <v>5434825.5360000003</v>
      </c>
      <c r="AY193" s="40"/>
    </row>
    <row r="194" spans="1:51" ht="43.5" customHeight="1" x14ac:dyDescent="0.25">
      <c r="A194" s="59" t="s">
        <v>2536</v>
      </c>
      <c r="B194" s="60">
        <v>45352</v>
      </c>
      <c r="C194" s="37">
        <v>1416</v>
      </c>
      <c r="D194" s="35"/>
      <c r="E194" s="40"/>
      <c r="F194" s="36"/>
      <c r="G194" s="37"/>
      <c r="H194" s="40"/>
      <c r="I194" s="64" t="s">
        <v>2537</v>
      </c>
      <c r="J194" s="61">
        <v>12981853.08</v>
      </c>
      <c r="K194" s="41">
        <v>0</v>
      </c>
      <c r="L194" s="54">
        <v>0</v>
      </c>
      <c r="M194" s="54">
        <v>0</v>
      </c>
      <c r="N194" s="42">
        <v>100</v>
      </c>
      <c r="O194" s="43">
        <v>12981853.08</v>
      </c>
      <c r="P194" s="41"/>
      <c r="Q194" s="43">
        <v>12981853.08</v>
      </c>
      <c r="R194" s="41">
        <v>0</v>
      </c>
      <c r="S194" s="30">
        <v>0</v>
      </c>
      <c r="T194" s="30">
        <v>0</v>
      </c>
      <c r="U194" s="30" t="e">
        <v>#DIV/0!</v>
      </c>
      <c r="V194" s="41" t="e">
        <v>#DIV/0!</v>
      </c>
      <c r="W194" s="41" t="e">
        <v>#DIV/0!</v>
      </c>
      <c r="X194" s="41">
        <v>0</v>
      </c>
      <c r="Y194" s="41">
        <v>0</v>
      </c>
      <c r="Z194" s="41">
        <v>0</v>
      </c>
      <c r="AA194" s="41">
        <v>0</v>
      </c>
      <c r="AB194" s="41"/>
      <c r="AC194" s="41" t="e">
        <v>#DIV/0!</v>
      </c>
      <c r="AD194" s="41"/>
      <c r="AE194" s="41" t="e">
        <v>#DIV/0!</v>
      </c>
      <c r="AF194" s="41" t="e">
        <v>#DIV/0!</v>
      </c>
      <c r="AG194" s="41" t="e">
        <v>#DIV/0!</v>
      </c>
      <c r="AH194" s="36">
        <v>45413</v>
      </c>
      <c r="AI194" s="36"/>
      <c r="AJ194" s="36"/>
      <c r="AK194" s="36"/>
      <c r="AL194" s="36"/>
      <c r="AM194" s="46"/>
      <c r="AN194" s="40"/>
      <c r="AO194" s="40"/>
      <c r="AP194" s="40"/>
      <c r="AQ194" s="40"/>
      <c r="AR194" s="48"/>
      <c r="AS194" s="37"/>
      <c r="AT194" s="37"/>
      <c r="AU194" s="47"/>
      <c r="AV194" s="37"/>
      <c r="AW194" s="37">
        <v>10</v>
      </c>
      <c r="AX194" s="30">
        <v>1298185.308</v>
      </c>
      <c r="AY194" s="40"/>
    </row>
    <row r="195" spans="1:51" ht="43.5" customHeight="1" x14ac:dyDescent="0.25">
      <c r="A195" s="59" t="s">
        <v>2538</v>
      </c>
      <c r="B195" s="60">
        <v>45352</v>
      </c>
      <c r="C195" s="37">
        <v>1416</v>
      </c>
      <c r="D195" s="35"/>
      <c r="E195" s="40"/>
      <c r="F195" s="36"/>
      <c r="G195" s="37"/>
      <c r="H195" s="40"/>
      <c r="I195" s="64" t="s">
        <v>2539</v>
      </c>
      <c r="J195" s="61">
        <v>58070806.5</v>
      </c>
      <c r="K195" s="41">
        <v>0</v>
      </c>
      <c r="L195" s="54">
        <v>0</v>
      </c>
      <c r="M195" s="54">
        <v>0</v>
      </c>
      <c r="N195" s="42">
        <v>100</v>
      </c>
      <c r="O195" s="43">
        <v>58070806.5</v>
      </c>
      <c r="P195" s="41"/>
      <c r="Q195" s="43">
        <v>58070806.5</v>
      </c>
      <c r="R195" s="41">
        <v>0</v>
      </c>
      <c r="S195" s="30">
        <v>0</v>
      </c>
      <c r="T195" s="30">
        <v>0</v>
      </c>
      <c r="U195" s="30" t="e">
        <v>#DIV/0!</v>
      </c>
      <c r="V195" s="41" t="e">
        <v>#DIV/0!</v>
      </c>
      <c r="W195" s="41" t="e">
        <v>#DIV/0!</v>
      </c>
      <c r="X195" s="41">
        <v>0</v>
      </c>
      <c r="Y195" s="41">
        <v>0</v>
      </c>
      <c r="Z195" s="41">
        <v>0</v>
      </c>
      <c r="AA195" s="41">
        <v>0</v>
      </c>
      <c r="AB195" s="41"/>
      <c r="AC195" s="41" t="e">
        <v>#DIV/0!</v>
      </c>
      <c r="AD195" s="41"/>
      <c r="AE195" s="41" t="e">
        <v>#DIV/0!</v>
      </c>
      <c r="AF195" s="41" t="e">
        <v>#DIV/0!</v>
      </c>
      <c r="AG195" s="41" t="e">
        <v>#DIV/0!</v>
      </c>
      <c r="AH195" s="36">
        <v>45413</v>
      </c>
      <c r="AI195" s="36"/>
      <c r="AJ195" s="36"/>
      <c r="AK195" s="36"/>
      <c r="AL195" s="36"/>
      <c r="AM195" s="46"/>
      <c r="AN195" s="40"/>
      <c r="AO195" s="40"/>
      <c r="AP195" s="40"/>
      <c r="AQ195" s="40"/>
      <c r="AR195" s="48"/>
      <c r="AS195" s="37"/>
      <c r="AT195" s="37"/>
      <c r="AU195" s="47"/>
      <c r="AV195" s="37"/>
      <c r="AW195" s="37">
        <v>10</v>
      </c>
      <c r="AX195" s="30">
        <v>5807080.6500000004</v>
      </c>
      <c r="AY195" s="40"/>
    </row>
    <row r="196" spans="1:51" ht="43.5" customHeight="1" x14ac:dyDescent="0.25">
      <c r="A196" s="59" t="s">
        <v>2540</v>
      </c>
      <c r="B196" s="60">
        <v>45352</v>
      </c>
      <c r="C196" s="37">
        <v>1416</v>
      </c>
      <c r="D196" s="35"/>
      <c r="E196" s="40"/>
      <c r="F196" s="36"/>
      <c r="G196" s="37"/>
      <c r="H196" s="40"/>
      <c r="I196" s="62" t="s">
        <v>1398</v>
      </c>
      <c r="J196" s="61">
        <v>2745667</v>
      </c>
      <c r="K196" s="41">
        <v>0</v>
      </c>
      <c r="L196" s="54">
        <v>0</v>
      </c>
      <c r="M196" s="54">
        <v>0</v>
      </c>
      <c r="N196" s="42">
        <v>100</v>
      </c>
      <c r="O196" s="43">
        <v>2745667</v>
      </c>
      <c r="P196" s="41"/>
      <c r="Q196" s="43">
        <v>2745667</v>
      </c>
      <c r="R196" s="41">
        <v>0</v>
      </c>
      <c r="S196" s="30">
        <v>0</v>
      </c>
      <c r="T196" s="30">
        <v>0</v>
      </c>
      <c r="U196" s="30" t="e">
        <v>#DIV/0!</v>
      </c>
      <c r="V196" s="41" t="e">
        <v>#DIV/0!</v>
      </c>
      <c r="W196" s="41" t="e">
        <v>#DIV/0!</v>
      </c>
      <c r="X196" s="41">
        <v>0</v>
      </c>
      <c r="Y196" s="41">
        <v>0</v>
      </c>
      <c r="Z196" s="41">
        <v>0</v>
      </c>
      <c r="AA196" s="41">
        <v>0</v>
      </c>
      <c r="AB196" s="41"/>
      <c r="AC196" s="41" t="e">
        <v>#DIV/0!</v>
      </c>
      <c r="AD196" s="41"/>
      <c r="AE196" s="41" t="e">
        <v>#DIV/0!</v>
      </c>
      <c r="AF196" s="41" t="e">
        <v>#DIV/0!</v>
      </c>
      <c r="AG196" s="41" t="e">
        <v>#DIV/0!</v>
      </c>
      <c r="AH196" s="36">
        <v>45413</v>
      </c>
      <c r="AI196" s="36"/>
      <c r="AJ196" s="36"/>
      <c r="AK196" s="36"/>
      <c r="AL196" s="36"/>
      <c r="AM196" s="46"/>
      <c r="AN196" s="40"/>
      <c r="AO196" s="40"/>
      <c r="AP196" s="40"/>
      <c r="AQ196" s="40"/>
      <c r="AR196" s="48"/>
      <c r="AS196" s="37"/>
      <c r="AT196" s="37"/>
      <c r="AU196" s="47"/>
      <c r="AV196" s="37"/>
      <c r="AW196" s="37">
        <v>10</v>
      </c>
      <c r="AX196" s="30">
        <v>274566.7</v>
      </c>
      <c r="AY196" s="40"/>
    </row>
    <row r="197" spans="1:51" ht="43.5" customHeight="1" x14ac:dyDescent="0.25">
      <c r="A197" s="59" t="s">
        <v>2541</v>
      </c>
      <c r="B197" s="60">
        <v>45352</v>
      </c>
      <c r="C197" s="37">
        <v>1416</v>
      </c>
      <c r="D197" s="35"/>
      <c r="E197" s="40"/>
      <c r="F197" s="36"/>
      <c r="G197" s="37"/>
      <c r="H197" s="40"/>
      <c r="I197" s="62" t="s">
        <v>2542</v>
      </c>
      <c r="J197" s="61">
        <v>707203973.08000004</v>
      </c>
      <c r="K197" s="41">
        <v>0</v>
      </c>
      <c r="L197" s="54">
        <v>0</v>
      </c>
      <c r="M197" s="54">
        <v>0</v>
      </c>
      <c r="N197" s="42">
        <v>100</v>
      </c>
      <c r="O197" s="43">
        <v>707203973.08000004</v>
      </c>
      <c r="P197" s="41"/>
      <c r="Q197" s="43">
        <v>707203973.08000004</v>
      </c>
      <c r="R197" s="41">
        <v>0</v>
      </c>
      <c r="S197" s="30">
        <v>0</v>
      </c>
      <c r="T197" s="30">
        <v>0</v>
      </c>
      <c r="U197" s="30" t="e">
        <v>#DIV/0!</v>
      </c>
      <c r="V197" s="41" t="e">
        <v>#DIV/0!</v>
      </c>
      <c r="W197" s="41" t="e">
        <v>#DIV/0!</v>
      </c>
      <c r="X197" s="41">
        <v>0</v>
      </c>
      <c r="Y197" s="41">
        <v>0</v>
      </c>
      <c r="Z197" s="41">
        <v>0</v>
      </c>
      <c r="AA197" s="41">
        <v>0</v>
      </c>
      <c r="AB197" s="41"/>
      <c r="AC197" s="41" t="e">
        <v>#DIV/0!</v>
      </c>
      <c r="AD197" s="41"/>
      <c r="AE197" s="41" t="e">
        <v>#DIV/0!</v>
      </c>
      <c r="AF197" s="41" t="e">
        <v>#DIV/0!</v>
      </c>
      <c r="AG197" s="41" t="e">
        <v>#DIV/0!</v>
      </c>
      <c r="AH197" s="36">
        <v>45536</v>
      </c>
      <c r="AI197" s="36"/>
      <c r="AJ197" s="36"/>
      <c r="AK197" s="36"/>
      <c r="AL197" s="36"/>
      <c r="AM197" s="46"/>
      <c r="AN197" s="40"/>
      <c r="AO197" s="40"/>
      <c r="AP197" s="40"/>
      <c r="AQ197" s="40"/>
      <c r="AR197" s="48"/>
      <c r="AS197" s="37"/>
      <c r="AT197" s="37"/>
      <c r="AU197" s="47"/>
      <c r="AV197" s="37"/>
      <c r="AW197" s="37">
        <v>10</v>
      </c>
      <c r="AX197" s="30">
        <v>70720397.307999998</v>
      </c>
      <c r="AY197" s="40"/>
    </row>
    <row r="198" spans="1:51" ht="43.5" customHeight="1" x14ac:dyDescent="0.25">
      <c r="A198" s="59" t="s">
        <v>2543</v>
      </c>
      <c r="B198" s="60">
        <v>45352</v>
      </c>
      <c r="C198" s="37">
        <v>1416</v>
      </c>
      <c r="D198" s="35"/>
      <c r="E198" s="40"/>
      <c r="F198" s="36"/>
      <c r="G198" s="37"/>
      <c r="H198" s="40"/>
      <c r="I198" s="64" t="s">
        <v>2544</v>
      </c>
      <c r="J198" s="61">
        <v>745766028</v>
      </c>
      <c r="K198" s="41">
        <v>0</v>
      </c>
      <c r="L198" s="54">
        <v>0</v>
      </c>
      <c r="M198" s="54">
        <v>0</v>
      </c>
      <c r="N198" s="42">
        <v>100</v>
      </c>
      <c r="O198" s="43">
        <v>745766028</v>
      </c>
      <c r="P198" s="41"/>
      <c r="Q198" s="43">
        <v>745766028</v>
      </c>
      <c r="R198" s="41">
        <v>0</v>
      </c>
      <c r="S198" s="30">
        <v>0</v>
      </c>
      <c r="T198" s="30">
        <v>0</v>
      </c>
      <c r="U198" s="30" t="e">
        <v>#DIV/0!</v>
      </c>
      <c r="V198" s="41" t="e">
        <v>#DIV/0!</v>
      </c>
      <c r="W198" s="41" t="e">
        <v>#DIV/0!</v>
      </c>
      <c r="X198" s="41">
        <v>0</v>
      </c>
      <c r="Y198" s="41">
        <v>0</v>
      </c>
      <c r="Z198" s="41">
        <v>0</v>
      </c>
      <c r="AA198" s="41">
        <v>0</v>
      </c>
      <c r="AB198" s="41"/>
      <c r="AC198" s="41" t="e">
        <v>#DIV/0!</v>
      </c>
      <c r="AD198" s="41"/>
      <c r="AE198" s="41" t="e">
        <v>#DIV/0!</v>
      </c>
      <c r="AF198" s="41" t="e">
        <v>#DIV/0!</v>
      </c>
      <c r="AG198" s="41" t="e">
        <v>#DIV/0!</v>
      </c>
      <c r="AH198" s="36">
        <v>45413</v>
      </c>
      <c r="AI198" s="36"/>
      <c r="AJ198" s="36"/>
      <c r="AK198" s="36"/>
      <c r="AL198" s="36"/>
      <c r="AM198" s="46"/>
      <c r="AN198" s="40"/>
      <c r="AO198" s="40"/>
      <c r="AP198" s="40"/>
      <c r="AQ198" s="40"/>
      <c r="AR198" s="48"/>
      <c r="AS198" s="37"/>
      <c r="AT198" s="37"/>
      <c r="AU198" s="47"/>
      <c r="AV198" s="37"/>
      <c r="AW198" s="37">
        <v>10</v>
      </c>
      <c r="AX198" s="30">
        <v>74576602.799999997</v>
      </c>
      <c r="AY198" s="40"/>
    </row>
    <row r="199" spans="1:51" ht="43.5" customHeight="1" x14ac:dyDescent="0.25">
      <c r="A199" s="59" t="s">
        <v>2550</v>
      </c>
      <c r="B199" s="60">
        <v>45355</v>
      </c>
      <c r="C199" s="37" t="s">
        <v>2189</v>
      </c>
      <c r="D199" s="35"/>
      <c r="E199" s="40"/>
      <c r="F199" s="36"/>
      <c r="G199" s="37"/>
      <c r="H199" s="40"/>
      <c r="I199" s="62" t="s">
        <v>1305</v>
      </c>
      <c r="J199" s="61">
        <v>4436099.76</v>
      </c>
      <c r="K199" s="41">
        <v>0</v>
      </c>
      <c r="L199" s="54">
        <v>0</v>
      </c>
      <c r="M199" s="54">
        <v>0</v>
      </c>
      <c r="N199" s="42">
        <v>100</v>
      </c>
      <c r="O199" s="43">
        <v>4436099.76</v>
      </c>
      <c r="P199" s="41"/>
      <c r="Q199" s="43">
        <v>4436099.76</v>
      </c>
      <c r="R199" s="41">
        <v>0</v>
      </c>
      <c r="S199" s="30">
        <v>0</v>
      </c>
      <c r="T199" s="30">
        <v>0</v>
      </c>
      <c r="U199" s="30" t="e">
        <v>#DIV/0!</v>
      </c>
      <c r="V199" s="41" t="e">
        <v>#DIV/0!</v>
      </c>
      <c r="W199" s="41" t="e">
        <v>#DIV/0!</v>
      </c>
      <c r="X199" s="41">
        <v>0</v>
      </c>
      <c r="Y199" s="41">
        <v>0</v>
      </c>
      <c r="Z199" s="41">
        <v>0</v>
      </c>
      <c r="AA199" s="41">
        <v>0</v>
      </c>
      <c r="AB199" s="41"/>
      <c r="AC199" s="41" t="e">
        <v>#DIV/0!</v>
      </c>
      <c r="AD199" s="41"/>
      <c r="AE199" s="41" t="e">
        <v>#DIV/0!</v>
      </c>
      <c r="AF199" s="41" t="e">
        <v>#DIV/0!</v>
      </c>
      <c r="AG199" s="41" t="e">
        <v>#DIV/0!</v>
      </c>
      <c r="AH199" s="36">
        <v>45413</v>
      </c>
      <c r="AI199" s="36"/>
      <c r="AJ199" s="36"/>
      <c r="AK199" s="36"/>
      <c r="AL199" s="36"/>
      <c r="AM199" s="46"/>
      <c r="AN199" s="40"/>
      <c r="AO199" s="40"/>
      <c r="AP199" s="40"/>
      <c r="AQ199" s="40"/>
      <c r="AR199" s="48"/>
      <c r="AS199" s="37"/>
      <c r="AT199" s="37"/>
      <c r="AU199" s="47"/>
      <c r="AV199" s="37"/>
      <c r="AW199" s="37">
        <v>10</v>
      </c>
      <c r="AX199" s="30">
        <v>443609.97599999997</v>
      </c>
      <c r="AY199" s="40"/>
    </row>
    <row r="200" spans="1:51" ht="43.5" customHeight="1" x14ac:dyDescent="0.25">
      <c r="A200" s="59" t="s">
        <v>2551</v>
      </c>
      <c r="B200" s="60">
        <v>45355</v>
      </c>
      <c r="C200" s="37" t="s">
        <v>2189</v>
      </c>
      <c r="D200" s="35"/>
      <c r="E200" s="40"/>
      <c r="F200" s="36"/>
      <c r="G200" s="37"/>
      <c r="H200" s="40"/>
      <c r="I200" s="62" t="s">
        <v>1154</v>
      </c>
      <c r="J200" s="61">
        <v>1237850</v>
      </c>
      <c r="K200" s="41">
        <v>0</v>
      </c>
      <c r="L200" s="54">
        <v>0</v>
      </c>
      <c r="M200" s="54">
        <v>0</v>
      </c>
      <c r="N200" s="42">
        <v>100</v>
      </c>
      <c r="O200" s="43">
        <v>1237850</v>
      </c>
      <c r="P200" s="41"/>
      <c r="Q200" s="43">
        <v>1237850</v>
      </c>
      <c r="R200" s="41">
        <v>0</v>
      </c>
      <c r="S200" s="30">
        <v>0</v>
      </c>
      <c r="T200" s="30">
        <v>0</v>
      </c>
      <c r="U200" s="30" t="e">
        <v>#DIV/0!</v>
      </c>
      <c r="V200" s="41" t="e">
        <v>#DIV/0!</v>
      </c>
      <c r="W200" s="41" t="e">
        <v>#DIV/0!</v>
      </c>
      <c r="X200" s="41">
        <v>0</v>
      </c>
      <c r="Y200" s="41">
        <v>0</v>
      </c>
      <c r="Z200" s="41">
        <v>0</v>
      </c>
      <c r="AA200" s="41">
        <v>0</v>
      </c>
      <c r="AB200" s="41"/>
      <c r="AC200" s="41" t="e">
        <v>#DIV/0!</v>
      </c>
      <c r="AD200" s="41"/>
      <c r="AE200" s="41" t="e">
        <v>#DIV/0!</v>
      </c>
      <c r="AF200" s="41" t="e">
        <v>#DIV/0!</v>
      </c>
      <c r="AG200" s="41" t="e">
        <v>#DIV/0!</v>
      </c>
      <c r="AH200" s="36">
        <v>45413</v>
      </c>
      <c r="AI200" s="36"/>
      <c r="AJ200" s="36"/>
      <c r="AK200" s="36"/>
      <c r="AL200" s="36"/>
      <c r="AM200" s="46"/>
      <c r="AN200" s="40"/>
      <c r="AO200" s="40"/>
      <c r="AP200" s="40"/>
      <c r="AQ200" s="40"/>
      <c r="AR200" s="48"/>
      <c r="AS200" s="37"/>
      <c r="AT200" s="37"/>
      <c r="AU200" s="47"/>
      <c r="AV200" s="37"/>
      <c r="AW200" s="37">
        <v>10</v>
      </c>
      <c r="AX200" s="30">
        <v>123785</v>
      </c>
      <c r="AY200" s="40"/>
    </row>
    <row r="201" spans="1:51" ht="43.5" customHeight="1" x14ac:dyDescent="0.25">
      <c r="A201" s="59" t="s">
        <v>2552</v>
      </c>
      <c r="B201" s="60">
        <v>45355</v>
      </c>
      <c r="C201" s="37" t="s">
        <v>2189</v>
      </c>
      <c r="D201" s="35"/>
      <c r="E201" s="40"/>
      <c r="F201" s="36"/>
      <c r="G201" s="37"/>
      <c r="H201" s="40"/>
      <c r="I201" s="62" t="s">
        <v>2553</v>
      </c>
      <c r="J201" s="61">
        <v>31007.4</v>
      </c>
      <c r="K201" s="41">
        <v>0</v>
      </c>
      <c r="L201" s="54">
        <v>0</v>
      </c>
      <c r="M201" s="54">
        <v>0</v>
      </c>
      <c r="N201" s="42">
        <v>100</v>
      </c>
      <c r="O201" s="43">
        <v>31007.4</v>
      </c>
      <c r="P201" s="41"/>
      <c r="Q201" s="43">
        <v>31007.4</v>
      </c>
      <c r="R201" s="41">
        <v>0</v>
      </c>
      <c r="S201" s="30">
        <v>0</v>
      </c>
      <c r="T201" s="30">
        <v>0</v>
      </c>
      <c r="U201" s="30" t="e">
        <v>#DIV/0!</v>
      </c>
      <c r="V201" s="41" t="e">
        <v>#DIV/0!</v>
      </c>
      <c r="W201" s="41" t="e">
        <v>#DIV/0!</v>
      </c>
      <c r="X201" s="41">
        <v>0</v>
      </c>
      <c r="Y201" s="41">
        <v>0</v>
      </c>
      <c r="Z201" s="41">
        <v>0</v>
      </c>
      <c r="AA201" s="41">
        <v>0</v>
      </c>
      <c r="AB201" s="41"/>
      <c r="AC201" s="41" t="e">
        <v>#DIV/0!</v>
      </c>
      <c r="AD201" s="41"/>
      <c r="AE201" s="41" t="e">
        <v>#DIV/0!</v>
      </c>
      <c r="AF201" s="41" t="e">
        <v>#DIV/0!</v>
      </c>
      <c r="AG201" s="41" t="e">
        <v>#DIV/0!</v>
      </c>
      <c r="AH201" s="36">
        <v>45413</v>
      </c>
      <c r="AI201" s="36"/>
      <c r="AJ201" s="36"/>
      <c r="AK201" s="36"/>
      <c r="AL201" s="36"/>
      <c r="AM201" s="46"/>
      <c r="AN201" s="40"/>
      <c r="AO201" s="40"/>
      <c r="AP201" s="40"/>
      <c r="AQ201" s="40"/>
      <c r="AR201" s="48"/>
      <c r="AS201" s="37"/>
      <c r="AT201" s="37"/>
      <c r="AU201" s="47"/>
      <c r="AV201" s="37"/>
      <c r="AW201" s="37">
        <v>10</v>
      </c>
      <c r="AX201" s="30">
        <v>3100.74</v>
      </c>
      <c r="AY201" s="40"/>
    </row>
    <row r="202" spans="1:51" ht="43.5" customHeight="1" x14ac:dyDescent="0.25">
      <c r="A202" s="59" t="s">
        <v>2557</v>
      </c>
      <c r="B202" s="60">
        <v>45355</v>
      </c>
      <c r="C202" s="37">
        <v>1416</v>
      </c>
      <c r="D202" s="35"/>
      <c r="E202" s="40"/>
      <c r="F202" s="36"/>
      <c r="G202" s="37"/>
      <c r="H202" s="40"/>
      <c r="I202" s="62" t="s">
        <v>2553</v>
      </c>
      <c r="J202" s="61">
        <v>111288659.34</v>
      </c>
      <c r="K202" s="41">
        <v>0</v>
      </c>
      <c r="L202" s="54">
        <v>0</v>
      </c>
      <c r="M202" s="54">
        <v>0</v>
      </c>
      <c r="N202" s="42">
        <v>100</v>
      </c>
      <c r="O202" s="43">
        <v>111288659.34</v>
      </c>
      <c r="P202" s="41"/>
      <c r="Q202" s="43">
        <v>111288659.34</v>
      </c>
      <c r="R202" s="41">
        <v>0</v>
      </c>
      <c r="S202" s="30">
        <v>0</v>
      </c>
      <c r="T202" s="30">
        <v>0</v>
      </c>
      <c r="U202" s="30" t="e">
        <v>#DIV/0!</v>
      </c>
      <c r="V202" s="41" t="e">
        <v>#DIV/0!</v>
      </c>
      <c r="W202" s="41" t="e">
        <v>#DIV/0!</v>
      </c>
      <c r="X202" s="41">
        <v>0</v>
      </c>
      <c r="Y202" s="41">
        <v>0</v>
      </c>
      <c r="Z202" s="41">
        <v>0</v>
      </c>
      <c r="AA202" s="41">
        <v>0</v>
      </c>
      <c r="AB202" s="41"/>
      <c r="AC202" s="41" t="e">
        <v>#DIV/0!</v>
      </c>
      <c r="AD202" s="41"/>
      <c r="AE202" s="41" t="e">
        <v>#DIV/0!</v>
      </c>
      <c r="AF202" s="41" t="e">
        <v>#DIV/0!</v>
      </c>
      <c r="AG202" s="41" t="e">
        <v>#DIV/0!</v>
      </c>
      <c r="AH202" s="36">
        <v>45413</v>
      </c>
      <c r="AI202" s="36"/>
      <c r="AJ202" s="36"/>
      <c r="AK202" s="36"/>
      <c r="AL202" s="36"/>
      <c r="AM202" s="46"/>
      <c r="AN202" s="40"/>
      <c r="AO202" s="40"/>
      <c r="AP202" s="40"/>
      <c r="AQ202" s="40"/>
      <c r="AR202" s="48"/>
      <c r="AS202" s="37"/>
      <c r="AT202" s="37"/>
      <c r="AU202" s="47"/>
      <c r="AV202" s="37"/>
      <c r="AW202" s="37">
        <v>10</v>
      </c>
      <c r="AX202" s="30">
        <v>11128865.934</v>
      </c>
      <c r="AY202" s="40"/>
    </row>
    <row r="203" spans="1:51" ht="43.5" customHeight="1" x14ac:dyDescent="0.25">
      <c r="A203" s="59" t="s">
        <v>2562</v>
      </c>
      <c r="B203" s="60">
        <v>45355</v>
      </c>
      <c r="C203" s="37">
        <v>1416</v>
      </c>
      <c r="D203" s="35"/>
      <c r="E203" s="40"/>
      <c r="F203" s="36"/>
      <c r="G203" s="37"/>
      <c r="H203" s="40"/>
      <c r="I203" s="62" t="s">
        <v>2563</v>
      </c>
      <c r="J203" s="61">
        <v>319463760</v>
      </c>
      <c r="K203" s="41">
        <v>0</v>
      </c>
      <c r="L203" s="54">
        <v>0</v>
      </c>
      <c r="M203" s="54">
        <v>0</v>
      </c>
      <c r="N203" s="42">
        <v>100</v>
      </c>
      <c r="O203" s="43">
        <v>319463760</v>
      </c>
      <c r="P203" s="41"/>
      <c r="Q203" s="43">
        <v>319463760</v>
      </c>
      <c r="R203" s="41">
        <v>0</v>
      </c>
      <c r="S203" s="30">
        <v>0</v>
      </c>
      <c r="T203" s="30">
        <v>0</v>
      </c>
      <c r="U203" s="30" t="e">
        <v>#DIV/0!</v>
      </c>
      <c r="V203" s="41" t="e">
        <v>#DIV/0!</v>
      </c>
      <c r="W203" s="41" t="e">
        <v>#DIV/0!</v>
      </c>
      <c r="X203" s="41">
        <v>0</v>
      </c>
      <c r="Y203" s="41">
        <v>0</v>
      </c>
      <c r="Z203" s="41">
        <v>0</v>
      </c>
      <c r="AA203" s="41">
        <v>0</v>
      </c>
      <c r="AB203" s="41"/>
      <c r="AC203" s="41" t="e">
        <v>#DIV/0!</v>
      </c>
      <c r="AD203" s="41"/>
      <c r="AE203" s="41" t="e">
        <v>#DIV/0!</v>
      </c>
      <c r="AF203" s="41" t="e">
        <v>#DIV/0!</v>
      </c>
      <c r="AG203" s="41" t="e">
        <v>#DIV/0!</v>
      </c>
      <c r="AH203" s="36">
        <v>45444</v>
      </c>
      <c r="AI203" s="36"/>
      <c r="AJ203" s="36"/>
      <c r="AK203" s="36"/>
      <c r="AL203" s="36"/>
      <c r="AM203" s="46"/>
      <c r="AN203" s="40"/>
      <c r="AO203" s="40"/>
      <c r="AP203" s="40"/>
      <c r="AQ203" s="40"/>
      <c r="AR203" s="48"/>
      <c r="AS203" s="37"/>
      <c r="AT203" s="37"/>
      <c r="AU203" s="47"/>
      <c r="AV203" s="37"/>
      <c r="AW203" s="37">
        <v>10</v>
      </c>
      <c r="AX203" s="30">
        <v>31946376</v>
      </c>
      <c r="AY203" s="40"/>
    </row>
    <row r="204" spans="1:51" ht="43.5" customHeight="1" x14ac:dyDescent="0.25">
      <c r="A204" s="59" t="s">
        <v>2566</v>
      </c>
      <c r="B204" s="60">
        <v>45355</v>
      </c>
      <c r="C204" s="37">
        <v>1416</v>
      </c>
      <c r="D204" s="35"/>
      <c r="E204" s="40"/>
      <c r="F204" s="36"/>
      <c r="G204" s="37"/>
      <c r="H204" s="40"/>
      <c r="I204" s="62" t="s">
        <v>1305</v>
      </c>
      <c r="J204" s="61">
        <v>560057594.70000005</v>
      </c>
      <c r="K204" s="41">
        <v>0</v>
      </c>
      <c r="L204" s="54">
        <v>0</v>
      </c>
      <c r="M204" s="54">
        <v>0</v>
      </c>
      <c r="N204" s="42">
        <v>100</v>
      </c>
      <c r="O204" s="43">
        <v>560057594.70000005</v>
      </c>
      <c r="P204" s="41"/>
      <c r="Q204" s="43">
        <v>560057594.70000005</v>
      </c>
      <c r="R204" s="41">
        <v>0</v>
      </c>
      <c r="S204" s="30">
        <v>0</v>
      </c>
      <c r="T204" s="30">
        <v>0</v>
      </c>
      <c r="U204" s="30" t="e">
        <v>#DIV/0!</v>
      </c>
      <c r="V204" s="41" t="e">
        <v>#DIV/0!</v>
      </c>
      <c r="W204" s="41" t="e">
        <v>#DIV/0!</v>
      </c>
      <c r="X204" s="41">
        <v>0</v>
      </c>
      <c r="Y204" s="41">
        <v>0</v>
      </c>
      <c r="Z204" s="41">
        <v>0</v>
      </c>
      <c r="AA204" s="41">
        <v>0</v>
      </c>
      <c r="AB204" s="41"/>
      <c r="AC204" s="41" t="e">
        <v>#DIV/0!</v>
      </c>
      <c r="AD204" s="41"/>
      <c r="AE204" s="41" t="e">
        <v>#DIV/0!</v>
      </c>
      <c r="AF204" s="41" t="e">
        <v>#DIV/0!</v>
      </c>
      <c r="AG204" s="41" t="e">
        <v>#DIV/0!</v>
      </c>
      <c r="AH204" s="36">
        <v>45413</v>
      </c>
      <c r="AI204" s="36"/>
      <c r="AJ204" s="36"/>
      <c r="AK204" s="36"/>
      <c r="AL204" s="36"/>
      <c r="AM204" s="46"/>
      <c r="AN204" s="40"/>
      <c r="AO204" s="40"/>
      <c r="AP204" s="40"/>
      <c r="AQ204" s="40"/>
      <c r="AR204" s="48"/>
      <c r="AS204" s="37"/>
      <c r="AT204" s="37"/>
      <c r="AU204" s="47"/>
      <c r="AV204" s="37"/>
      <c r="AW204" s="37">
        <v>10</v>
      </c>
      <c r="AX204" s="30">
        <v>56005759.469999999</v>
      </c>
      <c r="AY204" s="40"/>
    </row>
    <row r="205" spans="1:51" ht="43.5" customHeight="1" x14ac:dyDescent="0.25">
      <c r="A205" s="59" t="s">
        <v>2567</v>
      </c>
      <c r="B205" s="60">
        <v>45355</v>
      </c>
      <c r="C205" s="37">
        <v>1416</v>
      </c>
      <c r="D205" s="35"/>
      <c r="E205" s="40"/>
      <c r="F205" s="36"/>
      <c r="G205" s="37"/>
      <c r="H205" s="40"/>
      <c r="I205" s="64" t="s">
        <v>845</v>
      </c>
      <c r="J205" s="61">
        <v>3015008.64</v>
      </c>
      <c r="K205" s="41">
        <v>0</v>
      </c>
      <c r="L205" s="54">
        <v>0</v>
      </c>
      <c r="M205" s="54">
        <v>0</v>
      </c>
      <c r="N205" s="42">
        <v>100</v>
      </c>
      <c r="O205" s="43">
        <v>3015008.64</v>
      </c>
      <c r="P205" s="41"/>
      <c r="Q205" s="43">
        <v>3015008.64</v>
      </c>
      <c r="R205" s="41">
        <v>0</v>
      </c>
      <c r="S205" s="30">
        <v>0</v>
      </c>
      <c r="T205" s="30">
        <v>0</v>
      </c>
      <c r="U205" s="30" t="e">
        <v>#DIV/0!</v>
      </c>
      <c r="V205" s="41" t="e">
        <v>#DIV/0!</v>
      </c>
      <c r="W205" s="41" t="e">
        <v>#DIV/0!</v>
      </c>
      <c r="X205" s="41">
        <v>0</v>
      </c>
      <c r="Y205" s="41">
        <v>0</v>
      </c>
      <c r="Z205" s="41">
        <v>0</v>
      </c>
      <c r="AA205" s="41">
        <v>0</v>
      </c>
      <c r="AB205" s="41"/>
      <c r="AC205" s="41" t="e">
        <v>#DIV/0!</v>
      </c>
      <c r="AD205" s="41"/>
      <c r="AE205" s="41" t="e">
        <v>#DIV/0!</v>
      </c>
      <c r="AF205" s="41" t="e">
        <v>#DIV/0!</v>
      </c>
      <c r="AG205" s="41" t="e">
        <v>#DIV/0!</v>
      </c>
      <c r="AH205" s="36">
        <v>45413</v>
      </c>
      <c r="AI205" s="36"/>
      <c r="AJ205" s="36"/>
      <c r="AK205" s="36"/>
      <c r="AL205" s="36"/>
      <c r="AM205" s="46"/>
      <c r="AN205" s="40"/>
      <c r="AO205" s="40"/>
      <c r="AP205" s="40"/>
      <c r="AQ205" s="40"/>
      <c r="AR205" s="48"/>
      <c r="AS205" s="37"/>
      <c r="AT205" s="37"/>
      <c r="AU205" s="47"/>
      <c r="AV205" s="37"/>
      <c r="AW205" s="37">
        <v>10</v>
      </c>
      <c r="AX205" s="30">
        <v>301500.864</v>
      </c>
      <c r="AY205" s="40"/>
    </row>
    <row r="206" spans="1:51" ht="43.5" customHeight="1" x14ac:dyDescent="0.25">
      <c r="A206" s="59" t="s">
        <v>2574</v>
      </c>
      <c r="B206" s="60">
        <v>45357</v>
      </c>
      <c r="C206" s="37">
        <v>1416</v>
      </c>
      <c r="D206" s="35"/>
      <c r="E206" s="40"/>
      <c r="F206" s="36"/>
      <c r="G206" s="37"/>
      <c r="H206" s="40"/>
      <c r="I206" s="62" t="s">
        <v>1107</v>
      </c>
      <c r="J206" s="61">
        <v>484654854.60000002</v>
      </c>
      <c r="K206" s="41">
        <v>0</v>
      </c>
      <c r="L206" s="54">
        <v>0</v>
      </c>
      <c r="M206" s="54">
        <v>0</v>
      </c>
      <c r="N206" s="42">
        <v>100</v>
      </c>
      <c r="O206" s="43">
        <v>484654854.60000002</v>
      </c>
      <c r="P206" s="41"/>
      <c r="Q206" s="43">
        <v>484654854.60000002</v>
      </c>
      <c r="R206" s="41">
        <v>0</v>
      </c>
      <c r="S206" s="30">
        <v>0</v>
      </c>
      <c r="T206" s="30">
        <v>0</v>
      </c>
      <c r="U206" s="30" t="e">
        <v>#DIV/0!</v>
      </c>
      <c r="V206" s="41" t="e">
        <v>#DIV/0!</v>
      </c>
      <c r="W206" s="41" t="e">
        <v>#DIV/0!</v>
      </c>
      <c r="X206" s="41">
        <v>0</v>
      </c>
      <c r="Y206" s="41">
        <v>0</v>
      </c>
      <c r="Z206" s="41">
        <v>0</v>
      </c>
      <c r="AA206" s="41">
        <v>0</v>
      </c>
      <c r="AB206" s="41"/>
      <c r="AC206" s="41" t="e">
        <v>#DIV/0!</v>
      </c>
      <c r="AD206" s="41"/>
      <c r="AE206" s="41" t="e">
        <v>#DIV/0!</v>
      </c>
      <c r="AF206" s="41" t="e">
        <v>#DIV/0!</v>
      </c>
      <c r="AG206" s="41" t="e">
        <v>#DIV/0!</v>
      </c>
      <c r="AH206" s="36">
        <v>45505</v>
      </c>
      <c r="AI206" s="36"/>
      <c r="AJ206" s="36"/>
      <c r="AK206" s="36"/>
      <c r="AL206" s="36"/>
      <c r="AM206" s="46"/>
      <c r="AN206" s="40"/>
      <c r="AO206" s="40"/>
      <c r="AP206" s="40"/>
      <c r="AQ206" s="40"/>
      <c r="AR206" s="48"/>
      <c r="AS206" s="37"/>
      <c r="AT206" s="37"/>
      <c r="AU206" s="47"/>
      <c r="AV206" s="37"/>
      <c r="AW206" s="37">
        <v>10</v>
      </c>
      <c r="AX206" s="30">
        <v>48465485.460000001</v>
      </c>
      <c r="AY206" s="40"/>
    </row>
    <row r="207" spans="1:51" ht="43.5" customHeight="1" x14ac:dyDescent="0.25">
      <c r="A207" s="59" t="s">
        <v>2575</v>
      </c>
      <c r="B207" s="60">
        <v>45357</v>
      </c>
      <c r="C207" s="37" t="s">
        <v>2189</v>
      </c>
      <c r="D207" s="35"/>
      <c r="E207" s="40"/>
      <c r="F207" s="36"/>
      <c r="G207" s="37"/>
      <c r="H207" s="40"/>
      <c r="I207" s="62" t="s">
        <v>1956</v>
      </c>
      <c r="J207" s="61">
        <v>35612.5</v>
      </c>
      <c r="K207" s="41">
        <v>0</v>
      </c>
      <c r="L207" s="54">
        <v>0</v>
      </c>
      <c r="M207" s="54">
        <v>0</v>
      </c>
      <c r="N207" s="42">
        <v>100</v>
      </c>
      <c r="O207" s="43">
        <v>35612.5</v>
      </c>
      <c r="P207" s="41"/>
      <c r="Q207" s="43">
        <v>35612.5</v>
      </c>
      <c r="R207" s="41">
        <v>0</v>
      </c>
      <c r="S207" s="30">
        <v>0</v>
      </c>
      <c r="T207" s="30">
        <v>0</v>
      </c>
      <c r="U207" s="30" t="e">
        <v>#DIV/0!</v>
      </c>
      <c r="V207" s="41" t="e">
        <v>#DIV/0!</v>
      </c>
      <c r="W207" s="41" t="e">
        <v>#DIV/0!</v>
      </c>
      <c r="X207" s="41">
        <v>0</v>
      </c>
      <c r="Y207" s="41">
        <v>0</v>
      </c>
      <c r="Z207" s="41">
        <v>0</v>
      </c>
      <c r="AA207" s="41">
        <v>0</v>
      </c>
      <c r="AB207" s="41"/>
      <c r="AC207" s="41" t="e">
        <v>#DIV/0!</v>
      </c>
      <c r="AD207" s="41"/>
      <c r="AE207" s="41" t="e">
        <v>#DIV/0!</v>
      </c>
      <c r="AF207" s="41" t="e">
        <v>#DIV/0!</v>
      </c>
      <c r="AG207" s="41" t="e">
        <v>#DIV/0!</v>
      </c>
      <c r="AH207" s="36">
        <v>45413</v>
      </c>
      <c r="AI207" s="36"/>
      <c r="AJ207" s="36"/>
      <c r="AK207" s="36"/>
      <c r="AL207" s="36"/>
      <c r="AM207" s="46"/>
      <c r="AN207" s="40"/>
      <c r="AO207" s="40"/>
      <c r="AP207" s="40"/>
      <c r="AQ207" s="40"/>
      <c r="AR207" s="48"/>
      <c r="AS207" s="37"/>
      <c r="AT207" s="37"/>
      <c r="AU207" s="47"/>
      <c r="AV207" s="37"/>
      <c r="AW207" s="37">
        <v>10</v>
      </c>
      <c r="AX207" s="30">
        <v>3561.25</v>
      </c>
      <c r="AY207" s="40"/>
    </row>
    <row r="208" spans="1:51" ht="43.5" customHeight="1" x14ac:dyDescent="0.25">
      <c r="A208" s="59" t="s">
        <v>2576</v>
      </c>
      <c r="B208" s="60">
        <v>45357</v>
      </c>
      <c r="C208" s="37" t="s">
        <v>2189</v>
      </c>
      <c r="D208" s="35"/>
      <c r="E208" s="40"/>
      <c r="F208" s="36"/>
      <c r="G208" s="37"/>
      <c r="H208" s="40"/>
      <c r="I208" s="62" t="s">
        <v>2577</v>
      </c>
      <c r="J208" s="61">
        <v>2034306.6</v>
      </c>
      <c r="K208" s="41">
        <v>0</v>
      </c>
      <c r="L208" s="54">
        <v>0</v>
      </c>
      <c r="M208" s="54">
        <v>0</v>
      </c>
      <c r="N208" s="42">
        <v>100</v>
      </c>
      <c r="O208" s="43">
        <v>2034306.6</v>
      </c>
      <c r="P208" s="41"/>
      <c r="Q208" s="43">
        <v>2034306.6</v>
      </c>
      <c r="R208" s="41">
        <v>0</v>
      </c>
      <c r="S208" s="30">
        <v>0</v>
      </c>
      <c r="T208" s="30">
        <v>0</v>
      </c>
      <c r="U208" s="30" t="e">
        <v>#DIV/0!</v>
      </c>
      <c r="V208" s="41" t="e">
        <v>#DIV/0!</v>
      </c>
      <c r="W208" s="41" t="e">
        <v>#DIV/0!</v>
      </c>
      <c r="X208" s="41">
        <v>0</v>
      </c>
      <c r="Y208" s="41">
        <v>0</v>
      </c>
      <c r="Z208" s="41">
        <v>0</v>
      </c>
      <c r="AA208" s="41">
        <v>0</v>
      </c>
      <c r="AB208" s="41"/>
      <c r="AC208" s="41" t="e">
        <v>#DIV/0!</v>
      </c>
      <c r="AD208" s="41"/>
      <c r="AE208" s="41" t="e">
        <v>#DIV/0!</v>
      </c>
      <c r="AF208" s="41" t="e">
        <v>#DIV/0!</v>
      </c>
      <c r="AG208" s="41" t="e">
        <v>#DIV/0!</v>
      </c>
      <c r="AH208" s="36">
        <v>45413</v>
      </c>
      <c r="AI208" s="36"/>
      <c r="AJ208" s="36"/>
      <c r="AK208" s="36"/>
      <c r="AL208" s="36"/>
      <c r="AM208" s="46"/>
      <c r="AN208" s="40"/>
      <c r="AO208" s="40"/>
      <c r="AP208" s="40"/>
      <c r="AQ208" s="40"/>
      <c r="AR208" s="48"/>
      <c r="AS208" s="37"/>
      <c r="AT208" s="37"/>
      <c r="AU208" s="47"/>
      <c r="AV208" s="37"/>
      <c r="AW208" s="37">
        <v>10</v>
      </c>
      <c r="AX208" s="30">
        <v>203430.66</v>
      </c>
      <c r="AY208" s="40"/>
    </row>
    <row r="209" spans="1:51" ht="43.5" customHeight="1" x14ac:dyDescent="0.25">
      <c r="A209" s="59" t="s">
        <v>2578</v>
      </c>
      <c r="B209" s="60">
        <v>45357</v>
      </c>
      <c r="C209" s="37" t="s">
        <v>2189</v>
      </c>
      <c r="D209" s="35"/>
      <c r="E209" s="40"/>
      <c r="F209" s="36"/>
      <c r="G209" s="37"/>
      <c r="H209" s="40"/>
      <c r="I209" s="62" t="s">
        <v>1462</v>
      </c>
      <c r="J209" s="61">
        <v>252945</v>
      </c>
      <c r="K209" s="41">
        <v>0</v>
      </c>
      <c r="L209" s="54">
        <v>0</v>
      </c>
      <c r="M209" s="54">
        <v>0</v>
      </c>
      <c r="N209" s="42">
        <v>100</v>
      </c>
      <c r="O209" s="43">
        <v>252945</v>
      </c>
      <c r="P209" s="41"/>
      <c r="Q209" s="43">
        <v>252945</v>
      </c>
      <c r="R209" s="41">
        <v>0</v>
      </c>
      <c r="S209" s="30">
        <v>0</v>
      </c>
      <c r="T209" s="30">
        <v>0</v>
      </c>
      <c r="U209" s="30" t="e">
        <v>#DIV/0!</v>
      </c>
      <c r="V209" s="41" t="e">
        <v>#DIV/0!</v>
      </c>
      <c r="W209" s="41" t="e">
        <v>#DIV/0!</v>
      </c>
      <c r="X209" s="41">
        <v>0</v>
      </c>
      <c r="Y209" s="41">
        <v>0</v>
      </c>
      <c r="Z209" s="41">
        <v>0</v>
      </c>
      <c r="AA209" s="41">
        <v>0</v>
      </c>
      <c r="AB209" s="41"/>
      <c r="AC209" s="41" t="e">
        <v>#DIV/0!</v>
      </c>
      <c r="AD209" s="41"/>
      <c r="AE209" s="41" t="e">
        <v>#DIV/0!</v>
      </c>
      <c r="AF209" s="41" t="e">
        <v>#DIV/0!</v>
      </c>
      <c r="AG209" s="41" t="e">
        <v>#DIV/0!</v>
      </c>
      <c r="AH209" s="36">
        <v>45413</v>
      </c>
      <c r="AI209" s="36"/>
      <c r="AJ209" s="36"/>
      <c r="AK209" s="36"/>
      <c r="AL209" s="36"/>
      <c r="AM209" s="46"/>
      <c r="AN209" s="40"/>
      <c r="AO209" s="40"/>
      <c r="AP209" s="40"/>
      <c r="AQ209" s="40"/>
      <c r="AR209" s="48"/>
      <c r="AS209" s="37"/>
      <c r="AT209" s="37"/>
      <c r="AU209" s="47"/>
      <c r="AV209" s="37"/>
      <c r="AW209" s="37">
        <v>10</v>
      </c>
      <c r="AX209" s="30">
        <v>25294.5</v>
      </c>
      <c r="AY209" s="40"/>
    </row>
    <row r="210" spans="1:51" ht="43.5" customHeight="1" x14ac:dyDescent="0.25">
      <c r="A210" s="59" t="s">
        <v>2579</v>
      </c>
      <c r="B210" s="60">
        <v>45357</v>
      </c>
      <c r="C210" s="37" t="s">
        <v>2189</v>
      </c>
      <c r="D210" s="35"/>
      <c r="E210" s="40"/>
      <c r="F210" s="36"/>
      <c r="G210" s="37"/>
      <c r="H210" s="40"/>
      <c r="I210" s="62" t="s">
        <v>2580</v>
      </c>
      <c r="J210" s="61">
        <v>1731600</v>
      </c>
      <c r="K210" s="41">
        <v>0</v>
      </c>
      <c r="L210" s="54">
        <v>0</v>
      </c>
      <c r="M210" s="54">
        <v>0</v>
      </c>
      <c r="N210" s="42">
        <v>100</v>
      </c>
      <c r="O210" s="43">
        <v>1731600</v>
      </c>
      <c r="P210" s="41"/>
      <c r="Q210" s="43">
        <v>1731600</v>
      </c>
      <c r="R210" s="41">
        <v>0</v>
      </c>
      <c r="S210" s="30">
        <v>0</v>
      </c>
      <c r="T210" s="30">
        <v>0</v>
      </c>
      <c r="U210" s="30" t="e">
        <v>#DIV/0!</v>
      </c>
      <c r="V210" s="41" t="e">
        <v>#DIV/0!</v>
      </c>
      <c r="W210" s="41" t="e">
        <v>#DIV/0!</v>
      </c>
      <c r="X210" s="41">
        <v>0</v>
      </c>
      <c r="Y210" s="41">
        <v>0</v>
      </c>
      <c r="Z210" s="41">
        <v>0</v>
      </c>
      <c r="AA210" s="41">
        <v>0</v>
      </c>
      <c r="AB210" s="41"/>
      <c r="AC210" s="41" t="e">
        <v>#DIV/0!</v>
      </c>
      <c r="AD210" s="41"/>
      <c r="AE210" s="41" t="e">
        <v>#DIV/0!</v>
      </c>
      <c r="AF210" s="41" t="e">
        <v>#DIV/0!</v>
      </c>
      <c r="AG210" s="41" t="e">
        <v>#DIV/0!</v>
      </c>
      <c r="AH210" s="36">
        <v>45413</v>
      </c>
      <c r="AI210" s="36"/>
      <c r="AJ210" s="36"/>
      <c r="AK210" s="36"/>
      <c r="AL210" s="36"/>
      <c r="AM210" s="46"/>
      <c r="AN210" s="40"/>
      <c r="AO210" s="40"/>
      <c r="AP210" s="40"/>
      <c r="AQ210" s="40"/>
      <c r="AR210" s="48"/>
      <c r="AS210" s="37"/>
      <c r="AT210" s="37"/>
      <c r="AU210" s="47"/>
      <c r="AV210" s="37"/>
      <c r="AW210" s="37">
        <v>10</v>
      </c>
      <c r="AX210" s="30">
        <v>173160</v>
      </c>
      <c r="AY210" s="40"/>
    </row>
    <row r="211" spans="1:51" ht="43.5" customHeight="1" x14ac:dyDescent="0.25">
      <c r="A211" s="59" t="s">
        <v>2581</v>
      </c>
      <c r="B211" s="60">
        <v>45357</v>
      </c>
      <c r="C211" s="37" t="s">
        <v>2189</v>
      </c>
      <c r="D211" s="35"/>
      <c r="E211" s="40"/>
      <c r="F211" s="36"/>
      <c r="G211" s="37"/>
      <c r="H211" s="40"/>
      <c r="I211" s="62" t="s">
        <v>2582</v>
      </c>
      <c r="J211" s="61">
        <v>5162483.6100000003</v>
      </c>
      <c r="K211" s="41">
        <v>0</v>
      </c>
      <c r="L211" s="54">
        <v>0</v>
      </c>
      <c r="M211" s="54">
        <v>0</v>
      </c>
      <c r="N211" s="42">
        <v>100</v>
      </c>
      <c r="O211" s="43">
        <v>5162483.6100000003</v>
      </c>
      <c r="P211" s="41"/>
      <c r="Q211" s="43">
        <v>5162483.6100000003</v>
      </c>
      <c r="R211" s="41">
        <v>0</v>
      </c>
      <c r="S211" s="30">
        <v>0</v>
      </c>
      <c r="T211" s="30">
        <v>0</v>
      </c>
      <c r="U211" s="30" t="e">
        <v>#DIV/0!</v>
      </c>
      <c r="V211" s="41" t="e">
        <v>#DIV/0!</v>
      </c>
      <c r="W211" s="41" t="e">
        <v>#DIV/0!</v>
      </c>
      <c r="X211" s="41">
        <v>0</v>
      </c>
      <c r="Y211" s="41">
        <v>0</v>
      </c>
      <c r="Z211" s="41">
        <v>0</v>
      </c>
      <c r="AA211" s="41">
        <v>0</v>
      </c>
      <c r="AB211" s="41"/>
      <c r="AC211" s="41" t="e">
        <v>#DIV/0!</v>
      </c>
      <c r="AD211" s="41"/>
      <c r="AE211" s="41" t="e">
        <v>#DIV/0!</v>
      </c>
      <c r="AF211" s="41" t="e">
        <v>#DIV/0!</v>
      </c>
      <c r="AG211" s="41" t="e">
        <v>#DIV/0!</v>
      </c>
      <c r="AH211" s="36">
        <v>45413</v>
      </c>
      <c r="AI211" s="36"/>
      <c r="AJ211" s="36"/>
      <c r="AK211" s="36"/>
      <c r="AL211" s="36"/>
      <c r="AM211" s="46"/>
      <c r="AN211" s="40"/>
      <c r="AO211" s="40"/>
      <c r="AP211" s="40"/>
      <c r="AQ211" s="40"/>
      <c r="AR211" s="48"/>
      <c r="AS211" s="37"/>
      <c r="AT211" s="37"/>
      <c r="AU211" s="47"/>
      <c r="AV211" s="37"/>
      <c r="AW211" s="37">
        <v>10</v>
      </c>
      <c r="AX211" s="30">
        <v>516248.36100000003</v>
      </c>
      <c r="AY211" s="40"/>
    </row>
    <row r="212" spans="1:51" ht="43.5" customHeight="1" x14ac:dyDescent="0.25">
      <c r="A212" s="59" t="s">
        <v>2583</v>
      </c>
      <c r="B212" s="60">
        <v>45357</v>
      </c>
      <c r="C212" s="37">
        <v>1416</v>
      </c>
      <c r="D212" s="35"/>
      <c r="E212" s="40"/>
      <c r="F212" s="36"/>
      <c r="G212" s="37"/>
      <c r="H212" s="40"/>
      <c r="I212" s="62" t="s">
        <v>2584</v>
      </c>
      <c r="J212" s="61">
        <v>1180416.6399999999</v>
      </c>
      <c r="K212" s="41">
        <v>0</v>
      </c>
      <c r="L212" s="54">
        <v>0</v>
      </c>
      <c r="M212" s="54">
        <v>0</v>
      </c>
      <c r="N212" s="42">
        <v>100</v>
      </c>
      <c r="O212" s="43">
        <v>1180416.6399999999</v>
      </c>
      <c r="P212" s="41"/>
      <c r="Q212" s="43">
        <v>1180416.6399999999</v>
      </c>
      <c r="R212" s="41">
        <v>0</v>
      </c>
      <c r="S212" s="30">
        <v>0</v>
      </c>
      <c r="T212" s="30">
        <v>0</v>
      </c>
      <c r="U212" s="30" t="e">
        <v>#DIV/0!</v>
      </c>
      <c r="V212" s="41" t="e">
        <v>#DIV/0!</v>
      </c>
      <c r="W212" s="41" t="e">
        <v>#DIV/0!</v>
      </c>
      <c r="X212" s="41">
        <v>0</v>
      </c>
      <c r="Y212" s="41">
        <v>0</v>
      </c>
      <c r="Z212" s="41">
        <v>0</v>
      </c>
      <c r="AA212" s="41">
        <v>0</v>
      </c>
      <c r="AB212" s="41"/>
      <c r="AC212" s="41" t="e">
        <v>#DIV/0!</v>
      </c>
      <c r="AD212" s="41"/>
      <c r="AE212" s="41" t="e">
        <v>#DIV/0!</v>
      </c>
      <c r="AF212" s="41" t="e">
        <v>#DIV/0!</v>
      </c>
      <c r="AG212" s="41" t="e">
        <v>#DIV/0!</v>
      </c>
      <c r="AH212" s="36">
        <v>45413</v>
      </c>
      <c r="AI212" s="36"/>
      <c r="AJ212" s="36"/>
      <c r="AK212" s="36"/>
      <c r="AL212" s="36"/>
      <c r="AM212" s="46"/>
      <c r="AN212" s="40"/>
      <c r="AO212" s="40"/>
      <c r="AP212" s="40"/>
      <c r="AQ212" s="40"/>
      <c r="AR212" s="48"/>
      <c r="AS212" s="37"/>
      <c r="AT212" s="37"/>
      <c r="AU212" s="47"/>
      <c r="AV212" s="37"/>
      <c r="AW212" s="37">
        <v>10</v>
      </c>
      <c r="AX212" s="30">
        <v>118041.66399999999</v>
      </c>
      <c r="AY212" s="40"/>
    </row>
    <row r="213" spans="1:51" ht="43.5" customHeight="1" x14ac:dyDescent="0.25">
      <c r="A213" s="59" t="s">
        <v>2585</v>
      </c>
      <c r="B213" s="60">
        <v>45357</v>
      </c>
      <c r="C213" s="37">
        <v>1416</v>
      </c>
      <c r="D213" s="35"/>
      <c r="E213" s="40"/>
      <c r="F213" s="36"/>
      <c r="G213" s="37"/>
      <c r="H213" s="40"/>
      <c r="I213" s="62" t="s">
        <v>2586</v>
      </c>
      <c r="J213" s="61">
        <v>4763072.16</v>
      </c>
      <c r="K213" s="41">
        <v>0</v>
      </c>
      <c r="L213" s="54">
        <v>0</v>
      </c>
      <c r="M213" s="54">
        <v>0</v>
      </c>
      <c r="N213" s="42">
        <v>100</v>
      </c>
      <c r="O213" s="43">
        <v>4763072.16</v>
      </c>
      <c r="P213" s="41"/>
      <c r="Q213" s="43">
        <v>4763072.16</v>
      </c>
      <c r="R213" s="41">
        <v>0</v>
      </c>
      <c r="S213" s="30">
        <v>0</v>
      </c>
      <c r="T213" s="30">
        <v>0</v>
      </c>
      <c r="U213" s="30" t="e">
        <v>#DIV/0!</v>
      </c>
      <c r="V213" s="41" t="e">
        <v>#DIV/0!</v>
      </c>
      <c r="W213" s="41" t="e">
        <v>#DIV/0!</v>
      </c>
      <c r="X213" s="41">
        <v>0</v>
      </c>
      <c r="Y213" s="41">
        <v>0</v>
      </c>
      <c r="Z213" s="41">
        <v>0</v>
      </c>
      <c r="AA213" s="41">
        <v>0</v>
      </c>
      <c r="AB213" s="41"/>
      <c r="AC213" s="41" t="e">
        <v>#DIV/0!</v>
      </c>
      <c r="AD213" s="41"/>
      <c r="AE213" s="41" t="e">
        <v>#DIV/0!</v>
      </c>
      <c r="AF213" s="41" t="e">
        <v>#DIV/0!</v>
      </c>
      <c r="AG213" s="41" t="e">
        <v>#DIV/0!</v>
      </c>
      <c r="AH213" s="36">
        <v>45413</v>
      </c>
      <c r="AI213" s="36"/>
      <c r="AJ213" s="36"/>
      <c r="AK213" s="36"/>
      <c r="AL213" s="36"/>
      <c r="AM213" s="46"/>
      <c r="AN213" s="40"/>
      <c r="AO213" s="40"/>
      <c r="AP213" s="40"/>
      <c r="AQ213" s="40"/>
      <c r="AR213" s="48"/>
      <c r="AS213" s="37"/>
      <c r="AT213" s="37"/>
      <c r="AU213" s="47"/>
      <c r="AV213" s="37"/>
      <c r="AW213" s="37">
        <v>10</v>
      </c>
      <c r="AX213" s="30">
        <v>476307.21600000001</v>
      </c>
      <c r="AY213" s="40"/>
    </row>
    <row r="214" spans="1:51" ht="43.5" customHeight="1" x14ac:dyDescent="0.25">
      <c r="A214" s="59" t="s">
        <v>2587</v>
      </c>
      <c r="B214" s="60">
        <v>45357</v>
      </c>
      <c r="C214" s="37">
        <v>1416</v>
      </c>
      <c r="D214" s="35"/>
      <c r="E214" s="40"/>
      <c r="F214" s="36"/>
      <c r="G214" s="37"/>
      <c r="H214" s="40"/>
      <c r="I214" s="62" t="s">
        <v>2588</v>
      </c>
      <c r="J214" s="61">
        <v>109606640</v>
      </c>
      <c r="K214" s="41">
        <v>0</v>
      </c>
      <c r="L214" s="54">
        <v>0</v>
      </c>
      <c r="M214" s="54">
        <v>0</v>
      </c>
      <c r="N214" s="42">
        <v>100</v>
      </c>
      <c r="O214" s="43">
        <v>109606640</v>
      </c>
      <c r="P214" s="41"/>
      <c r="Q214" s="43">
        <v>109606640</v>
      </c>
      <c r="R214" s="41">
        <v>0</v>
      </c>
      <c r="S214" s="30">
        <v>0</v>
      </c>
      <c r="T214" s="30">
        <v>0</v>
      </c>
      <c r="U214" s="30" t="e">
        <v>#DIV/0!</v>
      </c>
      <c r="V214" s="41" t="e">
        <v>#DIV/0!</v>
      </c>
      <c r="W214" s="41" t="e">
        <v>#DIV/0!</v>
      </c>
      <c r="X214" s="41">
        <v>0</v>
      </c>
      <c r="Y214" s="41">
        <v>0</v>
      </c>
      <c r="Z214" s="41">
        <v>0</v>
      </c>
      <c r="AA214" s="41">
        <v>0</v>
      </c>
      <c r="AB214" s="41"/>
      <c r="AC214" s="41" t="e">
        <v>#DIV/0!</v>
      </c>
      <c r="AD214" s="41"/>
      <c r="AE214" s="41" t="e">
        <v>#DIV/0!</v>
      </c>
      <c r="AF214" s="41" t="e">
        <v>#DIV/0!</v>
      </c>
      <c r="AG214" s="41" t="e">
        <v>#DIV/0!</v>
      </c>
      <c r="AH214" s="36">
        <v>45413</v>
      </c>
      <c r="AI214" s="36"/>
      <c r="AJ214" s="36"/>
      <c r="AK214" s="36"/>
      <c r="AL214" s="36"/>
      <c r="AM214" s="46"/>
      <c r="AN214" s="40"/>
      <c r="AO214" s="40"/>
      <c r="AP214" s="40"/>
      <c r="AQ214" s="40"/>
      <c r="AR214" s="48"/>
      <c r="AS214" s="37"/>
      <c r="AT214" s="37"/>
      <c r="AU214" s="47"/>
      <c r="AV214" s="37"/>
      <c r="AW214" s="37">
        <v>10</v>
      </c>
      <c r="AX214" s="30">
        <v>10960664</v>
      </c>
      <c r="AY214" s="40"/>
    </row>
    <row r="215" spans="1:51" ht="43.5" customHeight="1" x14ac:dyDescent="0.25">
      <c r="A215" s="59" t="s">
        <v>2589</v>
      </c>
      <c r="B215" s="60">
        <v>45357</v>
      </c>
      <c r="C215" s="37">
        <v>1416</v>
      </c>
      <c r="D215" s="35"/>
      <c r="E215" s="40"/>
      <c r="F215" s="36"/>
      <c r="G215" s="37"/>
      <c r="H215" s="40"/>
      <c r="I215" s="62" t="s">
        <v>2582</v>
      </c>
      <c r="J215" s="61">
        <v>45327146.670000002</v>
      </c>
      <c r="K215" s="41">
        <v>0</v>
      </c>
      <c r="L215" s="54">
        <v>0</v>
      </c>
      <c r="M215" s="54">
        <v>0</v>
      </c>
      <c r="N215" s="42">
        <v>100</v>
      </c>
      <c r="O215" s="43">
        <v>45327146.670000002</v>
      </c>
      <c r="P215" s="41"/>
      <c r="Q215" s="43">
        <v>45327146.670000002</v>
      </c>
      <c r="R215" s="41">
        <v>0</v>
      </c>
      <c r="S215" s="30">
        <v>0</v>
      </c>
      <c r="T215" s="30">
        <v>0</v>
      </c>
      <c r="U215" s="30" t="e">
        <v>#DIV/0!</v>
      </c>
      <c r="V215" s="41" t="e">
        <v>#DIV/0!</v>
      </c>
      <c r="W215" s="41" t="e">
        <v>#DIV/0!</v>
      </c>
      <c r="X215" s="41">
        <v>0</v>
      </c>
      <c r="Y215" s="41">
        <v>0</v>
      </c>
      <c r="Z215" s="41">
        <v>0</v>
      </c>
      <c r="AA215" s="41">
        <v>0</v>
      </c>
      <c r="AB215" s="41"/>
      <c r="AC215" s="41" t="e">
        <v>#DIV/0!</v>
      </c>
      <c r="AD215" s="41"/>
      <c r="AE215" s="41" t="e">
        <v>#DIV/0!</v>
      </c>
      <c r="AF215" s="41" t="e">
        <v>#DIV/0!</v>
      </c>
      <c r="AG215" s="41" t="e">
        <v>#DIV/0!</v>
      </c>
      <c r="AH215" s="36">
        <v>45413</v>
      </c>
      <c r="AI215" s="36"/>
      <c r="AJ215" s="36"/>
      <c r="AK215" s="36"/>
      <c r="AL215" s="36"/>
      <c r="AM215" s="46"/>
      <c r="AN215" s="40"/>
      <c r="AO215" s="40"/>
      <c r="AP215" s="40"/>
      <c r="AQ215" s="40"/>
      <c r="AR215" s="48"/>
      <c r="AS215" s="37"/>
      <c r="AT215" s="37"/>
      <c r="AU215" s="47"/>
      <c r="AV215" s="37"/>
      <c r="AW215" s="37">
        <v>10</v>
      </c>
      <c r="AX215" s="30">
        <v>4532714.6670000004</v>
      </c>
      <c r="AY215" s="40"/>
    </row>
    <row r="216" spans="1:51" ht="43.5" customHeight="1" x14ac:dyDescent="0.25">
      <c r="A216" s="59" t="s">
        <v>2590</v>
      </c>
      <c r="B216" s="60">
        <v>45358</v>
      </c>
      <c r="C216" s="37" t="s">
        <v>2189</v>
      </c>
      <c r="D216" s="35"/>
      <c r="E216" s="40"/>
      <c r="F216" s="36"/>
      <c r="G216" s="37"/>
      <c r="H216" s="40"/>
      <c r="I216" s="62" t="s">
        <v>2591</v>
      </c>
      <c r="J216" s="61">
        <v>5410926.4000000004</v>
      </c>
      <c r="K216" s="41">
        <v>0</v>
      </c>
      <c r="L216" s="54">
        <v>0</v>
      </c>
      <c r="M216" s="54">
        <v>0</v>
      </c>
      <c r="N216" s="42">
        <v>100</v>
      </c>
      <c r="O216" s="43">
        <v>5410926.4000000004</v>
      </c>
      <c r="P216" s="41"/>
      <c r="Q216" s="43">
        <v>5410926.4000000004</v>
      </c>
      <c r="R216" s="41">
        <v>0</v>
      </c>
      <c r="S216" s="30">
        <v>0</v>
      </c>
      <c r="T216" s="30">
        <v>0</v>
      </c>
      <c r="U216" s="30" t="e">
        <v>#DIV/0!</v>
      </c>
      <c r="V216" s="41" t="e">
        <v>#DIV/0!</v>
      </c>
      <c r="W216" s="41" t="e">
        <v>#DIV/0!</v>
      </c>
      <c r="X216" s="41">
        <v>0</v>
      </c>
      <c r="Y216" s="41">
        <v>0</v>
      </c>
      <c r="Z216" s="41">
        <v>0</v>
      </c>
      <c r="AA216" s="41">
        <v>0</v>
      </c>
      <c r="AB216" s="41"/>
      <c r="AC216" s="41" t="e">
        <v>#DIV/0!</v>
      </c>
      <c r="AD216" s="41"/>
      <c r="AE216" s="41" t="e">
        <v>#DIV/0!</v>
      </c>
      <c r="AF216" s="41" t="e">
        <v>#DIV/0!</v>
      </c>
      <c r="AG216" s="41" t="e">
        <v>#DIV/0!</v>
      </c>
      <c r="AH216" s="36"/>
      <c r="AI216" s="36"/>
      <c r="AJ216" s="36"/>
      <c r="AK216" s="36"/>
      <c r="AL216" s="36"/>
      <c r="AM216" s="46"/>
      <c r="AN216" s="40"/>
      <c r="AO216" s="40"/>
      <c r="AP216" s="40"/>
      <c r="AQ216" s="40"/>
      <c r="AR216" s="48"/>
      <c r="AS216" s="37"/>
      <c r="AT216" s="37"/>
      <c r="AU216" s="47"/>
      <c r="AV216" s="37"/>
      <c r="AW216" s="37">
        <v>10</v>
      </c>
      <c r="AX216" s="30">
        <v>541092.64</v>
      </c>
      <c r="AY216" s="40"/>
    </row>
    <row r="217" spans="1:51" ht="15.75" customHeight="1" x14ac:dyDescent="0.25">
      <c r="A217" s="59" t="s">
        <v>2592</v>
      </c>
      <c r="B217" s="60">
        <v>45358</v>
      </c>
      <c r="C217" s="37">
        <v>1416</v>
      </c>
      <c r="D217" s="35"/>
      <c r="E217" s="40"/>
      <c r="F217" s="36"/>
      <c r="G217" s="37"/>
      <c r="H217" s="40"/>
      <c r="I217" s="64" t="s">
        <v>900</v>
      </c>
      <c r="J217" s="61">
        <v>2621621.31</v>
      </c>
      <c r="K217" s="41">
        <v>0</v>
      </c>
      <c r="L217" s="54">
        <v>0</v>
      </c>
      <c r="M217" s="54">
        <v>0</v>
      </c>
      <c r="N217" s="42">
        <v>100</v>
      </c>
      <c r="O217" s="43">
        <v>2621621.31</v>
      </c>
      <c r="P217" s="41"/>
      <c r="Q217" s="43">
        <v>2621621.31</v>
      </c>
      <c r="R217" s="41">
        <v>0</v>
      </c>
      <c r="S217" s="30">
        <v>0</v>
      </c>
      <c r="T217" s="30">
        <v>0</v>
      </c>
      <c r="U217" s="30" t="e">
        <v>#DIV/0!</v>
      </c>
      <c r="V217" s="41" t="e">
        <v>#DIV/0!</v>
      </c>
      <c r="W217" s="41" t="e">
        <v>#DIV/0!</v>
      </c>
      <c r="X217" s="41">
        <v>0</v>
      </c>
      <c r="Y217" s="41">
        <v>0</v>
      </c>
      <c r="Z217" s="41">
        <v>0</v>
      </c>
      <c r="AA217" s="41">
        <v>0</v>
      </c>
      <c r="AB217" s="41"/>
      <c r="AC217" s="41" t="e">
        <v>#DIV/0!</v>
      </c>
      <c r="AD217" s="41"/>
      <c r="AE217" s="41" t="e">
        <v>#DIV/0!</v>
      </c>
      <c r="AF217" s="41" t="e">
        <v>#DIV/0!</v>
      </c>
      <c r="AG217" s="41" t="e">
        <v>#DIV/0!</v>
      </c>
      <c r="AH217" s="36"/>
      <c r="AI217" s="36"/>
      <c r="AJ217" s="36"/>
      <c r="AK217" s="36"/>
      <c r="AL217" s="36"/>
      <c r="AM217" s="46"/>
      <c r="AN217" s="40"/>
      <c r="AO217" s="40"/>
      <c r="AP217" s="40"/>
      <c r="AQ217" s="40"/>
      <c r="AR217" s="48"/>
      <c r="AS217" s="37"/>
      <c r="AT217" s="37"/>
      <c r="AU217" s="47"/>
      <c r="AV217" s="37"/>
      <c r="AW217" s="37">
        <v>10</v>
      </c>
      <c r="AX217" s="30">
        <v>262162.13099999999</v>
      </c>
      <c r="AY217" s="40"/>
    </row>
    <row r="218" spans="1:51" ht="15.75" customHeight="1" x14ac:dyDescent="0.25">
      <c r="A218" s="59" t="s">
        <v>2593</v>
      </c>
      <c r="B218" s="60">
        <v>45358</v>
      </c>
      <c r="C218" s="37">
        <v>1416</v>
      </c>
      <c r="D218" s="35"/>
      <c r="E218" s="40"/>
      <c r="F218" s="36"/>
      <c r="G218" s="37"/>
      <c r="H218" s="40"/>
      <c r="I218" s="62" t="s">
        <v>2591</v>
      </c>
      <c r="J218" s="61">
        <v>3312554902.8000002</v>
      </c>
      <c r="K218" s="41">
        <v>0</v>
      </c>
      <c r="L218" s="54">
        <v>0</v>
      </c>
      <c r="M218" s="54">
        <v>0</v>
      </c>
      <c r="N218" s="42">
        <v>100</v>
      </c>
      <c r="O218" s="43">
        <v>3312554902.8000002</v>
      </c>
      <c r="P218" s="41"/>
      <c r="Q218" s="43">
        <v>3312554902.8000002</v>
      </c>
      <c r="R218" s="41">
        <v>0</v>
      </c>
      <c r="S218" s="30">
        <v>0</v>
      </c>
      <c r="T218" s="30">
        <v>0</v>
      </c>
      <c r="U218" s="30" t="e">
        <v>#DIV/0!</v>
      </c>
      <c r="V218" s="41" t="e">
        <v>#DIV/0!</v>
      </c>
      <c r="W218" s="41" t="e">
        <v>#DIV/0!</v>
      </c>
      <c r="X218" s="41">
        <v>0</v>
      </c>
      <c r="Y218" s="41">
        <v>0</v>
      </c>
      <c r="Z218" s="41">
        <v>0</v>
      </c>
      <c r="AA218" s="41">
        <v>0</v>
      </c>
      <c r="AB218" s="41"/>
      <c r="AC218" s="41" t="e">
        <v>#DIV/0!</v>
      </c>
      <c r="AD218" s="41"/>
      <c r="AE218" s="41" t="e">
        <v>#DIV/0!</v>
      </c>
      <c r="AF218" s="41" t="e">
        <v>#DIV/0!</v>
      </c>
      <c r="AG218" s="41" t="e">
        <v>#DIV/0!</v>
      </c>
      <c r="AH218" s="36"/>
      <c r="AI218" s="36"/>
      <c r="AJ218" s="36"/>
      <c r="AK218" s="36"/>
      <c r="AL218" s="36"/>
      <c r="AM218" s="46"/>
      <c r="AN218" s="40"/>
      <c r="AO218" s="40"/>
      <c r="AP218" s="40"/>
      <c r="AQ218" s="40"/>
      <c r="AR218" s="48"/>
      <c r="AS218" s="37"/>
      <c r="AT218" s="37"/>
      <c r="AU218" s="47"/>
      <c r="AV218" s="37"/>
      <c r="AW218" s="37">
        <v>10</v>
      </c>
      <c r="AX218" s="30">
        <v>331255490.27999997</v>
      </c>
      <c r="AY218" s="40"/>
    </row>
  </sheetData>
  <autoFilter ref="A2:AY6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11" r:id="rId1" xr:uid="{8D542EA0-CC54-4939-A345-B1685D13304E}"/>
    <hyperlink ref="E20" r:id="rId2" xr:uid="{C40FE632-43F6-4599-8819-173E838F9DBF}"/>
    <hyperlink ref="E4" r:id="rId3" xr:uid="{07B115EE-71E1-4329-A13A-4AAD528ECF7D}"/>
    <hyperlink ref="E3" r:id="rId4" xr:uid="{4C367660-F9D9-418B-8326-B84B5FF0C055}"/>
    <hyperlink ref="E26" r:id="rId5" xr:uid="{2B4BCC13-9F2A-4F43-9CA1-1B7FE2569F7F}"/>
    <hyperlink ref="E5" r:id="rId6" xr:uid="{EDB44463-393C-468E-B916-58BA5FD3CC94}"/>
    <hyperlink ref="E31" r:id="rId7" xr:uid="{B2CB6D66-63FE-4ED8-88B0-BE10C355890B}"/>
    <hyperlink ref="E32" r:id="rId8" xr:uid="{96C03809-7640-41EC-89D6-03F1F46C0D7E}"/>
    <hyperlink ref="E33" r:id="rId9" xr:uid="{9D77E691-D426-4002-ADDD-4093937E34C2}"/>
    <hyperlink ref="E34" r:id="rId10" xr:uid="{7FA282DF-80D0-4292-9C9D-7AB291AE0EF0}"/>
    <hyperlink ref="E35" r:id="rId11" xr:uid="{E61C5634-422D-4F49-ACEF-3F8F92A92872}"/>
    <hyperlink ref="E36" r:id="rId12" xr:uid="{A0D86B53-5B45-44F7-AAE8-5CCB45599072}"/>
    <hyperlink ref="E37" r:id="rId13" xr:uid="{F35D403B-1B2F-411B-B8F1-CC0292CA4CD3}"/>
    <hyperlink ref="E38" r:id="rId14" xr:uid="{1E021935-8D4F-4ACB-8FF8-E57AD1C82A93}"/>
    <hyperlink ref="E39" r:id="rId15" xr:uid="{8143B0C9-46C2-4E60-A38A-C5D35294C292}"/>
    <hyperlink ref="E40" r:id="rId16" xr:uid="{21881A0D-9FD6-430A-8F7D-D5440AA03A85}"/>
    <hyperlink ref="E42" r:id="rId17" xr:uid="{94376176-FA4C-4867-B3DC-C473B649F746}"/>
    <hyperlink ref="E43" r:id="rId18" xr:uid="{6D04FA0A-544E-483B-958C-CA3BEC08959A}"/>
    <hyperlink ref="E41" r:id="rId19" xr:uid="{FE58DCE9-FF05-49E7-ABE5-19B98933B939}"/>
    <hyperlink ref="E44" r:id="rId20" xr:uid="{B06A5C04-844A-4541-943D-5363DAD83A81}"/>
    <hyperlink ref="E45" r:id="rId21" xr:uid="{B735512F-317A-4B73-BCF0-E2E2CE44C8CA}"/>
    <hyperlink ref="E46" r:id="rId22" xr:uid="{3BC7AE7C-D794-4A6F-99A8-0C3CB58799B9}"/>
    <hyperlink ref="E48" r:id="rId23" xr:uid="{AB3CE4CF-ABD3-4F7E-AE73-E4A3FDCADE8C}"/>
    <hyperlink ref="E47" r:id="rId24" xr:uid="{59DF7743-DB6D-4251-8D0B-A6AF73250A57}"/>
    <hyperlink ref="E49" r:id="rId25" xr:uid="{28C0718C-CCB0-489F-AB13-BBA5790E6648}"/>
    <hyperlink ref="E50" r:id="rId26" xr:uid="{424CF103-30DA-4FB3-A75E-16183F9CC52E}"/>
    <hyperlink ref="E51" r:id="rId27" xr:uid="{B2C5E614-042F-4D8F-A297-B4FD8F80F57D}"/>
    <hyperlink ref="E52" r:id="rId28" xr:uid="{2B46209C-DC5D-4AF5-8C17-E07A3E32A53F}"/>
    <hyperlink ref="E53" r:id="rId29" xr:uid="{3405D5CB-E322-4EE6-9D65-3988C96F9FB3}"/>
    <hyperlink ref="E54" r:id="rId30" xr:uid="{09A283DD-A8E8-400E-A13D-80F4FEC32D75}"/>
    <hyperlink ref="E55" r:id="rId31" xr:uid="{98108D20-C6B8-4E6E-B370-D467DF790D4B}"/>
    <hyperlink ref="E56" r:id="rId32" xr:uid="{3088CC29-9B80-49DD-A845-856E946413CB}"/>
    <hyperlink ref="E57" r:id="rId33" xr:uid="{BD8B3AEF-4DE5-4946-B9CD-B888B73052DF}"/>
    <hyperlink ref="E58" r:id="rId34" xr:uid="{5D4B203A-CC26-4F72-B4E4-7EF5C21536AD}"/>
    <hyperlink ref="E59" r:id="rId35" xr:uid="{E2234C8A-7622-4A2D-8B4B-73D034016BC7}"/>
    <hyperlink ref="E60" r:id="rId36" xr:uid="{C480A24E-2032-4C79-98FE-BFAD05D08738}"/>
    <hyperlink ref="E61" r:id="rId37" xr:uid="{B1552E32-6CB5-493D-88A0-6B54571C687B}"/>
    <hyperlink ref="E62" r:id="rId38" xr:uid="{4D29ED62-B8DD-4A51-B20F-85F44563935A}"/>
    <hyperlink ref="E63" r:id="rId39" xr:uid="{4DCEEEDA-AE4C-4D8E-AA17-CB2DBD5C37B3}"/>
    <hyperlink ref="E64" r:id="rId40" xr:uid="{A722DD2F-7E62-4603-B4F4-CCA7B69C26F9}"/>
    <hyperlink ref="E65" r:id="rId41" xr:uid="{668EEA16-0945-4CBA-A10E-F78CCA305FEF}"/>
    <hyperlink ref="E66" r:id="rId42" xr:uid="{014F418B-8B62-49E1-BDCD-652A012D9B28}"/>
    <hyperlink ref="E67" r:id="rId43" xr:uid="{F148E151-497A-4808-BBCC-9595980665A7}"/>
    <hyperlink ref="E68" r:id="rId44" xr:uid="{DA39FB27-DF3C-4252-B59E-379FFE4CD790}"/>
    <hyperlink ref="E69" r:id="rId45" xr:uid="{D789110D-422D-4A27-8141-FD3575E1F02B}"/>
    <hyperlink ref="E70" r:id="rId46" xr:uid="{B88F8A50-782A-4792-A724-FDFE19DD395E}"/>
    <hyperlink ref="E71" r:id="rId47" xr:uid="{13BE9583-F186-4B11-B039-11D5F3883FA6}"/>
    <hyperlink ref="E72" r:id="rId48" xr:uid="{41F686FF-545D-4C26-8720-D9A746E82F7C}"/>
    <hyperlink ref="E73" r:id="rId49" xr:uid="{374F65D8-CB56-418B-98B5-D8F620496305}"/>
    <hyperlink ref="E74" r:id="rId50" xr:uid="{93DE2996-67F8-486B-A405-54019D71D43E}"/>
    <hyperlink ref="E75" r:id="rId51" xr:uid="{AEFF808C-A5BA-4294-91A9-C4634100376B}"/>
    <hyperlink ref="E76" r:id="rId52" xr:uid="{7AA0958D-6F5D-460A-8137-A5F71B7AD96E}"/>
    <hyperlink ref="E77" r:id="rId53" xr:uid="{41535134-15B3-4A18-9F2A-C691D9681CB8}"/>
    <hyperlink ref="E80" r:id="rId54" xr:uid="{A2480033-88A1-4FA3-A3FC-7038BED60DD0}"/>
    <hyperlink ref="E79" r:id="rId55" xr:uid="{369C7949-F7CB-46B4-8119-7DD87465319B}"/>
    <hyperlink ref="E78" r:id="rId56" xr:uid="{0115716D-1C94-4A55-98E4-70D198766EE7}"/>
    <hyperlink ref="E81" r:id="rId57" xr:uid="{4FE6D9C0-53ED-4164-A57B-81FC5F392889}"/>
    <hyperlink ref="E82" r:id="rId58" xr:uid="{80E8A084-A142-428C-9A7A-FC562D44724B}"/>
    <hyperlink ref="E83" r:id="rId59" xr:uid="{264A8DCD-8FD4-4426-A958-FC89DC054A14}"/>
    <hyperlink ref="E84" r:id="rId60" xr:uid="{EC36E212-8CBF-4186-A9D9-20C374056750}"/>
    <hyperlink ref="E85" r:id="rId61" xr:uid="{03B22D28-21CB-4DAF-A578-800E9D0CA92E}"/>
    <hyperlink ref="E86" r:id="rId62" xr:uid="{6899D1F9-EBC4-457B-88A5-F102753EB7EE}"/>
    <hyperlink ref="E87" r:id="rId63" xr:uid="{600453F6-7EBA-4E06-A3F4-D19B53813A9F}"/>
    <hyperlink ref="E88" r:id="rId64" xr:uid="{017E0ED4-A7D3-4C26-AC9B-7DF74FADB795}"/>
    <hyperlink ref="E89" r:id="rId65" xr:uid="{6BA11285-A70E-4318-A1F4-72D48BDACBDE}"/>
    <hyperlink ref="E90" r:id="rId66" xr:uid="{936A3638-2A5B-463C-ABC5-BB70EF7F2D62}"/>
    <hyperlink ref="E91" r:id="rId67" xr:uid="{BB317252-9899-4678-A4ED-5784F5256FDB}"/>
    <hyperlink ref="E98" r:id="rId68" xr:uid="{5A71D1A4-5A0F-4BF4-83AD-9136C49E66BF}"/>
    <hyperlink ref="E92" r:id="rId69" xr:uid="{7F63FC32-C05E-4B22-A72D-8242917F032D}"/>
    <hyperlink ref="E93" r:id="rId70" xr:uid="{2609C910-743A-4152-83B4-3A3C0828FED7}"/>
    <hyperlink ref="E94" r:id="rId71" xr:uid="{06C8218D-1652-4D2E-BF73-F256D74F2D46}"/>
    <hyperlink ref="E95" r:id="rId72" xr:uid="{24B7E553-8A0F-45F0-AF32-AA288695AC29}"/>
    <hyperlink ref="E96" r:id="rId73" xr:uid="{E58FAEDF-2F33-41BD-8475-346D0FF5AFCE}"/>
    <hyperlink ref="E97" r:id="rId74" xr:uid="{3276DBA7-8E59-449C-BC2C-B1F5D8F8DE70}"/>
    <hyperlink ref="E99" r:id="rId75" xr:uid="{F5633A0E-AF7C-44CC-9EDD-DF4E1B6B3EC2}"/>
    <hyperlink ref="E100" r:id="rId76" xr:uid="{7EBA04B6-1A87-4AB3-B0DC-0316C2742B16}"/>
    <hyperlink ref="E101" r:id="rId77" xr:uid="{C5170BA3-C480-4081-A5A6-1F9155519596}"/>
    <hyperlink ref="E102" r:id="rId78" xr:uid="{D939D4A3-0DD6-4603-9F69-A183ACDCDF70}"/>
    <hyperlink ref="E103" r:id="rId79" xr:uid="{9B470AF3-2FC2-42A1-ACFE-E6987A3F1456}"/>
    <hyperlink ref="E104" r:id="rId80" xr:uid="{46210EC5-8FAC-4D2C-9451-4FC4F64E6BC0}"/>
    <hyperlink ref="E105" r:id="rId81" xr:uid="{8BB94C98-7E88-4AF0-94B0-FE9CDC699EE8}"/>
    <hyperlink ref="E106" r:id="rId82" xr:uid="{9337A50E-2295-4BC3-B4F3-B711485EB2FF}"/>
    <hyperlink ref="E107" r:id="rId83" xr:uid="{FD269AC9-94D0-49DF-861C-522376363A5C}"/>
    <hyperlink ref="E108" r:id="rId84" xr:uid="{9F90E7D9-9AA8-4F4B-92B6-E672F617FCE4}"/>
    <hyperlink ref="E109" r:id="rId85" xr:uid="{E0CD5041-A9AA-4A8E-B1C5-7E457447C416}"/>
    <hyperlink ref="E110" r:id="rId86" xr:uid="{85F91A38-BC0E-4857-A0FB-2C298AF67504}"/>
    <hyperlink ref="E111" r:id="rId87" xr:uid="{E38E9679-8BB9-4204-8D30-0718059DADF9}"/>
    <hyperlink ref="E112" r:id="rId88" xr:uid="{D940BB78-48C1-4D58-997B-6AA437091D39}"/>
    <hyperlink ref="E113" r:id="rId89" xr:uid="{871CBE21-EE84-4649-93E1-4FFD485428E0}"/>
    <hyperlink ref="E114" r:id="rId90" xr:uid="{E5E1EE9D-8AB3-49F0-8094-EA06C69DFBC5}"/>
    <hyperlink ref="E115" r:id="rId91" xr:uid="{E6C4182E-EB76-4F37-9CD1-144605E06EAA}"/>
    <hyperlink ref="E116" r:id="rId92" xr:uid="{764931B7-8A66-4FEB-94E6-6E19DC1D88D2}"/>
    <hyperlink ref="E117" r:id="rId93" xr:uid="{6C1592F2-0513-42AB-8C15-E174835C8D2F}"/>
    <hyperlink ref="E118" r:id="rId94" xr:uid="{BE3E1760-A569-4C13-897B-4B9F0FD469E1}"/>
    <hyperlink ref="E119" r:id="rId95" xr:uid="{965B3E9B-D653-48E0-B19A-8E71C081C32D}"/>
    <hyperlink ref="E120" r:id="rId96" xr:uid="{150B07C9-C605-4242-A1EF-58922F9C2966}"/>
    <hyperlink ref="E121" r:id="rId97" xr:uid="{3A43306D-2439-45C2-AAC3-DE7503F1E278}"/>
    <hyperlink ref="E122" r:id="rId98" xr:uid="{DC462FD7-4FE3-4C23-9492-90EC11A4B55A}"/>
    <hyperlink ref="E123" r:id="rId99" xr:uid="{DAC04ECF-08A6-43EC-8812-9E31FFDAB700}"/>
    <hyperlink ref="E124" r:id="rId100" xr:uid="{E85EDACE-3422-4D04-9E22-F6343D2B0850}"/>
    <hyperlink ref="E125" r:id="rId101" xr:uid="{9593E5B7-546F-4B87-9108-EDA508420442}"/>
    <hyperlink ref="E126" r:id="rId102" xr:uid="{84D58ED7-1E30-4792-A8A7-BE579DAA2731}"/>
    <hyperlink ref="E127" r:id="rId103" xr:uid="{BDD68FC2-7529-454A-915D-07E677B917BB}"/>
    <hyperlink ref="E128" r:id="rId104" xr:uid="{9E00A2A5-CA91-41D2-A17E-F11049A9D583}"/>
    <hyperlink ref="E129" r:id="rId105" xr:uid="{63F5AB62-8FA7-48DE-87E3-D2B390FD30F6}"/>
    <hyperlink ref="E130" r:id="rId106" xr:uid="{F252F4E0-5411-483D-B77A-ED9716C1C42B}"/>
    <hyperlink ref="E131" r:id="rId107" xr:uid="{778F902A-D1E0-4B88-ACD4-6F74C7414E22}"/>
    <hyperlink ref="E132" r:id="rId108" xr:uid="{9F859AD6-A74F-49C6-BB1E-0BB3EC7ED9FE}"/>
    <hyperlink ref="E133" r:id="rId109" xr:uid="{90B1023C-C1B4-4CF8-B4C6-9423FC50EBD5}"/>
    <hyperlink ref="E134" r:id="rId110" xr:uid="{A884D7D1-BFC5-4049-AC72-66A5EBF2C4B8}"/>
    <hyperlink ref="E135" r:id="rId111" xr:uid="{F6FD1AC9-2016-46E4-BF66-EACC24D607D5}"/>
    <hyperlink ref="E136" r:id="rId112" xr:uid="{3E36C704-D02A-42F8-A30B-3D68CA2F94D3}"/>
    <hyperlink ref="E137" r:id="rId113" xr:uid="{4170C319-4A80-4F00-BA6A-5078B0754FE9}"/>
    <hyperlink ref="E138" r:id="rId114" xr:uid="{F36D020E-52E8-4BBD-A64B-C623C4E94650}"/>
    <hyperlink ref="E139" r:id="rId115" xr:uid="{324FCD37-EC95-4699-82F2-68F55D7F721F}"/>
    <hyperlink ref="E140" r:id="rId116" xr:uid="{9678ED5F-2DF8-4FC1-9A18-AD61CF24C311}"/>
    <hyperlink ref="E141" r:id="rId117" xr:uid="{0B641DE6-6AA1-43E7-B370-3C98C69CFB88}"/>
    <hyperlink ref="E142" r:id="rId118" xr:uid="{387E57B1-6469-4085-85C0-C4A5CB77F979}"/>
    <hyperlink ref="E143" r:id="rId119" xr:uid="{1B843CC8-3B87-4BE8-9663-3A3410ACB4A7}"/>
    <hyperlink ref="E144" r:id="rId120" xr:uid="{990126F2-16DB-478A-A78C-7E9581D3E527}"/>
    <hyperlink ref="E145" r:id="rId121" xr:uid="{AD6E9240-C16E-4A51-A822-A5E73BE784E4}"/>
    <hyperlink ref="E146" r:id="rId122" xr:uid="{1949FCE5-AA18-4A4A-92DD-11E440264BDB}"/>
    <hyperlink ref="E147" r:id="rId123" xr:uid="{D0DD3E99-1925-4C6E-847B-43216ABB1B41}"/>
    <hyperlink ref="E148" r:id="rId124" xr:uid="{9F1EBE5B-F188-400D-AFE2-0AE11F2BD792}"/>
    <hyperlink ref="E149" r:id="rId125" xr:uid="{7C97D51C-0207-4DF3-AC10-24FE7DD25295}"/>
    <hyperlink ref="E150" r:id="rId126" xr:uid="{BCE5EA1C-C313-4116-BF57-CBCCA3AA676E}"/>
    <hyperlink ref="E151" r:id="rId127" xr:uid="{A9F09D05-64EE-427F-A1DC-34ED9E505AB5}"/>
    <hyperlink ref="E152" r:id="rId128" xr:uid="{932E6790-79F5-42C3-9892-28ADAC02E736}"/>
    <hyperlink ref="E153" r:id="rId129" xr:uid="{8BF073CF-9ADC-438F-9B25-9588E01CAE42}"/>
    <hyperlink ref="E154" r:id="rId130" xr:uid="{AA8E1BF4-7995-4084-BF88-CCA2E348B440}"/>
    <hyperlink ref="E155" r:id="rId131" xr:uid="{1EE813E1-370E-4D9A-8D06-9A2737CDC455}"/>
    <hyperlink ref="E156" r:id="rId132" xr:uid="{0DD80172-37BE-4B26-A14A-863C683CF175}"/>
    <hyperlink ref="E157" r:id="rId133" xr:uid="{CFAE714E-ECFB-4150-AA09-5ECE35A222FB}"/>
    <hyperlink ref="E158" r:id="rId134" xr:uid="{FD22BF17-B74A-4232-B4CB-164F7C6F622A}"/>
    <hyperlink ref="E159" r:id="rId135" xr:uid="{66837BE9-7316-48AA-BBA3-4ADDCE65E14A}"/>
    <hyperlink ref="E160" r:id="rId136" xr:uid="{D23323AC-FFD8-458A-B136-228363C17BFD}"/>
    <hyperlink ref="E161" r:id="rId137" xr:uid="{3D1BE0CB-04BA-4BF1-BD87-91AD85C495BB}"/>
    <hyperlink ref="E162" r:id="rId138" xr:uid="{301872D2-84D2-4A6C-B884-21E71A7740B6}"/>
    <hyperlink ref="E163" r:id="rId139" xr:uid="{E1BC5EEE-CDFA-4D30-982F-41511C3C0D85}"/>
    <hyperlink ref="E164" r:id="rId140" xr:uid="{5FC3CABB-5C62-48F8-AD71-0AD1D3842925}"/>
    <hyperlink ref="E165" r:id="rId141" xr:uid="{84E5F6A4-AB85-4463-A234-BC94F1679534}"/>
    <hyperlink ref="E166" r:id="rId142" xr:uid="{264B8E73-FAC4-4243-83A4-2C11023524D5}"/>
    <hyperlink ref="E167" r:id="rId143" xr:uid="{FBDB9C4E-DBB5-436D-9F03-9E40DAE401EE}"/>
    <hyperlink ref="E168" r:id="rId144" xr:uid="{5C5736B0-3E6F-4FA1-B283-609D0BBA52CD}"/>
    <hyperlink ref="E169" r:id="rId145" xr:uid="{4029C5D0-0EC2-4EA9-9EFE-9B6005ACC504}"/>
    <hyperlink ref="E170" r:id="rId146" xr:uid="{DA315770-5EA1-4206-BB40-FC8C1B8D5BCE}"/>
    <hyperlink ref="E171" r:id="rId147" xr:uid="{6529A25D-B01C-48D3-9BDB-62A57EE65919}"/>
    <hyperlink ref="E172" r:id="rId148" xr:uid="{825DAD07-39EF-4B1E-88F4-E54EF63A36B7}"/>
    <hyperlink ref="E173" r:id="rId149" xr:uid="{1C5B89DE-2B86-4FA1-AE97-B534E37578C3}"/>
    <hyperlink ref="E174" r:id="rId150" xr:uid="{A95838C2-7307-4E10-A6F7-C99EE4E9C940}"/>
    <hyperlink ref="E175" r:id="rId151" xr:uid="{A76F8B85-26EB-43E7-9412-736041EE7AB4}"/>
    <hyperlink ref="E176" r:id="rId152" xr:uid="{63A45A4D-0291-4998-8296-2C536F0CF787}"/>
    <hyperlink ref="E177" r:id="rId153" xr:uid="{ED610C01-0A6C-4042-9D6D-6447199A9E89}"/>
    <hyperlink ref="E178" r:id="rId154" xr:uid="{19E28FE3-B8B9-4D1A-8879-A316246A3FE5}"/>
    <hyperlink ref="E179" r:id="rId155" xr:uid="{D154BFED-06A4-4BBA-9FA2-7F7C31FA50F4}"/>
    <hyperlink ref="E180" r:id="rId156" xr:uid="{9F34E1AE-08DD-4FFB-B8FC-EFB537D7A62B}"/>
    <hyperlink ref="E181" r:id="rId157" xr:uid="{3CBDFF60-31B4-42F7-B115-B151980F2782}"/>
    <hyperlink ref="E182" r:id="rId158" xr:uid="{8A78DA97-660F-4686-BFC9-FA596FB75FCF}"/>
    <hyperlink ref="E183" r:id="rId159" xr:uid="{5FE20D42-AF3B-42B9-AB17-C759CB3CD336}"/>
    <hyperlink ref="E184" r:id="rId160" xr:uid="{0E01CD4F-F568-484E-8022-0588D52B01C0}"/>
    <hyperlink ref="E185" r:id="rId161" xr:uid="{C3F86D2F-B518-482D-909A-0607B236D995}"/>
    <hyperlink ref="E186" r:id="rId162" xr:uid="{7310D318-AF3F-4564-AEBA-EFA5C2C1A4DC}"/>
    <hyperlink ref="E187" r:id="rId163" xr:uid="{80617698-4E44-43D8-8BBA-CD0AC01E68DB}"/>
    <hyperlink ref="E188" r:id="rId164" xr:uid="{B7D7CF2A-7636-4BE2-B61B-CDCF14E1A74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7C9C-A732-421D-80A2-F076357DAC20}">
  <dimension ref="A1:AY102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10" sqref="C10"/>
    </sheetView>
  </sheetViews>
  <sheetFormatPr defaultColWidth="9.140625" defaultRowHeight="15.75" x14ac:dyDescent="0.25"/>
  <cols>
    <col min="1" max="1" width="23.85546875" style="20" customWidth="1"/>
    <col min="2" max="2" width="15.140625" style="71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73" customWidth="1"/>
    <col min="7" max="7" width="33.42578125" style="49" customWidth="1"/>
    <col min="8" max="8" width="19.140625" style="72" customWidth="1"/>
    <col min="9" max="9" width="38.28515625" style="20" customWidth="1"/>
    <col min="10" max="13" width="22.140625" style="49" customWidth="1"/>
    <col min="14" max="14" width="19.140625" style="49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4" customWidth="1"/>
    <col min="26" max="26" width="15.5703125" style="20" customWidth="1"/>
    <col min="27" max="27" width="15.5703125" style="72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49" customWidth="1"/>
    <col min="37" max="37" width="14.85546875" style="49" customWidth="1"/>
    <col min="38" max="38" width="15.42578125" style="20" customWidth="1"/>
    <col min="39" max="39" width="14.85546875" style="74" customWidth="1"/>
    <col min="40" max="40" width="16.28515625" style="72" customWidth="1"/>
    <col min="41" max="41" width="30.42578125" style="72" customWidth="1"/>
    <col min="42" max="42" width="19" style="49" customWidth="1"/>
    <col min="43" max="43" width="16.28515625" style="49" customWidth="1"/>
    <col min="44" max="44" width="11" style="20" customWidth="1"/>
    <col min="45" max="45" width="14.7109375" style="50" customWidth="1"/>
    <col min="46" max="46" width="12.5703125" style="20" customWidth="1"/>
    <col min="47" max="47" width="13.85546875" style="72" customWidth="1"/>
    <col min="48" max="48" width="8.5703125" style="74" customWidth="1"/>
    <col min="49" max="49" width="7.7109375" style="74" customWidth="1"/>
    <col min="50" max="50" width="18.42578125" style="49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50.25" customHeight="1" x14ac:dyDescent="0.25">
      <c r="A3" s="44" t="s">
        <v>430</v>
      </c>
      <c r="B3" s="36">
        <v>45174</v>
      </c>
      <c r="C3" s="40" t="s">
        <v>432</v>
      </c>
      <c r="D3" s="35" t="s">
        <v>431</v>
      </c>
      <c r="E3" s="39" t="s">
        <v>433</v>
      </c>
      <c r="F3" s="36" t="s">
        <v>431</v>
      </c>
      <c r="G3" s="37" t="s">
        <v>431</v>
      </c>
      <c r="H3" s="40"/>
      <c r="I3" s="40" t="s">
        <v>434</v>
      </c>
      <c r="J3" s="41">
        <v>161212603.05000001</v>
      </c>
      <c r="K3" s="41">
        <v>161212603.05000001</v>
      </c>
      <c r="L3" s="41"/>
      <c r="M3" s="41"/>
      <c r="N3" s="42">
        <v>100</v>
      </c>
      <c r="O3" s="43">
        <v>161212603.05000001</v>
      </c>
      <c r="P3" s="41"/>
      <c r="Q3" s="43">
        <v>161212603.05000001</v>
      </c>
      <c r="R3" s="41">
        <v>0</v>
      </c>
      <c r="S3" s="30">
        <v>0</v>
      </c>
      <c r="T3" s="30">
        <v>0</v>
      </c>
      <c r="U3" s="30" t="e">
        <v>#DIV/0!</v>
      </c>
      <c r="V3" s="41" t="e">
        <v>#DIV/0!</v>
      </c>
      <c r="W3" s="41" t="e">
        <v>#DIV/0!</v>
      </c>
      <c r="X3" s="41">
        <v>0</v>
      </c>
      <c r="Y3" s="41">
        <v>0</v>
      </c>
      <c r="Z3" s="41">
        <v>0</v>
      </c>
      <c r="AA3" s="41">
        <v>0</v>
      </c>
      <c r="AB3" s="41"/>
      <c r="AC3" s="41" t="e">
        <v>#DIV/0!</v>
      </c>
      <c r="AD3" s="41"/>
      <c r="AE3" s="41" t="e">
        <v>#DIV/0!</v>
      </c>
      <c r="AF3" s="41" t="e">
        <v>#DIV/0!</v>
      </c>
      <c r="AG3" s="41" t="e">
        <v>#DIV/0!</v>
      </c>
      <c r="AH3" s="36">
        <v>45301</v>
      </c>
      <c r="AI3" s="36"/>
      <c r="AJ3" s="36"/>
      <c r="AK3" s="36"/>
      <c r="AL3" s="36"/>
      <c r="AM3" s="46"/>
      <c r="AN3" s="40"/>
      <c r="AO3" s="40"/>
      <c r="AP3" s="40"/>
      <c r="AQ3" s="40"/>
      <c r="AR3" s="48"/>
      <c r="AS3" s="37"/>
      <c r="AT3" s="37"/>
      <c r="AU3" s="47"/>
      <c r="AV3" s="37"/>
      <c r="AW3" s="37">
        <v>10</v>
      </c>
      <c r="AX3" s="30">
        <v>16121260.305</v>
      </c>
      <c r="AY3" s="35" t="s">
        <v>431</v>
      </c>
    </row>
    <row r="4" spans="1:51" ht="57" customHeight="1" x14ac:dyDescent="0.25">
      <c r="A4" s="44" t="s">
        <v>449</v>
      </c>
      <c r="B4" s="36">
        <v>45175</v>
      </c>
      <c r="C4" s="40" t="s">
        <v>432</v>
      </c>
      <c r="D4" s="35" t="s">
        <v>450</v>
      </c>
      <c r="E4" s="39" t="s">
        <v>451</v>
      </c>
      <c r="F4" s="36">
        <v>45202</v>
      </c>
      <c r="G4" s="37" t="s">
        <v>452</v>
      </c>
      <c r="H4" s="40" t="s">
        <v>453</v>
      </c>
      <c r="I4" s="40" t="s">
        <v>454</v>
      </c>
      <c r="J4" s="41">
        <v>32334852.550000001</v>
      </c>
      <c r="K4" s="41">
        <v>32334852.550000001</v>
      </c>
      <c r="L4" s="41">
        <v>0</v>
      </c>
      <c r="M4" s="41">
        <v>0</v>
      </c>
      <c r="N4" s="42">
        <v>51.772188489537427</v>
      </c>
      <c r="O4" s="43">
        <v>16740460.810000001</v>
      </c>
      <c r="P4" s="41">
        <v>15594391.74</v>
      </c>
      <c r="Q4" s="43">
        <v>16747922.100000001</v>
      </c>
      <c r="R4" s="41">
        <v>15586930.449999999</v>
      </c>
      <c r="S4" s="30">
        <v>15586930.449999999</v>
      </c>
      <c r="T4" s="30">
        <v>15586930.449999999</v>
      </c>
      <c r="U4" s="30">
        <v>44.169999999999995</v>
      </c>
      <c r="V4" s="41">
        <v>44.169999999999995</v>
      </c>
      <c r="W4" s="41">
        <v>2650.2</v>
      </c>
      <c r="X4" s="41">
        <v>352885</v>
      </c>
      <c r="Y4" s="41">
        <v>352885</v>
      </c>
      <c r="Z4" s="41">
        <v>0</v>
      </c>
      <c r="AA4" s="41">
        <v>0</v>
      </c>
      <c r="AB4" s="41"/>
      <c r="AC4" s="41">
        <v>0</v>
      </c>
      <c r="AD4" s="41"/>
      <c r="AE4" s="41">
        <v>0</v>
      </c>
      <c r="AF4" s="41">
        <v>5881.416666666667</v>
      </c>
      <c r="AG4" s="41">
        <v>5882</v>
      </c>
      <c r="AH4" s="36">
        <v>45301</v>
      </c>
      <c r="AI4" s="36"/>
      <c r="AJ4" s="36"/>
      <c r="AK4" s="36">
        <v>45332</v>
      </c>
      <c r="AL4" s="36"/>
      <c r="AM4" s="46"/>
      <c r="AN4" s="40" t="s">
        <v>455</v>
      </c>
      <c r="AO4" s="40" t="s">
        <v>456</v>
      </c>
      <c r="AP4" s="40" t="s">
        <v>457</v>
      </c>
      <c r="AQ4" s="40" t="s">
        <v>80</v>
      </c>
      <c r="AR4" s="48">
        <v>100</v>
      </c>
      <c r="AS4" s="37">
        <v>0</v>
      </c>
      <c r="AT4" s="37" t="s">
        <v>386</v>
      </c>
      <c r="AU4" s="47">
        <v>60</v>
      </c>
      <c r="AV4" s="37" t="s">
        <v>60</v>
      </c>
      <c r="AW4" s="37">
        <v>10</v>
      </c>
      <c r="AX4" s="30">
        <v>3233485.2549999999</v>
      </c>
      <c r="AY4" s="40" t="s">
        <v>402</v>
      </c>
    </row>
    <row r="5" spans="1:51" ht="57" customHeight="1" x14ac:dyDescent="0.25">
      <c r="A5" s="44" t="s">
        <v>488</v>
      </c>
      <c r="B5" s="46">
        <v>45181</v>
      </c>
      <c r="C5" s="40" t="s">
        <v>432</v>
      </c>
      <c r="D5" s="35" t="s">
        <v>489</v>
      </c>
      <c r="E5" s="39" t="s">
        <v>490</v>
      </c>
      <c r="F5" s="36" t="s">
        <v>489</v>
      </c>
      <c r="G5" s="37" t="s">
        <v>489</v>
      </c>
      <c r="H5" s="40" t="s">
        <v>489</v>
      </c>
      <c r="I5" s="40" t="s">
        <v>491</v>
      </c>
      <c r="J5" s="54">
        <v>3271104.3</v>
      </c>
      <c r="K5" s="54">
        <v>3271104.3</v>
      </c>
      <c r="L5" s="54"/>
      <c r="M5" s="54"/>
      <c r="N5" s="42">
        <v>100</v>
      </c>
      <c r="O5" s="43">
        <v>3271104.3</v>
      </c>
      <c r="P5" s="41"/>
      <c r="Q5" s="43">
        <v>3271104.3</v>
      </c>
      <c r="R5" s="41">
        <v>0</v>
      </c>
      <c r="S5" s="30">
        <v>0</v>
      </c>
      <c r="T5" s="30">
        <v>0</v>
      </c>
      <c r="U5" s="30" t="e">
        <v>#DIV/0!</v>
      </c>
      <c r="V5" s="41" t="e">
        <v>#DIV/0!</v>
      </c>
      <c r="W5" s="41" t="e">
        <v>#DIV/0!</v>
      </c>
      <c r="X5" s="41">
        <v>0</v>
      </c>
      <c r="Y5" s="41">
        <v>0</v>
      </c>
      <c r="Z5" s="41">
        <v>0</v>
      </c>
      <c r="AA5" s="41">
        <v>0</v>
      </c>
      <c r="AB5" s="41"/>
      <c r="AC5" s="41" t="e">
        <v>#DIV/0!</v>
      </c>
      <c r="AD5" s="41"/>
      <c r="AE5" s="41" t="e">
        <v>#DIV/0!</v>
      </c>
      <c r="AF5" s="41" t="e">
        <v>#DIV/0!</v>
      </c>
      <c r="AG5" s="41" t="e">
        <v>#DIV/0!</v>
      </c>
      <c r="AH5" s="36">
        <v>45301</v>
      </c>
      <c r="AI5" s="36"/>
      <c r="AJ5" s="36"/>
      <c r="AK5" s="36">
        <v>45332</v>
      </c>
      <c r="AL5" s="36"/>
      <c r="AM5" s="46"/>
      <c r="AN5" s="40"/>
      <c r="AO5" s="40"/>
      <c r="AP5" s="40"/>
      <c r="AQ5" s="40"/>
      <c r="AR5" s="48"/>
      <c r="AS5" s="37"/>
      <c r="AT5" s="37"/>
      <c r="AU5" s="47"/>
      <c r="AV5" s="37"/>
      <c r="AW5" s="37">
        <v>10</v>
      </c>
      <c r="AX5" s="30">
        <v>327110.43</v>
      </c>
      <c r="AY5" s="40" t="s">
        <v>489</v>
      </c>
    </row>
    <row r="6" spans="1:51" ht="63" customHeight="1" x14ac:dyDescent="0.25">
      <c r="A6" s="44" t="s">
        <v>507</v>
      </c>
      <c r="B6" s="36">
        <v>45196</v>
      </c>
      <c r="C6" s="37" t="s">
        <v>432</v>
      </c>
      <c r="D6" s="35" t="s">
        <v>508</v>
      </c>
      <c r="E6" s="39" t="s">
        <v>509</v>
      </c>
      <c r="F6" s="36">
        <v>45216</v>
      </c>
      <c r="G6" s="37" t="s">
        <v>510</v>
      </c>
      <c r="H6" s="40" t="s">
        <v>53</v>
      </c>
      <c r="I6" s="40" t="s">
        <v>511</v>
      </c>
      <c r="J6" s="41">
        <v>161212603.05000001</v>
      </c>
      <c r="K6" s="41">
        <v>161212603.05000001</v>
      </c>
      <c r="L6" s="54">
        <v>0</v>
      </c>
      <c r="M6" s="54">
        <v>0</v>
      </c>
      <c r="N6" s="42">
        <v>0</v>
      </c>
      <c r="O6" s="43">
        <v>0</v>
      </c>
      <c r="P6" s="41">
        <v>161212603.05000001</v>
      </c>
      <c r="Q6" s="43">
        <v>0</v>
      </c>
      <c r="R6" s="41">
        <v>161212603.05000001</v>
      </c>
      <c r="S6" s="30">
        <v>161212603.05000001</v>
      </c>
      <c r="T6" s="30">
        <v>161212603.05000001</v>
      </c>
      <c r="U6" s="30">
        <v>414.21000000000004</v>
      </c>
      <c r="V6" s="41">
        <v>414.21000000000004</v>
      </c>
      <c r="W6" s="41">
        <v>12426.300000000001</v>
      </c>
      <c r="X6" s="41">
        <v>389205</v>
      </c>
      <c r="Y6" s="41">
        <v>389205</v>
      </c>
      <c r="Z6" s="41">
        <v>0</v>
      </c>
      <c r="AA6" s="41">
        <v>0</v>
      </c>
      <c r="AB6" s="41"/>
      <c r="AC6" s="41">
        <v>0</v>
      </c>
      <c r="AD6" s="41"/>
      <c r="AE6" s="41">
        <v>0</v>
      </c>
      <c r="AF6" s="41">
        <v>12973.5</v>
      </c>
      <c r="AG6" s="41">
        <v>12974</v>
      </c>
      <c r="AH6" s="36">
        <v>45366</v>
      </c>
      <c r="AI6" s="36"/>
      <c r="AJ6" s="36"/>
      <c r="AK6" s="36">
        <v>45397</v>
      </c>
      <c r="AL6" s="36"/>
      <c r="AM6" s="46"/>
      <c r="AN6" s="40" t="s">
        <v>512</v>
      </c>
      <c r="AO6" s="40" t="s">
        <v>513</v>
      </c>
      <c r="AP6" s="40" t="s">
        <v>514</v>
      </c>
      <c r="AQ6" s="40" t="s">
        <v>58</v>
      </c>
      <c r="AR6" s="48">
        <v>0</v>
      </c>
      <c r="AS6" s="37">
        <v>100</v>
      </c>
      <c r="AT6" s="37" t="s">
        <v>386</v>
      </c>
      <c r="AU6" s="47">
        <v>30</v>
      </c>
      <c r="AV6" s="37" t="s">
        <v>60</v>
      </c>
      <c r="AW6" s="37">
        <v>10</v>
      </c>
      <c r="AX6" s="30">
        <v>16121260.305</v>
      </c>
      <c r="AY6" s="40" t="s">
        <v>402</v>
      </c>
    </row>
    <row r="7" spans="1:51" ht="42" customHeight="1" x14ac:dyDescent="0.25">
      <c r="A7" s="44" t="s">
        <v>806</v>
      </c>
      <c r="B7" s="46">
        <v>45259</v>
      </c>
      <c r="C7" s="40" t="s">
        <v>432</v>
      </c>
      <c r="D7" s="35" t="s">
        <v>807</v>
      </c>
      <c r="E7" s="39" t="s">
        <v>808</v>
      </c>
      <c r="F7" s="36">
        <v>45282</v>
      </c>
      <c r="G7" s="37" t="s">
        <v>809</v>
      </c>
      <c r="H7" s="40" t="s">
        <v>810</v>
      </c>
      <c r="I7" s="40" t="s">
        <v>811</v>
      </c>
      <c r="J7" s="54">
        <v>270804811.19999999</v>
      </c>
      <c r="K7" s="54">
        <v>270804811.19999999</v>
      </c>
      <c r="L7" s="54">
        <v>0</v>
      </c>
      <c r="M7" s="54">
        <v>0</v>
      </c>
      <c r="N7" s="42">
        <v>0</v>
      </c>
      <c r="O7" s="43">
        <v>0</v>
      </c>
      <c r="P7" s="41">
        <v>270804811.19999999</v>
      </c>
      <c r="Q7" s="43">
        <v>0</v>
      </c>
      <c r="R7" s="41">
        <v>270804811.19999999</v>
      </c>
      <c r="S7" s="30">
        <v>270804811.19999999</v>
      </c>
      <c r="T7" s="30">
        <v>270804811.19999999</v>
      </c>
      <c r="U7" s="30">
        <v>204.82</v>
      </c>
      <c r="V7" s="41">
        <v>204.82</v>
      </c>
      <c r="W7" s="41">
        <v>6144.5999999999995</v>
      </c>
      <c r="X7" s="41">
        <v>1322160</v>
      </c>
      <c r="Y7" s="41">
        <v>1322160</v>
      </c>
      <c r="Z7" s="41">
        <v>0</v>
      </c>
      <c r="AA7" s="41">
        <v>0</v>
      </c>
      <c r="AB7" s="41"/>
      <c r="AC7" s="41">
        <v>0</v>
      </c>
      <c r="AD7" s="41"/>
      <c r="AE7" s="41">
        <v>0</v>
      </c>
      <c r="AF7" s="41">
        <v>44072</v>
      </c>
      <c r="AG7" s="41">
        <v>44072</v>
      </c>
      <c r="AH7" s="36">
        <v>45323</v>
      </c>
      <c r="AI7" s="36"/>
      <c r="AJ7" s="36"/>
      <c r="AK7" s="36">
        <v>45352</v>
      </c>
      <c r="AL7" s="36"/>
      <c r="AM7" s="46"/>
      <c r="AN7" s="40" t="s">
        <v>812</v>
      </c>
      <c r="AO7" s="40" t="s">
        <v>813</v>
      </c>
      <c r="AP7" s="40" t="s">
        <v>814</v>
      </c>
      <c r="AQ7" s="40" t="s">
        <v>80</v>
      </c>
      <c r="AR7" s="48">
        <v>100</v>
      </c>
      <c r="AS7" s="37">
        <v>0</v>
      </c>
      <c r="AT7" s="37" t="s">
        <v>386</v>
      </c>
      <c r="AU7" s="47">
        <v>30</v>
      </c>
      <c r="AV7" s="37" t="s">
        <v>219</v>
      </c>
      <c r="AW7" s="37">
        <v>10</v>
      </c>
      <c r="AX7" s="30">
        <v>27080481.120000001</v>
      </c>
      <c r="AY7" s="40" t="s">
        <v>402</v>
      </c>
    </row>
    <row r="8" spans="1:51" ht="42" customHeight="1" x14ac:dyDescent="0.25">
      <c r="A8" s="44" t="s">
        <v>815</v>
      </c>
      <c r="B8" s="46">
        <v>45259</v>
      </c>
      <c r="C8" s="40" t="s">
        <v>432</v>
      </c>
      <c r="D8" s="35" t="s">
        <v>816</v>
      </c>
      <c r="E8" s="39" t="s">
        <v>817</v>
      </c>
      <c r="F8" s="36">
        <v>45282</v>
      </c>
      <c r="G8" s="37" t="s">
        <v>818</v>
      </c>
      <c r="H8" s="40" t="s">
        <v>810</v>
      </c>
      <c r="I8" s="40" t="s">
        <v>811</v>
      </c>
      <c r="J8" s="54">
        <v>204885542.40000001</v>
      </c>
      <c r="K8" s="54">
        <v>204885542.40000001</v>
      </c>
      <c r="L8" s="54">
        <v>0</v>
      </c>
      <c r="M8" s="54">
        <v>0</v>
      </c>
      <c r="N8" s="42">
        <v>0</v>
      </c>
      <c r="O8" s="43">
        <v>0</v>
      </c>
      <c r="P8" s="41">
        <v>204885542.40000001</v>
      </c>
      <c r="Q8" s="43">
        <v>0</v>
      </c>
      <c r="R8" s="41">
        <v>204885542.40000001</v>
      </c>
      <c r="S8" s="30">
        <v>204885542.40000001</v>
      </c>
      <c r="T8" s="30">
        <v>204885542.40000001</v>
      </c>
      <c r="U8" s="30">
        <v>204.82</v>
      </c>
      <c r="V8" s="41">
        <v>204.82</v>
      </c>
      <c r="W8" s="41">
        <v>6144.5999999999995</v>
      </c>
      <c r="X8" s="41">
        <v>1000320</v>
      </c>
      <c r="Y8" s="41">
        <v>1000320</v>
      </c>
      <c r="Z8" s="41">
        <v>0</v>
      </c>
      <c r="AA8" s="41">
        <v>0</v>
      </c>
      <c r="AB8" s="41"/>
      <c r="AC8" s="41">
        <v>0</v>
      </c>
      <c r="AD8" s="41"/>
      <c r="AE8" s="41">
        <v>0</v>
      </c>
      <c r="AF8" s="41">
        <v>33344</v>
      </c>
      <c r="AG8" s="41">
        <v>33344</v>
      </c>
      <c r="AH8" s="36">
        <v>45323</v>
      </c>
      <c r="AI8" s="36"/>
      <c r="AJ8" s="36"/>
      <c r="AK8" s="36">
        <v>45352</v>
      </c>
      <c r="AL8" s="36"/>
      <c r="AM8" s="46"/>
      <c r="AN8" s="40" t="s">
        <v>812</v>
      </c>
      <c r="AO8" s="40" t="s">
        <v>813</v>
      </c>
      <c r="AP8" s="40" t="s">
        <v>814</v>
      </c>
      <c r="AQ8" s="40" t="s">
        <v>80</v>
      </c>
      <c r="AR8" s="48">
        <v>100</v>
      </c>
      <c r="AS8" s="37">
        <v>0</v>
      </c>
      <c r="AT8" s="37" t="s">
        <v>386</v>
      </c>
      <c r="AU8" s="47">
        <v>30</v>
      </c>
      <c r="AV8" s="37" t="s">
        <v>219</v>
      </c>
      <c r="AW8" s="37">
        <v>10</v>
      </c>
      <c r="AX8" s="30">
        <v>20488554.239999998</v>
      </c>
      <c r="AY8" s="40" t="s">
        <v>95</v>
      </c>
    </row>
    <row r="9" spans="1:51" ht="42" customHeight="1" x14ac:dyDescent="0.25">
      <c r="A9" s="44" t="s">
        <v>827</v>
      </c>
      <c r="B9" s="46">
        <v>45264</v>
      </c>
      <c r="C9" s="40" t="s">
        <v>432</v>
      </c>
      <c r="D9" s="35" t="s">
        <v>828</v>
      </c>
      <c r="E9" s="39" t="s">
        <v>829</v>
      </c>
      <c r="F9" s="36">
        <v>45285</v>
      </c>
      <c r="G9" s="37" t="s">
        <v>830</v>
      </c>
      <c r="H9" s="40" t="s">
        <v>53</v>
      </c>
      <c r="I9" s="40" t="s">
        <v>831</v>
      </c>
      <c r="J9" s="54">
        <v>299991938.39999998</v>
      </c>
      <c r="K9" s="54">
        <v>299991938.39999998</v>
      </c>
      <c r="L9" s="54">
        <v>0</v>
      </c>
      <c r="M9" s="54">
        <v>0</v>
      </c>
      <c r="N9" s="42">
        <v>0</v>
      </c>
      <c r="O9" s="43">
        <v>0</v>
      </c>
      <c r="P9" s="41">
        <v>299991938.39999998</v>
      </c>
      <c r="Q9" s="43">
        <v>0</v>
      </c>
      <c r="R9" s="41">
        <v>299991938.39999998</v>
      </c>
      <c r="S9" s="30">
        <v>299991938.39999998</v>
      </c>
      <c r="T9" s="30">
        <v>299991938.39999998</v>
      </c>
      <c r="U9" s="30">
        <v>2248.9499999999998</v>
      </c>
      <c r="V9" s="41">
        <v>2248.9499999999998</v>
      </c>
      <c r="W9" s="41">
        <v>188911.8</v>
      </c>
      <c r="X9" s="41">
        <v>133392</v>
      </c>
      <c r="Y9" s="56">
        <v>76175.137799999997</v>
      </c>
      <c r="Z9" s="56">
        <v>57216.862200000003</v>
      </c>
      <c r="AA9" s="41">
        <v>0</v>
      </c>
      <c r="AB9" s="41"/>
      <c r="AC9" s="41">
        <v>0</v>
      </c>
      <c r="AD9" s="41"/>
      <c r="AE9" s="41">
        <v>0</v>
      </c>
      <c r="AF9" s="41">
        <v>1588</v>
      </c>
      <c r="AG9" s="41">
        <v>1588</v>
      </c>
      <c r="AH9" s="36">
        <v>45306</v>
      </c>
      <c r="AI9" s="36">
        <v>45366</v>
      </c>
      <c r="AJ9" s="36"/>
      <c r="AK9" s="36">
        <v>45337</v>
      </c>
      <c r="AL9" s="36">
        <v>45397</v>
      </c>
      <c r="AM9" s="46"/>
      <c r="AN9" s="40" t="s">
        <v>577</v>
      </c>
      <c r="AO9" s="40" t="s">
        <v>832</v>
      </c>
      <c r="AP9" s="40" t="s">
        <v>833</v>
      </c>
      <c r="AQ9" s="40" t="s">
        <v>58</v>
      </c>
      <c r="AR9" s="48">
        <v>0</v>
      </c>
      <c r="AS9" s="37">
        <v>100</v>
      </c>
      <c r="AT9" s="37" t="s">
        <v>386</v>
      </c>
      <c r="AU9" s="47">
        <v>84</v>
      </c>
      <c r="AV9" s="37" t="s">
        <v>60</v>
      </c>
      <c r="AW9" s="37">
        <v>10</v>
      </c>
      <c r="AX9" s="30">
        <v>29999193.84</v>
      </c>
      <c r="AY9" s="40" t="s">
        <v>834</v>
      </c>
    </row>
    <row r="10" spans="1:51" ht="69" customHeight="1" x14ac:dyDescent="0.25">
      <c r="A10" s="44" t="s">
        <v>996</v>
      </c>
      <c r="B10" s="46">
        <v>45273</v>
      </c>
      <c r="C10" s="40" t="s">
        <v>432</v>
      </c>
      <c r="D10" s="35" t="s">
        <v>997</v>
      </c>
      <c r="E10" s="39" t="s">
        <v>998</v>
      </c>
      <c r="F10" s="36">
        <v>45310</v>
      </c>
      <c r="G10" s="37" t="s">
        <v>999</v>
      </c>
      <c r="H10" s="40" t="s">
        <v>139</v>
      </c>
      <c r="I10" s="40" t="s">
        <v>1000</v>
      </c>
      <c r="J10" s="54">
        <v>997835333.39999998</v>
      </c>
      <c r="K10" s="54">
        <v>997835333.39999998</v>
      </c>
      <c r="L10" s="54">
        <v>0</v>
      </c>
      <c r="M10" s="54">
        <v>0</v>
      </c>
      <c r="N10" s="42">
        <v>0</v>
      </c>
      <c r="O10" s="43">
        <v>0</v>
      </c>
      <c r="P10" s="41">
        <v>997835333.39999998</v>
      </c>
      <c r="Q10" s="43">
        <v>0</v>
      </c>
      <c r="R10" s="41">
        <v>997835333.39999998</v>
      </c>
      <c r="S10" s="30">
        <v>997835333.39999998</v>
      </c>
      <c r="T10" s="30">
        <v>997835333.39999998</v>
      </c>
      <c r="U10" s="30">
        <v>524.30999999999995</v>
      </c>
      <c r="V10" s="41">
        <v>524.30999999999995</v>
      </c>
      <c r="W10" s="41">
        <v>15729.3</v>
      </c>
      <c r="X10" s="41">
        <v>1903140</v>
      </c>
      <c r="Y10" s="41">
        <v>1903140</v>
      </c>
      <c r="Z10" s="41">
        <v>0</v>
      </c>
      <c r="AA10" s="41">
        <v>0</v>
      </c>
      <c r="AB10" s="41"/>
      <c r="AC10" s="41">
        <v>0</v>
      </c>
      <c r="AD10" s="41"/>
      <c r="AE10" s="41">
        <v>0</v>
      </c>
      <c r="AF10" s="41">
        <v>63438</v>
      </c>
      <c r="AG10" s="41">
        <v>63438</v>
      </c>
      <c r="AH10" s="36">
        <v>45397</v>
      </c>
      <c r="AI10" s="36"/>
      <c r="AJ10" s="36"/>
      <c r="AK10" s="36">
        <v>45427</v>
      </c>
      <c r="AL10" s="36"/>
      <c r="AM10" s="46"/>
      <c r="AN10" s="40" t="s">
        <v>1001</v>
      </c>
      <c r="AO10" s="40" t="s">
        <v>1002</v>
      </c>
      <c r="AP10" s="40" t="s">
        <v>1003</v>
      </c>
      <c r="AQ10" s="40" t="s">
        <v>58</v>
      </c>
      <c r="AR10" s="48">
        <v>0</v>
      </c>
      <c r="AS10" s="37">
        <v>100</v>
      </c>
      <c r="AT10" s="37" t="s">
        <v>386</v>
      </c>
      <c r="AU10" s="47">
        <v>30</v>
      </c>
      <c r="AV10" s="37" t="s">
        <v>60</v>
      </c>
      <c r="AW10" s="37">
        <v>10</v>
      </c>
      <c r="AX10" s="30">
        <v>99783533.340000004</v>
      </c>
      <c r="AY10" s="40" t="s">
        <v>402</v>
      </c>
    </row>
    <row r="11" spans="1:51" ht="69.75" customHeight="1" x14ac:dyDescent="0.25">
      <c r="A11" s="44" t="s">
        <v>1004</v>
      </c>
      <c r="B11" s="46">
        <v>45273</v>
      </c>
      <c r="C11" s="40" t="s">
        <v>432</v>
      </c>
      <c r="D11" s="35" t="s">
        <v>1005</v>
      </c>
      <c r="E11" s="39" t="s">
        <v>1006</v>
      </c>
      <c r="F11" s="36">
        <v>45309</v>
      </c>
      <c r="G11" s="37" t="s">
        <v>1007</v>
      </c>
      <c r="H11" s="40" t="s">
        <v>139</v>
      </c>
      <c r="I11" s="40" t="s">
        <v>1008</v>
      </c>
      <c r="J11" s="54">
        <v>433303291.19999999</v>
      </c>
      <c r="K11" s="54">
        <v>433303291.19999999</v>
      </c>
      <c r="L11" s="54">
        <v>0</v>
      </c>
      <c r="M11" s="54">
        <v>0</v>
      </c>
      <c r="N11" s="42">
        <v>0</v>
      </c>
      <c r="O11" s="43">
        <v>0</v>
      </c>
      <c r="P11" s="41">
        <v>433303291.19999999</v>
      </c>
      <c r="Q11" s="43">
        <v>0</v>
      </c>
      <c r="R11" s="41">
        <v>433303291.19999999</v>
      </c>
      <c r="S11" s="30">
        <v>433303291.19999999</v>
      </c>
      <c r="T11" s="30">
        <v>433303291.19999999</v>
      </c>
      <c r="U11" s="30">
        <v>524.31999999999994</v>
      </c>
      <c r="V11" s="41">
        <v>524.31999999999994</v>
      </c>
      <c r="W11" s="41">
        <v>15729.599999999999</v>
      </c>
      <c r="X11" s="41">
        <v>826410</v>
      </c>
      <c r="Y11" s="41">
        <v>826410</v>
      </c>
      <c r="Z11" s="41">
        <v>0</v>
      </c>
      <c r="AA11" s="41">
        <v>0</v>
      </c>
      <c r="AB11" s="41"/>
      <c r="AC11" s="41">
        <v>0</v>
      </c>
      <c r="AD11" s="41"/>
      <c r="AE11" s="41">
        <v>0</v>
      </c>
      <c r="AF11" s="41">
        <v>27547</v>
      </c>
      <c r="AG11" s="41">
        <v>27547</v>
      </c>
      <c r="AH11" s="36">
        <v>45397</v>
      </c>
      <c r="AI11" s="36"/>
      <c r="AJ11" s="36"/>
      <c r="AK11" s="36">
        <v>45427</v>
      </c>
      <c r="AL11" s="36"/>
      <c r="AM11" s="46"/>
      <c r="AN11" s="40" t="s">
        <v>1009</v>
      </c>
      <c r="AO11" s="40" t="s">
        <v>1010</v>
      </c>
      <c r="AP11" s="40" t="s">
        <v>1011</v>
      </c>
      <c r="AQ11" s="40" t="s">
        <v>58</v>
      </c>
      <c r="AR11" s="48">
        <v>0</v>
      </c>
      <c r="AS11" s="37">
        <v>100</v>
      </c>
      <c r="AT11" s="37" t="s">
        <v>386</v>
      </c>
      <c r="AU11" s="47">
        <v>30</v>
      </c>
      <c r="AV11" s="37" t="s">
        <v>60</v>
      </c>
      <c r="AW11" s="37">
        <v>10</v>
      </c>
      <c r="AX11" s="30">
        <v>43330329.119999997</v>
      </c>
      <c r="AY11" s="40" t="s">
        <v>402</v>
      </c>
    </row>
    <row r="12" spans="1:51" ht="66" customHeight="1" x14ac:dyDescent="0.25">
      <c r="A12" s="44" t="s">
        <v>1028</v>
      </c>
      <c r="B12" s="46">
        <v>45275</v>
      </c>
      <c r="C12" s="40" t="s">
        <v>432</v>
      </c>
      <c r="D12" s="35" t="s">
        <v>1029</v>
      </c>
      <c r="E12" s="39" t="s">
        <v>1030</v>
      </c>
      <c r="F12" s="36">
        <v>45314</v>
      </c>
      <c r="G12" s="37" t="s">
        <v>1031</v>
      </c>
      <c r="H12" s="40" t="s">
        <v>810</v>
      </c>
      <c r="I12" s="40" t="s">
        <v>811</v>
      </c>
      <c r="J12" s="54">
        <v>1526748762</v>
      </c>
      <c r="K12" s="54">
        <v>1526748762</v>
      </c>
      <c r="L12" s="54">
        <v>0</v>
      </c>
      <c r="M12" s="54">
        <v>0</v>
      </c>
      <c r="N12" s="42">
        <v>0</v>
      </c>
      <c r="O12" s="43">
        <v>0</v>
      </c>
      <c r="P12" s="41">
        <v>1526748762</v>
      </c>
      <c r="Q12" s="43">
        <v>0</v>
      </c>
      <c r="R12" s="41">
        <v>1526748762</v>
      </c>
      <c r="S12" s="30">
        <v>1526748762</v>
      </c>
      <c r="T12" s="30">
        <v>1526748762</v>
      </c>
      <c r="U12" s="30">
        <v>204.82</v>
      </c>
      <c r="V12" s="41">
        <v>204.82</v>
      </c>
      <c r="W12" s="41">
        <v>6144.5999999999995</v>
      </c>
      <c r="X12" s="41">
        <v>7454100</v>
      </c>
      <c r="Y12" s="41">
        <v>7454100</v>
      </c>
      <c r="Z12" s="41">
        <v>0</v>
      </c>
      <c r="AA12" s="41">
        <v>0</v>
      </c>
      <c r="AB12" s="41"/>
      <c r="AC12" s="41">
        <v>0</v>
      </c>
      <c r="AD12" s="41"/>
      <c r="AE12" s="41">
        <v>0</v>
      </c>
      <c r="AF12" s="41">
        <v>248470</v>
      </c>
      <c r="AG12" s="41">
        <v>248470</v>
      </c>
      <c r="AH12" s="36">
        <v>45383</v>
      </c>
      <c r="AI12" s="36"/>
      <c r="AJ12" s="36"/>
      <c r="AK12" s="36">
        <v>45413</v>
      </c>
      <c r="AL12" s="36"/>
      <c r="AM12" s="46"/>
      <c r="AN12" s="40" t="s">
        <v>1032</v>
      </c>
      <c r="AO12" s="40" t="s">
        <v>1033</v>
      </c>
      <c r="AP12" s="40" t="s">
        <v>1034</v>
      </c>
      <c r="AQ12" s="40" t="s">
        <v>80</v>
      </c>
      <c r="AR12" s="48">
        <v>100</v>
      </c>
      <c r="AS12" s="37">
        <v>0</v>
      </c>
      <c r="AT12" s="37" t="s">
        <v>386</v>
      </c>
      <c r="AU12" s="47">
        <v>30</v>
      </c>
      <c r="AV12" s="37" t="s">
        <v>60</v>
      </c>
      <c r="AW12" s="37">
        <v>10</v>
      </c>
      <c r="AX12" s="30">
        <v>152674876.19999999</v>
      </c>
      <c r="AY12" s="40" t="s">
        <v>402</v>
      </c>
    </row>
    <row r="13" spans="1:51" s="58" customFormat="1" ht="66" customHeight="1" x14ac:dyDescent="0.25">
      <c r="A13" s="44" t="s">
        <v>1035</v>
      </c>
      <c r="B13" s="46">
        <v>45275</v>
      </c>
      <c r="C13" s="40" t="s">
        <v>432</v>
      </c>
      <c r="D13" s="35" t="s">
        <v>1036</v>
      </c>
      <c r="E13" s="39" t="s">
        <v>1037</v>
      </c>
      <c r="F13" s="36">
        <v>45314</v>
      </c>
      <c r="G13" s="37" t="s">
        <v>1038</v>
      </c>
      <c r="H13" s="40" t="s">
        <v>810</v>
      </c>
      <c r="I13" s="40" t="s">
        <v>811</v>
      </c>
      <c r="J13" s="54">
        <v>1140112096.2</v>
      </c>
      <c r="K13" s="54">
        <v>1140112096.2</v>
      </c>
      <c r="L13" s="54">
        <v>0</v>
      </c>
      <c r="M13" s="54">
        <v>0</v>
      </c>
      <c r="N13" s="42">
        <v>0</v>
      </c>
      <c r="O13" s="43">
        <v>0</v>
      </c>
      <c r="P13" s="41">
        <v>1140112096.2</v>
      </c>
      <c r="Q13" s="43">
        <v>0</v>
      </c>
      <c r="R13" s="41">
        <v>1140112096.2</v>
      </c>
      <c r="S13" s="30">
        <v>1140112096.2</v>
      </c>
      <c r="T13" s="30">
        <v>1140112096.2</v>
      </c>
      <c r="U13" s="30">
        <v>204.82000000000002</v>
      </c>
      <c r="V13" s="41">
        <v>204.82000000000002</v>
      </c>
      <c r="W13" s="41">
        <v>6144.6</v>
      </c>
      <c r="X13" s="41">
        <v>5566410</v>
      </c>
      <c r="Y13" s="41">
        <v>5566410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185547</v>
      </c>
      <c r="AG13" s="41">
        <v>185547</v>
      </c>
      <c r="AH13" s="36">
        <v>45352</v>
      </c>
      <c r="AI13" s="36"/>
      <c r="AJ13" s="36"/>
      <c r="AK13" s="36">
        <v>45383</v>
      </c>
      <c r="AL13" s="36"/>
      <c r="AM13" s="46"/>
      <c r="AN13" s="40" t="s">
        <v>812</v>
      </c>
      <c r="AO13" s="40" t="s">
        <v>813</v>
      </c>
      <c r="AP13" s="40" t="s">
        <v>814</v>
      </c>
      <c r="AQ13" s="40" t="s">
        <v>80</v>
      </c>
      <c r="AR13" s="48">
        <v>100</v>
      </c>
      <c r="AS13" s="37">
        <v>0</v>
      </c>
      <c r="AT13" s="37" t="s">
        <v>386</v>
      </c>
      <c r="AU13" s="47">
        <v>30</v>
      </c>
      <c r="AV13" s="37" t="s">
        <v>219</v>
      </c>
      <c r="AW13" s="37">
        <v>10</v>
      </c>
      <c r="AX13" s="30">
        <v>114011209.62</v>
      </c>
      <c r="AY13" s="40" t="s">
        <v>402</v>
      </c>
    </row>
    <row r="14" spans="1:51" ht="58.5" customHeight="1" x14ac:dyDescent="0.25">
      <c r="A14" s="44" t="s">
        <v>1239</v>
      </c>
      <c r="B14" s="46">
        <v>45287</v>
      </c>
      <c r="C14" s="40" t="s">
        <v>432</v>
      </c>
      <c r="D14" s="35" t="s">
        <v>1240</v>
      </c>
      <c r="E14" s="39" t="s">
        <v>1241</v>
      </c>
      <c r="F14" s="36">
        <v>45317</v>
      </c>
      <c r="G14" s="37" t="s">
        <v>1242</v>
      </c>
      <c r="H14" s="40" t="s">
        <v>224</v>
      </c>
      <c r="I14" s="40" t="s">
        <v>491</v>
      </c>
      <c r="J14" s="54">
        <v>64380912</v>
      </c>
      <c r="K14" s="54">
        <v>64380912</v>
      </c>
      <c r="L14" s="54">
        <v>0</v>
      </c>
      <c r="M14" s="54">
        <v>0</v>
      </c>
      <c r="N14" s="42">
        <v>0</v>
      </c>
      <c r="O14" s="43">
        <v>0</v>
      </c>
      <c r="P14" s="41">
        <v>64380912</v>
      </c>
      <c r="Q14" s="43">
        <v>0</v>
      </c>
      <c r="R14" s="41">
        <v>64380912</v>
      </c>
      <c r="S14" s="30">
        <v>64380912</v>
      </c>
      <c r="T14" s="30">
        <v>64380912</v>
      </c>
      <c r="U14" s="30">
        <v>17.3</v>
      </c>
      <c r="V14" s="41">
        <v>17.3</v>
      </c>
      <c r="W14" s="41">
        <v>1038</v>
      </c>
      <c r="X14" s="41">
        <v>3721440</v>
      </c>
      <c r="Y14" s="41">
        <v>3721440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62024</v>
      </c>
      <c r="AG14" s="41">
        <v>62024</v>
      </c>
      <c r="AH14" s="36">
        <v>45382</v>
      </c>
      <c r="AI14" s="36"/>
      <c r="AJ14" s="36"/>
      <c r="AK14" s="36">
        <v>45413</v>
      </c>
      <c r="AL14" s="36"/>
      <c r="AM14" s="46"/>
      <c r="AN14" s="40" t="s">
        <v>1243</v>
      </c>
      <c r="AO14" s="40" t="s">
        <v>1244</v>
      </c>
      <c r="AP14" s="40" t="s">
        <v>1245</v>
      </c>
      <c r="AQ14" s="40" t="s">
        <v>80</v>
      </c>
      <c r="AR14" s="48">
        <v>100</v>
      </c>
      <c r="AS14" s="37">
        <v>0</v>
      </c>
      <c r="AT14" s="37" t="s">
        <v>386</v>
      </c>
      <c r="AU14" s="47">
        <v>60</v>
      </c>
      <c r="AV14" s="37" t="s">
        <v>60</v>
      </c>
      <c r="AW14" s="37">
        <v>10</v>
      </c>
      <c r="AX14" s="30">
        <v>6438091.2000000002</v>
      </c>
      <c r="AY14" s="40" t="s">
        <v>402</v>
      </c>
    </row>
    <row r="15" spans="1:51" ht="58.5" customHeight="1" x14ac:dyDescent="0.25">
      <c r="A15" s="44" t="s">
        <v>1246</v>
      </c>
      <c r="B15" s="46">
        <v>45287</v>
      </c>
      <c r="C15" s="40" t="s">
        <v>432</v>
      </c>
      <c r="D15" s="35" t="s">
        <v>1247</v>
      </c>
      <c r="E15" s="39" t="s">
        <v>1248</v>
      </c>
      <c r="F15" s="36">
        <v>45317</v>
      </c>
      <c r="G15" s="37" t="s">
        <v>1249</v>
      </c>
      <c r="H15" s="40" t="s">
        <v>224</v>
      </c>
      <c r="I15" s="40" t="s">
        <v>1250</v>
      </c>
      <c r="J15" s="54">
        <v>18012532.800000001</v>
      </c>
      <c r="K15" s="54">
        <v>18012532.800000001</v>
      </c>
      <c r="L15" s="54">
        <v>0</v>
      </c>
      <c r="M15" s="54">
        <v>0</v>
      </c>
      <c r="N15" s="42">
        <v>0</v>
      </c>
      <c r="O15" s="43">
        <v>0</v>
      </c>
      <c r="P15" s="41">
        <v>18012532.800000001</v>
      </c>
      <c r="Q15" s="43">
        <v>0</v>
      </c>
      <c r="R15" s="41">
        <v>18012532.800000001</v>
      </c>
      <c r="S15" s="30">
        <v>18012532.800000001</v>
      </c>
      <c r="T15" s="30">
        <v>18012532.800000001</v>
      </c>
      <c r="U15" s="30">
        <v>110.86</v>
      </c>
      <c r="V15" s="41">
        <v>110.86</v>
      </c>
      <c r="W15" s="41">
        <v>13303.2</v>
      </c>
      <c r="X15" s="41">
        <v>162480</v>
      </c>
      <c r="Y15" s="41">
        <v>162480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1354</v>
      </c>
      <c r="AG15" s="41">
        <v>1354</v>
      </c>
      <c r="AH15" s="36">
        <v>45383</v>
      </c>
      <c r="AI15" s="36"/>
      <c r="AJ15" s="36"/>
      <c r="AK15" s="36">
        <v>45413</v>
      </c>
      <c r="AL15" s="36"/>
      <c r="AM15" s="46"/>
      <c r="AN15" s="40" t="s">
        <v>1251</v>
      </c>
      <c r="AO15" s="40" t="s">
        <v>1252</v>
      </c>
      <c r="AP15" s="40" t="s">
        <v>1253</v>
      </c>
      <c r="AQ15" s="40" t="s">
        <v>80</v>
      </c>
      <c r="AR15" s="48">
        <v>100</v>
      </c>
      <c r="AS15" s="37">
        <v>0</v>
      </c>
      <c r="AT15" s="37" t="s">
        <v>386</v>
      </c>
      <c r="AU15" s="47">
        <v>120</v>
      </c>
      <c r="AV15" s="37" t="s">
        <v>60</v>
      </c>
      <c r="AW15" s="37">
        <v>10</v>
      </c>
      <c r="AX15" s="30">
        <v>1801253.28</v>
      </c>
      <c r="AY15" s="40" t="s">
        <v>402</v>
      </c>
    </row>
    <row r="16" spans="1:51" ht="58.5" customHeight="1" x14ac:dyDescent="0.25">
      <c r="A16" s="44" t="s">
        <v>1254</v>
      </c>
      <c r="B16" s="46">
        <v>45287</v>
      </c>
      <c r="C16" s="40" t="s">
        <v>432</v>
      </c>
      <c r="D16" s="35" t="s">
        <v>1255</v>
      </c>
      <c r="E16" s="39" t="s">
        <v>1256</v>
      </c>
      <c r="F16" s="36" t="s">
        <v>1255</v>
      </c>
      <c r="G16" s="37" t="s">
        <v>1255</v>
      </c>
      <c r="H16" s="37" t="s">
        <v>1255</v>
      </c>
      <c r="I16" s="40" t="s">
        <v>1257</v>
      </c>
      <c r="J16" s="54">
        <v>7038016</v>
      </c>
      <c r="K16" s="54">
        <v>7038016</v>
      </c>
      <c r="L16" s="54"/>
      <c r="M16" s="54"/>
      <c r="N16" s="42">
        <v>100</v>
      </c>
      <c r="O16" s="43">
        <v>7038016</v>
      </c>
      <c r="P16" s="41"/>
      <c r="Q16" s="43">
        <v>7038016</v>
      </c>
      <c r="R16" s="41">
        <v>0</v>
      </c>
      <c r="S16" s="30">
        <v>0</v>
      </c>
      <c r="T16" s="30">
        <v>0</v>
      </c>
      <c r="U16" s="30" t="e">
        <v>#DIV/0!</v>
      </c>
      <c r="V16" s="41" t="e">
        <v>#DIV/0!</v>
      </c>
      <c r="W16" s="41" t="e">
        <v>#DIV/0!</v>
      </c>
      <c r="X16" s="41">
        <v>0</v>
      </c>
      <c r="Y16" s="41">
        <v>0</v>
      </c>
      <c r="Z16" s="41">
        <v>0</v>
      </c>
      <c r="AA16" s="41">
        <v>0</v>
      </c>
      <c r="AB16" s="41"/>
      <c r="AC16" s="41" t="e">
        <v>#DIV/0!</v>
      </c>
      <c r="AD16" s="41"/>
      <c r="AE16" s="41" t="e">
        <v>#DIV/0!</v>
      </c>
      <c r="AF16" s="41" t="e">
        <v>#DIV/0!</v>
      </c>
      <c r="AG16" s="41" t="e">
        <v>#DIV/0!</v>
      </c>
      <c r="AH16" s="36">
        <v>45337</v>
      </c>
      <c r="AI16" s="36"/>
      <c r="AJ16" s="36"/>
      <c r="AK16" s="36"/>
      <c r="AL16" s="36"/>
      <c r="AM16" s="46"/>
      <c r="AN16" s="40"/>
      <c r="AO16" s="40"/>
      <c r="AP16" s="40"/>
      <c r="AQ16" s="40"/>
      <c r="AR16" s="48"/>
      <c r="AS16" s="37"/>
      <c r="AT16" s="37"/>
      <c r="AU16" s="47"/>
      <c r="AV16" s="37"/>
      <c r="AW16" s="37">
        <v>10</v>
      </c>
      <c r="AX16" s="30">
        <v>703801.6</v>
      </c>
      <c r="AY16" s="37" t="s">
        <v>1255</v>
      </c>
    </row>
    <row r="17" spans="1:51" ht="58.5" customHeight="1" x14ac:dyDescent="0.25">
      <c r="A17" s="44" t="s">
        <v>1258</v>
      </c>
      <c r="B17" s="46">
        <v>45287</v>
      </c>
      <c r="C17" s="40" t="s">
        <v>432</v>
      </c>
      <c r="D17" s="35" t="s">
        <v>431</v>
      </c>
      <c r="E17" s="39" t="s">
        <v>1259</v>
      </c>
      <c r="F17" s="36" t="s">
        <v>431</v>
      </c>
      <c r="G17" s="37" t="s">
        <v>431</v>
      </c>
      <c r="H17" s="40" t="s">
        <v>431</v>
      </c>
      <c r="I17" s="40" t="s">
        <v>1260</v>
      </c>
      <c r="J17" s="54">
        <v>2030112</v>
      </c>
      <c r="K17" s="54">
        <v>2030112</v>
      </c>
      <c r="L17" s="54"/>
      <c r="M17" s="54"/>
      <c r="N17" s="42">
        <v>100</v>
      </c>
      <c r="O17" s="43">
        <v>2030112</v>
      </c>
      <c r="P17" s="41"/>
      <c r="Q17" s="43">
        <v>2030112</v>
      </c>
      <c r="R17" s="41">
        <v>0</v>
      </c>
      <c r="S17" s="30">
        <v>0</v>
      </c>
      <c r="T17" s="30">
        <v>0</v>
      </c>
      <c r="U17" s="30" t="e">
        <v>#DIV/0!</v>
      </c>
      <c r="V17" s="41" t="e">
        <v>#DIV/0!</v>
      </c>
      <c r="W17" s="41" t="e">
        <v>#DIV/0!</v>
      </c>
      <c r="X17" s="41">
        <v>0</v>
      </c>
      <c r="Y17" s="41">
        <v>0</v>
      </c>
      <c r="Z17" s="41">
        <v>0</v>
      </c>
      <c r="AA17" s="41">
        <v>0</v>
      </c>
      <c r="AB17" s="41"/>
      <c r="AC17" s="41" t="e">
        <v>#DIV/0!</v>
      </c>
      <c r="AD17" s="41"/>
      <c r="AE17" s="41" t="e">
        <v>#DIV/0!</v>
      </c>
      <c r="AF17" s="41" t="e">
        <v>#DIV/0!</v>
      </c>
      <c r="AG17" s="41" t="e">
        <v>#DIV/0!</v>
      </c>
      <c r="AH17" s="36">
        <v>45383</v>
      </c>
      <c r="AI17" s="36"/>
      <c r="AJ17" s="36"/>
      <c r="AK17" s="36"/>
      <c r="AL17" s="36"/>
      <c r="AM17" s="46"/>
      <c r="AN17" s="40"/>
      <c r="AO17" s="40"/>
      <c r="AP17" s="40"/>
      <c r="AQ17" s="40"/>
      <c r="AR17" s="48"/>
      <c r="AS17" s="37"/>
      <c r="AT17" s="37"/>
      <c r="AU17" s="47"/>
      <c r="AV17" s="37"/>
      <c r="AW17" s="37">
        <v>10</v>
      </c>
      <c r="AX17" s="30">
        <v>203011.20000000001</v>
      </c>
      <c r="AY17" s="40" t="s">
        <v>431</v>
      </c>
    </row>
    <row r="18" spans="1:51" ht="58.5" customHeight="1" x14ac:dyDescent="0.25">
      <c r="A18" s="44" t="s">
        <v>1267</v>
      </c>
      <c r="B18" s="46">
        <v>45287</v>
      </c>
      <c r="C18" s="40" t="s">
        <v>432</v>
      </c>
      <c r="D18" s="35" t="s">
        <v>1268</v>
      </c>
      <c r="E18" s="39" t="s">
        <v>1269</v>
      </c>
      <c r="F18" s="36">
        <v>45317</v>
      </c>
      <c r="G18" s="37" t="s">
        <v>1270</v>
      </c>
      <c r="H18" s="40" t="s">
        <v>139</v>
      </c>
      <c r="I18" s="40" t="s">
        <v>1271</v>
      </c>
      <c r="J18" s="54">
        <v>253458935.40000001</v>
      </c>
      <c r="K18" s="54">
        <v>253458935.40000001</v>
      </c>
      <c r="L18" s="54">
        <v>0</v>
      </c>
      <c r="M18" s="54">
        <v>0</v>
      </c>
      <c r="N18" s="42">
        <v>0</v>
      </c>
      <c r="O18" s="43">
        <v>0</v>
      </c>
      <c r="P18" s="41">
        <v>253458935.40000001</v>
      </c>
      <c r="Q18" s="43">
        <v>0</v>
      </c>
      <c r="R18" s="41">
        <v>253458935.40000001</v>
      </c>
      <c r="S18" s="30">
        <v>253458935.40000001</v>
      </c>
      <c r="T18" s="30">
        <v>253458935.40000001</v>
      </c>
      <c r="U18" s="30">
        <v>835.01</v>
      </c>
      <c r="V18" s="41">
        <v>835.01</v>
      </c>
      <c r="W18" s="41">
        <v>25050.3</v>
      </c>
      <c r="X18" s="41">
        <v>303540</v>
      </c>
      <c r="Y18" s="41">
        <v>303540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10118</v>
      </c>
      <c r="AG18" s="41">
        <v>10118</v>
      </c>
      <c r="AH18" s="36">
        <v>45352</v>
      </c>
      <c r="AI18" s="36"/>
      <c r="AJ18" s="36"/>
      <c r="AK18" s="36">
        <v>45383</v>
      </c>
      <c r="AL18" s="36"/>
      <c r="AM18" s="46"/>
      <c r="AN18" s="40" t="s">
        <v>1272</v>
      </c>
      <c r="AO18" s="40" t="s">
        <v>1273</v>
      </c>
      <c r="AP18" s="40" t="s">
        <v>1274</v>
      </c>
      <c r="AQ18" s="40" t="s">
        <v>1275</v>
      </c>
      <c r="AR18" s="48">
        <v>0</v>
      </c>
      <c r="AS18" s="37">
        <v>100</v>
      </c>
      <c r="AT18" s="37" t="s">
        <v>386</v>
      </c>
      <c r="AU18" s="47">
        <v>30</v>
      </c>
      <c r="AV18" s="37" t="s">
        <v>60</v>
      </c>
      <c r="AW18" s="37">
        <v>10</v>
      </c>
      <c r="AX18" s="30">
        <v>25345893.539999999</v>
      </c>
      <c r="AY18" s="40" t="s">
        <v>402</v>
      </c>
    </row>
    <row r="19" spans="1:51" ht="58.5" customHeight="1" x14ac:dyDescent="0.25">
      <c r="A19" s="44" t="s">
        <v>1290</v>
      </c>
      <c r="B19" s="46">
        <v>45287</v>
      </c>
      <c r="C19" s="40" t="s">
        <v>432</v>
      </c>
      <c r="D19" s="35" t="s">
        <v>1291</v>
      </c>
      <c r="E19" s="39" t="s">
        <v>1292</v>
      </c>
      <c r="F19" s="36">
        <v>45320</v>
      </c>
      <c r="G19" s="37" t="s">
        <v>1293</v>
      </c>
      <c r="H19" s="40" t="s">
        <v>224</v>
      </c>
      <c r="I19" s="40" t="s">
        <v>1294</v>
      </c>
      <c r="J19" s="54">
        <v>2669581.2000000002</v>
      </c>
      <c r="K19" s="54">
        <v>2669581.2000000002</v>
      </c>
      <c r="L19" s="54">
        <v>0</v>
      </c>
      <c r="M19" s="54">
        <v>0</v>
      </c>
      <c r="N19" s="42">
        <v>0</v>
      </c>
      <c r="O19" s="43">
        <v>0</v>
      </c>
      <c r="P19" s="41">
        <v>2669581.2000000002</v>
      </c>
      <c r="Q19" s="43">
        <v>0</v>
      </c>
      <c r="R19" s="41">
        <v>2669581.2000000002</v>
      </c>
      <c r="S19" s="30">
        <v>2669581.2000000002</v>
      </c>
      <c r="T19" s="30">
        <v>2669581.2000000002</v>
      </c>
      <c r="U19" s="30">
        <v>13.24</v>
      </c>
      <c r="V19" s="41">
        <v>13.24</v>
      </c>
      <c r="W19" s="41">
        <v>794.4</v>
      </c>
      <c r="X19" s="41">
        <v>201630</v>
      </c>
      <c r="Y19" s="41">
        <v>201630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3360.5</v>
      </c>
      <c r="AG19" s="41">
        <v>3361</v>
      </c>
      <c r="AH19" s="36">
        <v>45382</v>
      </c>
      <c r="AI19" s="36"/>
      <c r="AJ19" s="36"/>
      <c r="AK19" s="36">
        <v>45413</v>
      </c>
      <c r="AL19" s="36"/>
      <c r="AM19" s="46"/>
      <c r="AN19" s="40" t="s">
        <v>1295</v>
      </c>
      <c r="AO19" s="40" t="s">
        <v>1296</v>
      </c>
      <c r="AP19" s="40" t="s">
        <v>1297</v>
      </c>
      <c r="AQ19" s="40" t="s">
        <v>80</v>
      </c>
      <c r="AR19" s="48">
        <v>100</v>
      </c>
      <c r="AS19" s="37">
        <v>0</v>
      </c>
      <c r="AT19" s="37" t="s">
        <v>386</v>
      </c>
      <c r="AU19" s="47">
        <v>60</v>
      </c>
      <c r="AV19" s="37" t="s">
        <v>60</v>
      </c>
      <c r="AW19" s="37">
        <v>10</v>
      </c>
      <c r="AX19" s="30">
        <v>266958.12</v>
      </c>
      <c r="AY19" s="40" t="s">
        <v>402</v>
      </c>
    </row>
    <row r="20" spans="1:51" ht="58.5" customHeight="1" x14ac:dyDescent="0.25">
      <c r="A20" s="44" t="s">
        <v>1298</v>
      </c>
      <c r="B20" s="46">
        <v>45287</v>
      </c>
      <c r="C20" s="40" t="s">
        <v>432</v>
      </c>
      <c r="D20" s="35" t="s">
        <v>1255</v>
      </c>
      <c r="E20" s="39" t="s">
        <v>1299</v>
      </c>
      <c r="F20" s="36" t="s">
        <v>1255</v>
      </c>
      <c r="G20" s="37" t="s">
        <v>1255</v>
      </c>
      <c r="H20" s="40" t="s">
        <v>1255</v>
      </c>
      <c r="I20" s="40" t="s">
        <v>1300</v>
      </c>
      <c r="J20" s="54">
        <v>8321227.2000000002</v>
      </c>
      <c r="K20" s="54">
        <v>8321227.2000000002</v>
      </c>
      <c r="L20" s="54">
        <v>0</v>
      </c>
      <c r="M20" s="54">
        <v>0</v>
      </c>
      <c r="N20" s="42">
        <v>100</v>
      </c>
      <c r="O20" s="43">
        <v>8321227.2000000002</v>
      </c>
      <c r="P20" s="41"/>
      <c r="Q20" s="43">
        <v>8321227.2000000002</v>
      </c>
      <c r="R20" s="41">
        <v>0</v>
      </c>
      <c r="S20" s="30">
        <v>0</v>
      </c>
      <c r="T20" s="30">
        <v>0</v>
      </c>
      <c r="U20" s="30" t="e">
        <v>#DIV/0!</v>
      </c>
      <c r="V20" s="41" t="e">
        <v>#DIV/0!</v>
      </c>
      <c r="W20" s="41" t="e">
        <v>#DIV/0!</v>
      </c>
      <c r="X20" s="41">
        <v>0</v>
      </c>
      <c r="Y20" s="41">
        <v>0</v>
      </c>
      <c r="Z20" s="41">
        <v>0</v>
      </c>
      <c r="AA20" s="41">
        <v>0</v>
      </c>
      <c r="AB20" s="41"/>
      <c r="AC20" s="41" t="e">
        <v>#DIV/0!</v>
      </c>
      <c r="AD20" s="41"/>
      <c r="AE20" s="41" t="e">
        <v>#DIV/0!</v>
      </c>
      <c r="AF20" s="41" t="e">
        <v>#DIV/0!</v>
      </c>
      <c r="AG20" s="41" t="e">
        <v>#DIV/0!</v>
      </c>
      <c r="AH20" s="36">
        <v>45382</v>
      </c>
      <c r="AI20" s="36"/>
      <c r="AJ20" s="36"/>
      <c r="AK20" s="36"/>
      <c r="AL20" s="36"/>
      <c r="AM20" s="46"/>
      <c r="AN20" s="40"/>
      <c r="AO20" s="40"/>
      <c r="AP20" s="40"/>
      <c r="AQ20" s="40"/>
      <c r="AR20" s="48"/>
      <c r="AS20" s="37"/>
      <c r="AT20" s="37"/>
      <c r="AU20" s="47"/>
      <c r="AV20" s="37"/>
      <c r="AW20" s="37">
        <v>10</v>
      </c>
      <c r="AX20" s="30">
        <v>832122.72</v>
      </c>
      <c r="AY20" s="40" t="s">
        <v>1255</v>
      </c>
    </row>
    <row r="21" spans="1:51" ht="58.5" customHeight="1" x14ac:dyDescent="0.25">
      <c r="A21" s="44" t="s">
        <v>1354</v>
      </c>
      <c r="B21" s="46">
        <v>45288</v>
      </c>
      <c r="C21" s="40" t="s">
        <v>432</v>
      </c>
      <c r="D21" s="35" t="s">
        <v>1355</v>
      </c>
      <c r="E21" s="39" t="s">
        <v>1356</v>
      </c>
      <c r="F21" s="36">
        <v>45320</v>
      </c>
      <c r="G21" s="37" t="s">
        <v>1357</v>
      </c>
      <c r="H21" s="40" t="s">
        <v>139</v>
      </c>
      <c r="I21" s="40" t="s">
        <v>1358</v>
      </c>
      <c r="J21" s="54">
        <v>1031720792.4</v>
      </c>
      <c r="K21" s="54">
        <v>1031720792.4</v>
      </c>
      <c r="L21" s="54">
        <v>0</v>
      </c>
      <c r="M21" s="54">
        <v>0</v>
      </c>
      <c r="N21" s="42">
        <v>0</v>
      </c>
      <c r="O21" s="43">
        <v>0</v>
      </c>
      <c r="P21" s="41">
        <v>1031720792.4</v>
      </c>
      <c r="Q21" s="43">
        <v>0</v>
      </c>
      <c r="R21" s="41">
        <v>1031720792.4</v>
      </c>
      <c r="S21" s="30">
        <v>1031720792.4</v>
      </c>
      <c r="T21" s="30">
        <v>1031720792.4</v>
      </c>
      <c r="U21" s="30">
        <v>201.66</v>
      </c>
      <c r="V21" s="41">
        <v>201.66</v>
      </c>
      <c r="W21" s="41">
        <v>6049.8</v>
      </c>
      <c r="X21" s="41">
        <v>5116140</v>
      </c>
      <c r="Y21" s="41">
        <v>5116140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170538</v>
      </c>
      <c r="AG21" s="41">
        <v>170538</v>
      </c>
      <c r="AH21" s="36">
        <v>45397</v>
      </c>
      <c r="AI21" s="36"/>
      <c r="AJ21" s="36"/>
      <c r="AK21" s="36">
        <v>45427</v>
      </c>
      <c r="AL21" s="36"/>
      <c r="AM21" s="46"/>
      <c r="AN21" s="40" t="s">
        <v>1359</v>
      </c>
      <c r="AO21" s="40" t="s">
        <v>1360</v>
      </c>
      <c r="AP21" s="40" t="s">
        <v>1361</v>
      </c>
      <c r="AQ21" s="40" t="s">
        <v>80</v>
      </c>
      <c r="AR21" s="48">
        <v>100</v>
      </c>
      <c r="AS21" s="37">
        <v>0</v>
      </c>
      <c r="AT21" s="37" t="s">
        <v>386</v>
      </c>
      <c r="AU21" s="47">
        <v>30</v>
      </c>
      <c r="AV21" s="37" t="s">
        <v>60</v>
      </c>
      <c r="AW21" s="37">
        <v>10</v>
      </c>
      <c r="AX21" s="30">
        <v>103172079.23999999</v>
      </c>
      <c r="AY21" s="40" t="s">
        <v>402</v>
      </c>
    </row>
    <row r="22" spans="1:51" ht="58.5" customHeight="1" x14ac:dyDescent="0.25">
      <c r="A22" s="44" t="s">
        <v>1362</v>
      </c>
      <c r="B22" s="46">
        <v>45288</v>
      </c>
      <c r="C22" s="40" t="s">
        <v>432</v>
      </c>
      <c r="D22" s="35" t="s">
        <v>1363</v>
      </c>
      <c r="E22" s="39" t="s">
        <v>1364</v>
      </c>
      <c r="F22" s="36">
        <v>45320</v>
      </c>
      <c r="G22" s="37" t="s">
        <v>1365</v>
      </c>
      <c r="H22" s="40" t="s">
        <v>53</v>
      </c>
      <c r="I22" s="40" t="s">
        <v>1366</v>
      </c>
      <c r="J22" s="54">
        <v>790983700.20000005</v>
      </c>
      <c r="K22" s="54">
        <v>790983700.20000005</v>
      </c>
      <c r="L22" s="54">
        <v>0</v>
      </c>
      <c r="M22" s="54">
        <v>0</v>
      </c>
      <c r="N22" s="42">
        <v>0</v>
      </c>
      <c r="O22" s="43">
        <v>0</v>
      </c>
      <c r="P22" s="41">
        <v>790983700.20000005</v>
      </c>
      <c r="Q22" s="43">
        <v>0</v>
      </c>
      <c r="R22" s="41">
        <v>790983700.20000005</v>
      </c>
      <c r="S22" s="30">
        <v>790983700.20000005</v>
      </c>
      <c r="T22" s="30">
        <v>790983700.20000005</v>
      </c>
      <c r="U22" s="30">
        <v>414.21000000000004</v>
      </c>
      <c r="V22" s="41">
        <v>414.21000000000004</v>
      </c>
      <c r="W22" s="41">
        <v>12426.300000000001</v>
      </c>
      <c r="X22" s="41">
        <v>1909620</v>
      </c>
      <c r="Y22" s="41">
        <v>1909620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63654</v>
      </c>
      <c r="AG22" s="41">
        <v>63654</v>
      </c>
      <c r="AH22" s="36">
        <v>45514</v>
      </c>
      <c r="AI22" s="36"/>
      <c r="AJ22" s="36"/>
      <c r="AK22" s="36">
        <v>45545</v>
      </c>
      <c r="AL22" s="36"/>
      <c r="AM22" s="46"/>
      <c r="AN22" s="40" t="s">
        <v>512</v>
      </c>
      <c r="AO22" s="40" t="s">
        <v>513</v>
      </c>
      <c r="AP22" s="40" t="s">
        <v>514</v>
      </c>
      <c r="AQ22" s="40" t="s">
        <v>58</v>
      </c>
      <c r="AR22" s="48">
        <v>0</v>
      </c>
      <c r="AS22" s="37">
        <v>100</v>
      </c>
      <c r="AT22" s="37" t="s">
        <v>386</v>
      </c>
      <c r="AU22" s="47">
        <v>30</v>
      </c>
      <c r="AV22" s="37" t="s">
        <v>60</v>
      </c>
      <c r="AW22" s="37">
        <v>10</v>
      </c>
      <c r="AX22" s="30">
        <v>79098370.019999996</v>
      </c>
      <c r="AY22" s="40" t="s">
        <v>402</v>
      </c>
    </row>
    <row r="23" spans="1:51" ht="58.5" customHeight="1" x14ac:dyDescent="0.25">
      <c r="A23" s="44" t="s">
        <v>1367</v>
      </c>
      <c r="B23" s="46">
        <v>45288</v>
      </c>
      <c r="C23" s="40" t="s">
        <v>432</v>
      </c>
      <c r="D23" s="35" t="s">
        <v>431</v>
      </c>
      <c r="E23" s="39" t="s">
        <v>1368</v>
      </c>
      <c r="F23" s="36" t="s">
        <v>431</v>
      </c>
      <c r="G23" s="37" t="s">
        <v>431</v>
      </c>
      <c r="H23" s="40" t="s">
        <v>431</v>
      </c>
      <c r="I23" s="40" t="s">
        <v>1369</v>
      </c>
      <c r="J23" s="54">
        <v>71990384.400000006</v>
      </c>
      <c r="K23" s="54">
        <v>71990384.400000006</v>
      </c>
      <c r="L23" s="54">
        <v>0</v>
      </c>
      <c r="M23" s="54">
        <v>0</v>
      </c>
      <c r="N23" s="42">
        <v>100</v>
      </c>
      <c r="O23" s="43">
        <v>71990384.400000006</v>
      </c>
      <c r="P23" s="41"/>
      <c r="Q23" s="43">
        <v>71990384.400000006</v>
      </c>
      <c r="R23" s="41">
        <v>0</v>
      </c>
      <c r="S23" s="30">
        <v>0</v>
      </c>
      <c r="T23" s="30">
        <v>0</v>
      </c>
      <c r="U23" s="30" t="e">
        <v>#DIV/0!</v>
      </c>
      <c r="V23" s="41" t="e">
        <v>#DIV/0!</v>
      </c>
      <c r="W23" s="41" t="e">
        <v>#DIV/0!</v>
      </c>
      <c r="X23" s="41">
        <v>0</v>
      </c>
      <c r="Y23" s="41">
        <v>0</v>
      </c>
      <c r="Z23" s="41">
        <v>0</v>
      </c>
      <c r="AA23" s="41">
        <v>0</v>
      </c>
      <c r="AB23" s="41"/>
      <c r="AC23" s="41" t="e">
        <v>#DIV/0!</v>
      </c>
      <c r="AD23" s="41"/>
      <c r="AE23" s="41" t="e">
        <v>#DIV/0!</v>
      </c>
      <c r="AF23" s="41" t="e">
        <v>#DIV/0!</v>
      </c>
      <c r="AG23" s="41" t="e">
        <v>#DIV/0!</v>
      </c>
      <c r="AH23" s="36">
        <v>45383</v>
      </c>
      <c r="AI23" s="36"/>
      <c r="AJ23" s="36"/>
      <c r="AK23" s="36"/>
      <c r="AL23" s="36"/>
      <c r="AM23" s="46"/>
      <c r="AN23" s="40"/>
      <c r="AO23" s="40"/>
      <c r="AP23" s="40"/>
      <c r="AQ23" s="40"/>
      <c r="AR23" s="48"/>
      <c r="AS23" s="37"/>
      <c r="AT23" s="37"/>
      <c r="AU23" s="47"/>
      <c r="AV23" s="37"/>
      <c r="AW23" s="37">
        <v>10</v>
      </c>
      <c r="AX23" s="30">
        <v>7199038.4400000004</v>
      </c>
      <c r="AY23" s="40" t="s">
        <v>431</v>
      </c>
    </row>
    <row r="24" spans="1:51" ht="48.75" customHeight="1" x14ac:dyDescent="0.25">
      <c r="A24" s="59" t="s">
        <v>1512</v>
      </c>
      <c r="B24" s="60">
        <v>45313</v>
      </c>
      <c r="C24" s="40" t="s">
        <v>432</v>
      </c>
      <c r="D24" s="35" t="s">
        <v>431</v>
      </c>
      <c r="E24" s="39" t="s">
        <v>1513</v>
      </c>
      <c r="F24" s="36" t="s">
        <v>431</v>
      </c>
      <c r="G24" s="37" t="s">
        <v>431</v>
      </c>
      <c r="H24" s="40" t="s">
        <v>431</v>
      </c>
      <c r="I24" s="40" t="s">
        <v>1514</v>
      </c>
      <c r="J24" s="61">
        <v>229822000.5</v>
      </c>
      <c r="K24" s="41">
        <v>0</v>
      </c>
      <c r="L24" s="54">
        <v>0</v>
      </c>
      <c r="M24" s="54">
        <v>0</v>
      </c>
      <c r="N24" s="42">
        <v>100</v>
      </c>
      <c r="O24" s="43">
        <v>229822000.5</v>
      </c>
      <c r="P24" s="41"/>
      <c r="Q24" s="43">
        <v>229822000.5</v>
      </c>
      <c r="R24" s="41">
        <v>0</v>
      </c>
      <c r="S24" s="30">
        <v>0</v>
      </c>
      <c r="T24" s="30">
        <v>0</v>
      </c>
      <c r="U24" s="30" t="e">
        <v>#DIV/0!</v>
      </c>
      <c r="V24" s="41" t="e">
        <v>#DIV/0!</v>
      </c>
      <c r="W24" s="41" t="e">
        <v>#DIV/0!</v>
      </c>
      <c r="X24" s="41">
        <v>0</v>
      </c>
      <c r="Y24" s="41">
        <v>0</v>
      </c>
      <c r="Z24" s="41">
        <v>0</v>
      </c>
      <c r="AA24" s="41">
        <v>0</v>
      </c>
      <c r="AB24" s="41"/>
      <c r="AC24" s="41" t="e">
        <v>#DIV/0!</v>
      </c>
      <c r="AD24" s="41"/>
      <c r="AE24" s="41" t="e">
        <v>#DIV/0!</v>
      </c>
      <c r="AF24" s="41" t="e">
        <v>#DIV/0!</v>
      </c>
      <c r="AG24" s="41" t="e">
        <v>#DIV/0!</v>
      </c>
      <c r="AH24" s="36">
        <v>45382</v>
      </c>
      <c r="AI24" s="36"/>
      <c r="AJ24" s="36"/>
      <c r="AK24" s="36"/>
      <c r="AL24" s="36"/>
      <c r="AM24" s="46"/>
      <c r="AN24" s="40"/>
      <c r="AO24" s="40"/>
      <c r="AP24" s="40"/>
      <c r="AQ24" s="40"/>
      <c r="AR24" s="48"/>
      <c r="AS24" s="37"/>
      <c r="AT24" s="37"/>
      <c r="AU24" s="47"/>
      <c r="AV24" s="37"/>
      <c r="AW24" s="37">
        <v>10</v>
      </c>
      <c r="AX24" s="30">
        <v>22982200.050000001</v>
      </c>
      <c r="AY24" s="40" t="s">
        <v>431</v>
      </c>
    </row>
    <row r="25" spans="1:51" ht="48.75" customHeight="1" x14ac:dyDescent="0.25">
      <c r="A25" s="59" t="s">
        <v>1515</v>
      </c>
      <c r="B25" s="60">
        <v>45313</v>
      </c>
      <c r="C25" s="40" t="s">
        <v>432</v>
      </c>
      <c r="D25" s="35" t="s">
        <v>1516</v>
      </c>
      <c r="E25" s="39" t="s">
        <v>1517</v>
      </c>
      <c r="F25" s="36">
        <v>45334</v>
      </c>
      <c r="G25" s="37" t="s">
        <v>1518</v>
      </c>
      <c r="H25" s="40" t="s">
        <v>203</v>
      </c>
      <c r="I25" s="40" t="s">
        <v>1519</v>
      </c>
      <c r="J25" s="61">
        <v>3858140</v>
      </c>
      <c r="K25" s="41">
        <v>0</v>
      </c>
      <c r="L25" s="54">
        <v>0</v>
      </c>
      <c r="M25" s="54">
        <v>0</v>
      </c>
      <c r="N25" s="42">
        <v>0</v>
      </c>
      <c r="O25" s="43">
        <v>0</v>
      </c>
      <c r="P25" s="41">
        <v>3858140</v>
      </c>
      <c r="Q25" s="43">
        <v>0</v>
      </c>
      <c r="R25" s="41">
        <v>3858140</v>
      </c>
      <c r="S25" s="30">
        <v>3858140</v>
      </c>
      <c r="T25" s="30">
        <v>3858140</v>
      </c>
      <c r="U25" s="30">
        <v>2.09</v>
      </c>
      <c r="V25" s="41">
        <v>2.09</v>
      </c>
      <c r="W25" s="41">
        <v>418</v>
      </c>
      <c r="X25" s="41">
        <v>1846000</v>
      </c>
      <c r="Y25" s="41">
        <v>1846000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9230</v>
      </c>
      <c r="AG25" s="41">
        <v>9230</v>
      </c>
      <c r="AH25" s="36">
        <v>45382</v>
      </c>
      <c r="AI25" s="36"/>
      <c r="AJ25" s="36"/>
      <c r="AK25" s="36">
        <v>45413</v>
      </c>
      <c r="AL25" s="36"/>
      <c r="AM25" s="46"/>
      <c r="AN25" s="40" t="s">
        <v>1520</v>
      </c>
      <c r="AO25" s="40" t="s">
        <v>1521</v>
      </c>
      <c r="AP25" s="40" t="s">
        <v>1522</v>
      </c>
      <c r="AQ25" s="40" t="s">
        <v>80</v>
      </c>
      <c r="AR25" s="48">
        <v>100</v>
      </c>
      <c r="AS25" s="37">
        <v>0</v>
      </c>
      <c r="AT25" s="37" t="s">
        <v>81</v>
      </c>
      <c r="AU25" s="47">
        <v>200</v>
      </c>
      <c r="AV25" s="37" t="s">
        <v>219</v>
      </c>
      <c r="AW25" s="37">
        <v>10</v>
      </c>
      <c r="AX25" s="30">
        <v>385814</v>
      </c>
      <c r="AY25" s="40" t="s">
        <v>402</v>
      </c>
    </row>
    <row r="26" spans="1:51" ht="48.75" customHeight="1" x14ac:dyDescent="0.25">
      <c r="A26" s="59" t="s">
        <v>1523</v>
      </c>
      <c r="B26" s="60">
        <v>45313</v>
      </c>
      <c r="C26" s="40" t="s">
        <v>432</v>
      </c>
      <c r="D26" s="35" t="s">
        <v>1524</v>
      </c>
      <c r="E26" s="39" t="s">
        <v>1525</v>
      </c>
      <c r="F26" s="36">
        <v>45334</v>
      </c>
      <c r="G26" s="37" t="s">
        <v>1526</v>
      </c>
      <c r="H26" s="40" t="s">
        <v>203</v>
      </c>
      <c r="I26" s="40" t="s">
        <v>1527</v>
      </c>
      <c r="J26" s="61">
        <v>331056</v>
      </c>
      <c r="K26" s="41">
        <v>0</v>
      </c>
      <c r="L26" s="54">
        <v>0</v>
      </c>
      <c r="M26" s="54">
        <v>0</v>
      </c>
      <c r="N26" s="42">
        <v>0</v>
      </c>
      <c r="O26" s="43">
        <v>0</v>
      </c>
      <c r="P26" s="41">
        <v>331056</v>
      </c>
      <c r="Q26" s="43">
        <v>0</v>
      </c>
      <c r="R26" s="41">
        <v>331056</v>
      </c>
      <c r="S26" s="30">
        <v>331056</v>
      </c>
      <c r="T26" s="30">
        <v>331056</v>
      </c>
      <c r="U26" s="30">
        <v>183.92</v>
      </c>
      <c r="V26" s="41">
        <v>183.92</v>
      </c>
      <c r="W26" s="41">
        <v>11035.199999999999</v>
      </c>
      <c r="X26" s="41">
        <v>1800</v>
      </c>
      <c r="Y26" s="41">
        <v>1800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30</v>
      </c>
      <c r="AG26" s="41">
        <v>30</v>
      </c>
      <c r="AH26" s="36">
        <v>45366</v>
      </c>
      <c r="AI26" s="36"/>
      <c r="AJ26" s="36"/>
      <c r="AK26" s="36">
        <v>45397</v>
      </c>
      <c r="AL26" s="36"/>
      <c r="AM26" s="46"/>
      <c r="AN26" s="40" t="s">
        <v>1528</v>
      </c>
      <c r="AO26" s="40" t="s">
        <v>1529</v>
      </c>
      <c r="AP26" s="40" t="s">
        <v>1530</v>
      </c>
      <c r="AQ26" s="40" t="s">
        <v>92</v>
      </c>
      <c r="AR26" s="48">
        <v>0</v>
      </c>
      <c r="AS26" s="37">
        <v>100</v>
      </c>
      <c r="AT26" s="37" t="s">
        <v>386</v>
      </c>
      <c r="AU26" s="47">
        <v>60</v>
      </c>
      <c r="AV26" s="37" t="s">
        <v>219</v>
      </c>
      <c r="AW26" s="37">
        <v>10</v>
      </c>
      <c r="AX26" s="30">
        <v>33105.599999999999</v>
      </c>
      <c r="AY26" s="40" t="s">
        <v>402</v>
      </c>
    </row>
    <row r="27" spans="1:51" ht="48.75" customHeight="1" x14ac:dyDescent="0.25">
      <c r="A27" s="59" t="s">
        <v>1531</v>
      </c>
      <c r="B27" s="60">
        <v>45313</v>
      </c>
      <c r="C27" s="40" t="s">
        <v>432</v>
      </c>
      <c r="D27" s="35" t="s">
        <v>431</v>
      </c>
      <c r="E27" s="39" t="s">
        <v>1532</v>
      </c>
      <c r="F27" s="36" t="s">
        <v>431</v>
      </c>
      <c r="G27" s="37" t="s">
        <v>431</v>
      </c>
      <c r="H27" s="40" t="s">
        <v>431</v>
      </c>
      <c r="I27" s="40" t="s">
        <v>1533</v>
      </c>
      <c r="J27" s="61">
        <v>388170432</v>
      </c>
      <c r="K27" s="41">
        <v>0</v>
      </c>
      <c r="L27" s="54">
        <v>0</v>
      </c>
      <c r="M27" s="54">
        <v>0</v>
      </c>
      <c r="N27" s="42">
        <v>100</v>
      </c>
      <c r="O27" s="43">
        <v>388170432</v>
      </c>
      <c r="P27" s="41"/>
      <c r="Q27" s="43">
        <v>388170432</v>
      </c>
      <c r="R27" s="41">
        <v>0</v>
      </c>
      <c r="S27" s="30">
        <v>0</v>
      </c>
      <c r="T27" s="30">
        <v>0</v>
      </c>
      <c r="U27" s="30" t="e">
        <v>#DIV/0!</v>
      </c>
      <c r="V27" s="41" t="e">
        <v>#DIV/0!</v>
      </c>
      <c r="W27" s="41" t="e">
        <v>#DIV/0!</v>
      </c>
      <c r="X27" s="41">
        <v>0</v>
      </c>
      <c r="Y27" s="41">
        <v>0</v>
      </c>
      <c r="Z27" s="41">
        <v>0</v>
      </c>
      <c r="AA27" s="41">
        <v>0</v>
      </c>
      <c r="AB27" s="41"/>
      <c r="AC27" s="41" t="e">
        <v>#DIV/0!</v>
      </c>
      <c r="AD27" s="41"/>
      <c r="AE27" s="41" t="e">
        <v>#DIV/0!</v>
      </c>
      <c r="AF27" s="41" t="e">
        <v>#DIV/0!</v>
      </c>
      <c r="AG27" s="41" t="e">
        <v>#DIV/0!</v>
      </c>
      <c r="AH27" s="36">
        <v>45383</v>
      </c>
      <c r="AI27" s="36"/>
      <c r="AJ27" s="36"/>
      <c r="AK27" s="36"/>
      <c r="AL27" s="36"/>
      <c r="AM27" s="46"/>
      <c r="AN27" s="40"/>
      <c r="AO27" s="40"/>
      <c r="AP27" s="40"/>
      <c r="AQ27" s="40"/>
      <c r="AR27" s="48"/>
      <c r="AS27" s="37"/>
      <c r="AT27" s="37"/>
      <c r="AU27" s="47"/>
      <c r="AV27" s="37"/>
      <c r="AW27" s="37">
        <v>10</v>
      </c>
      <c r="AX27" s="30">
        <v>38817043.200000003</v>
      </c>
      <c r="AY27" s="40" t="s">
        <v>431</v>
      </c>
    </row>
    <row r="28" spans="1:51" ht="48.75" customHeight="1" x14ac:dyDescent="0.25">
      <c r="A28" s="59" t="s">
        <v>1534</v>
      </c>
      <c r="B28" s="60">
        <v>45313</v>
      </c>
      <c r="C28" s="40" t="s">
        <v>432</v>
      </c>
      <c r="D28" s="35" t="s">
        <v>1535</v>
      </c>
      <c r="E28" s="39" t="s">
        <v>1536</v>
      </c>
      <c r="F28" s="36">
        <v>45334</v>
      </c>
      <c r="G28" s="37" t="s">
        <v>1537</v>
      </c>
      <c r="H28" s="40" t="s">
        <v>224</v>
      </c>
      <c r="I28" s="40" t="s">
        <v>1538</v>
      </c>
      <c r="J28" s="61">
        <v>46479725.399999999</v>
      </c>
      <c r="K28" s="41">
        <v>0</v>
      </c>
      <c r="L28" s="54">
        <v>0</v>
      </c>
      <c r="M28" s="54">
        <v>0</v>
      </c>
      <c r="N28" s="42">
        <v>0</v>
      </c>
      <c r="O28" s="43">
        <v>0</v>
      </c>
      <c r="P28" s="41">
        <v>46479725.399999999</v>
      </c>
      <c r="Q28" s="43">
        <v>0</v>
      </c>
      <c r="R28" s="41">
        <v>46479725.399999999</v>
      </c>
      <c r="S28" s="30">
        <v>46479725.399999999</v>
      </c>
      <c r="T28" s="30">
        <v>46479725.399999999</v>
      </c>
      <c r="U28" s="30">
        <v>4.66</v>
      </c>
      <c r="V28" s="41">
        <v>4.66</v>
      </c>
      <c r="W28" s="41">
        <v>139.80000000000001</v>
      </c>
      <c r="X28" s="41">
        <v>9974190</v>
      </c>
      <c r="Y28" s="41">
        <v>9974190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332473</v>
      </c>
      <c r="AG28" s="41">
        <v>332473</v>
      </c>
      <c r="AH28" s="36">
        <v>45383</v>
      </c>
      <c r="AI28" s="36"/>
      <c r="AJ28" s="36"/>
      <c r="AK28" s="36">
        <v>45413</v>
      </c>
      <c r="AL28" s="36"/>
      <c r="AM28" s="46"/>
      <c r="AN28" s="40" t="s">
        <v>1539</v>
      </c>
      <c r="AO28" s="40" t="s">
        <v>1540</v>
      </c>
      <c r="AP28" s="40" t="s">
        <v>1541</v>
      </c>
      <c r="AQ28" s="40" t="s">
        <v>80</v>
      </c>
      <c r="AR28" s="48">
        <v>100</v>
      </c>
      <c r="AS28" s="37">
        <v>0</v>
      </c>
      <c r="AT28" s="37" t="s">
        <v>386</v>
      </c>
      <c r="AU28" s="47">
        <v>30</v>
      </c>
      <c r="AV28" s="37" t="s">
        <v>60</v>
      </c>
      <c r="AW28" s="37">
        <v>10</v>
      </c>
      <c r="AX28" s="30">
        <v>4647972.54</v>
      </c>
      <c r="AY28" s="40" t="s">
        <v>402</v>
      </c>
    </row>
    <row r="29" spans="1:51" ht="48.75" customHeight="1" x14ac:dyDescent="0.25">
      <c r="A29" s="59" t="s">
        <v>1542</v>
      </c>
      <c r="B29" s="60">
        <v>45313</v>
      </c>
      <c r="C29" s="40" t="s">
        <v>432</v>
      </c>
      <c r="D29" s="35" t="s">
        <v>1543</v>
      </c>
      <c r="E29" s="39" t="s">
        <v>1544</v>
      </c>
      <c r="F29" s="36">
        <v>45334</v>
      </c>
      <c r="G29" s="37" t="s">
        <v>1545</v>
      </c>
      <c r="H29" s="40" t="s">
        <v>53</v>
      </c>
      <c r="I29" s="37" t="s">
        <v>1546</v>
      </c>
      <c r="J29" s="61">
        <v>822463.2</v>
      </c>
      <c r="K29" s="41">
        <v>0</v>
      </c>
      <c r="L29" s="54">
        <v>0</v>
      </c>
      <c r="M29" s="54">
        <v>0</v>
      </c>
      <c r="N29" s="42">
        <v>0</v>
      </c>
      <c r="O29" s="43">
        <v>0</v>
      </c>
      <c r="P29" s="41">
        <v>822463.2</v>
      </c>
      <c r="Q29" s="43">
        <v>0</v>
      </c>
      <c r="R29" s="41">
        <v>822463.2</v>
      </c>
      <c r="S29" s="30">
        <v>822463.2</v>
      </c>
      <c r="T29" s="30">
        <v>822463.2</v>
      </c>
      <c r="U29" s="30">
        <v>33.93</v>
      </c>
      <c r="V29" s="41">
        <v>33.93</v>
      </c>
      <c r="W29" s="41">
        <v>2035.8</v>
      </c>
      <c r="X29" s="41">
        <v>24240</v>
      </c>
      <c r="Y29" s="41">
        <v>24240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404</v>
      </c>
      <c r="AG29" s="41">
        <v>404</v>
      </c>
      <c r="AH29" s="36">
        <v>45366</v>
      </c>
      <c r="AI29" s="36"/>
      <c r="AJ29" s="36"/>
      <c r="AK29" s="36">
        <v>45397</v>
      </c>
      <c r="AL29" s="36"/>
      <c r="AM29" s="46"/>
      <c r="AN29" s="40" t="s">
        <v>1547</v>
      </c>
      <c r="AO29" s="40" t="s">
        <v>1548</v>
      </c>
      <c r="AP29" s="40" t="s">
        <v>1549</v>
      </c>
      <c r="AQ29" s="40" t="s">
        <v>385</v>
      </c>
      <c r="AR29" s="48">
        <v>0</v>
      </c>
      <c r="AS29" s="37">
        <v>100</v>
      </c>
      <c r="AT29" s="37" t="s">
        <v>386</v>
      </c>
      <c r="AU29" s="47">
        <v>60</v>
      </c>
      <c r="AV29" s="37" t="s">
        <v>60</v>
      </c>
      <c r="AW29" s="37">
        <v>10</v>
      </c>
      <c r="AX29" s="30">
        <v>82246.320000000007</v>
      </c>
      <c r="AY29" s="40" t="s">
        <v>402</v>
      </c>
    </row>
    <row r="30" spans="1:51" ht="48.75" customHeight="1" x14ac:dyDescent="0.25">
      <c r="A30" s="59" t="s">
        <v>1550</v>
      </c>
      <c r="B30" s="60">
        <v>45313</v>
      </c>
      <c r="C30" s="40" t="s">
        <v>432</v>
      </c>
      <c r="D30" s="35" t="s">
        <v>1551</v>
      </c>
      <c r="E30" s="39" t="s">
        <v>1552</v>
      </c>
      <c r="F30" s="36">
        <v>45334</v>
      </c>
      <c r="G30" s="37" t="s">
        <v>1553</v>
      </c>
      <c r="H30" s="40" t="s">
        <v>53</v>
      </c>
      <c r="I30" s="37" t="s">
        <v>1554</v>
      </c>
      <c r="J30" s="61">
        <v>79713664.799999997</v>
      </c>
      <c r="K30" s="41">
        <v>0</v>
      </c>
      <c r="L30" s="54">
        <v>0</v>
      </c>
      <c r="M30" s="54">
        <v>0</v>
      </c>
      <c r="N30" s="42">
        <v>0</v>
      </c>
      <c r="O30" s="43">
        <v>0</v>
      </c>
      <c r="P30" s="41">
        <v>79713664.799999997</v>
      </c>
      <c r="Q30" s="43">
        <v>0</v>
      </c>
      <c r="R30" s="41">
        <v>79713664.799999997</v>
      </c>
      <c r="S30" s="30">
        <v>79713664.799999997</v>
      </c>
      <c r="T30" s="30">
        <v>79713664.799999997</v>
      </c>
      <c r="U30" s="30">
        <v>127.82</v>
      </c>
      <c r="V30" s="41">
        <v>127.82</v>
      </c>
      <c r="W30" s="41">
        <v>7669.2</v>
      </c>
      <c r="X30" s="41">
        <v>623640</v>
      </c>
      <c r="Y30" s="41">
        <v>180000</v>
      </c>
      <c r="Z30" s="41">
        <v>443640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10394</v>
      </c>
      <c r="AG30" s="41">
        <v>10394</v>
      </c>
      <c r="AH30" s="36">
        <v>45352</v>
      </c>
      <c r="AI30" s="36">
        <v>45397</v>
      </c>
      <c r="AJ30" s="36"/>
      <c r="AK30" s="36">
        <v>45383</v>
      </c>
      <c r="AL30" s="36">
        <v>45427</v>
      </c>
      <c r="AM30" s="46"/>
      <c r="AN30" s="40" t="s">
        <v>1547</v>
      </c>
      <c r="AO30" s="40" t="s">
        <v>1555</v>
      </c>
      <c r="AP30" s="40" t="s">
        <v>1549</v>
      </c>
      <c r="AQ30" s="40" t="s">
        <v>385</v>
      </c>
      <c r="AR30" s="48">
        <v>0</v>
      </c>
      <c r="AS30" s="37">
        <v>100</v>
      </c>
      <c r="AT30" s="37" t="s">
        <v>386</v>
      </c>
      <c r="AU30" s="47">
        <v>60</v>
      </c>
      <c r="AV30" s="37" t="s">
        <v>60</v>
      </c>
      <c r="AW30" s="37">
        <v>10</v>
      </c>
      <c r="AX30" s="30">
        <v>7971366.4800000004</v>
      </c>
      <c r="AY30" s="40" t="s">
        <v>402</v>
      </c>
    </row>
    <row r="31" spans="1:51" ht="48.75" customHeight="1" x14ac:dyDescent="0.25">
      <c r="A31" s="59" t="s">
        <v>1556</v>
      </c>
      <c r="B31" s="60">
        <v>45313</v>
      </c>
      <c r="C31" s="40" t="s">
        <v>432</v>
      </c>
      <c r="D31" s="35" t="s">
        <v>1557</v>
      </c>
      <c r="E31" s="39" t="s">
        <v>1558</v>
      </c>
      <c r="F31" s="36">
        <v>45348</v>
      </c>
      <c r="G31" s="37" t="s">
        <v>1559</v>
      </c>
      <c r="H31" s="40" t="s">
        <v>224</v>
      </c>
      <c r="I31" s="37" t="s">
        <v>1560</v>
      </c>
      <c r="J31" s="61">
        <v>1115237257.2</v>
      </c>
      <c r="K31" s="41">
        <v>0</v>
      </c>
      <c r="L31" s="54">
        <v>0</v>
      </c>
      <c r="M31" s="54">
        <v>0</v>
      </c>
      <c r="N31" s="42">
        <v>0</v>
      </c>
      <c r="O31" s="43">
        <v>0</v>
      </c>
      <c r="P31" s="61">
        <v>1115237257.2</v>
      </c>
      <c r="Q31" s="43">
        <v>0</v>
      </c>
      <c r="R31" s="61">
        <v>1115237257.2</v>
      </c>
      <c r="S31" s="30">
        <v>1115237257.2</v>
      </c>
      <c r="T31" s="30">
        <v>1115237257.2</v>
      </c>
      <c r="U31" s="30">
        <v>201.96</v>
      </c>
      <c r="V31" s="41">
        <v>201.96</v>
      </c>
      <c r="W31" s="41">
        <v>12117.6</v>
      </c>
      <c r="X31" s="41">
        <v>5522070</v>
      </c>
      <c r="Y31" s="41">
        <v>5522070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92034.5</v>
      </c>
      <c r="AG31" s="41">
        <v>92035</v>
      </c>
      <c r="AH31" s="36">
        <v>45383</v>
      </c>
      <c r="AI31" s="36"/>
      <c r="AJ31" s="36"/>
      <c r="AK31" s="36">
        <v>45413</v>
      </c>
      <c r="AL31" s="36"/>
      <c r="AM31" s="46"/>
      <c r="AN31" s="40" t="s">
        <v>1561</v>
      </c>
      <c r="AO31" s="40" t="s">
        <v>1562</v>
      </c>
      <c r="AP31" s="40" t="s">
        <v>1563</v>
      </c>
      <c r="AQ31" s="40" t="s">
        <v>80</v>
      </c>
      <c r="AR31" s="48">
        <v>100</v>
      </c>
      <c r="AS31" s="37">
        <v>0</v>
      </c>
      <c r="AT31" s="37" t="s">
        <v>386</v>
      </c>
      <c r="AU31" s="47">
        <v>60</v>
      </c>
      <c r="AV31" s="37" t="s">
        <v>386</v>
      </c>
      <c r="AW31" s="37">
        <v>10</v>
      </c>
      <c r="AX31" s="30">
        <v>111523725.72</v>
      </c>
      <c r="AY31" s="40" t="s">
        <v>402</v>
      </c>
    </row>
    <row r="32" spans="1:51" ht="48.75" customHeight="1" x14ac:dyDescent="0.25">
      <c r="A32" s="59" t="s">
        <v>1564</v>
      </c>
      <c r="B32" s="60">
        <v>45313</v>
      </c>
      <c r="C32" s="40" t="s">
        <v>432</v>
      </c>
      <c r="D32" s="35" t="s">
        <v>431</v>
      </c>
      <c r="E32" s="39" t="s">
        <v>1565</v>
      </c>
      <c r="F32" s="36" t="s">
        <v>431</v>
      </c>
      <c r="G32" s="37" t="s">
        <v>431</v>
      </c>
      <c r="H32" s="40" t="s">
        <v>431</v>
      </c>
      <c r="I32" s="37" t="s">
        <v>1566</v>
      </c>
      <c r="J32" s="61">
        <v>64233933</v>
      </c>
      <c r="K32" s="41">
        <v>0</v>
      </c>
      <c r="L32" s="54">
        <v>0</v>
      </c>
      <c r="M32" s="54">
        <v>0</v>
      </c>
      <c r="N32" s="42">
        <v>100</v>
      </c>
      <c r="O32" s="43">
        <v>64233933</v>
      </c>
      <c r="P32" s="41"/>
      <c r="Q32" s="43">
        <v>64233933</v>
      </c>
      <c r="R32" s="41">
        <v>0</v>
      </c>
      <c r="S32" s="30">
        <v>0</v>
      </c>
      <c r="T32" s="30">
        <v>0</v>
      </c>
      <c r="U32" s="30" t="e">
        <v>#DIV/0!</v>
      </c>
      <c r="V32" s="41" t="e">
        <v>#DIV/0!</v>
      </c>
      <c r="W32" s="41" t="e">
        <v>#DIV/0!</v>
      </c>
      <c r="X32" s="41">
        <v>0</v>
      </c>
      <c r="Y32" s="41">
        <v>0</v>
      </c>
      <c r="Z32" s="41">
        <v>0</v>
      </c>
      <c r="AA32" s="41">
        <v>0</v>
      </c>
      <c r="AB32" s="41"/>
      <c r="AC32" s="41" t="e">
        <v>#DIV/0!</v>
      </c>
      <c r="AD32" s="41"/>
      <c r="AE32" s="41" t="e">
        <v>#DIV/0!</v>
      </c>
      <c r="AF32" s="41" t="e">
        <v>#DIV/0!</v>
      </c>
      <c r="AG32" s="41" t="e">
        <v>#DIV/0!</v>
      </c>
      <c r="AH32" s="36">
        <v>45383</v>
      </c>
      <c r="AI32" s="36"/>
      <c r="AJ32" s="36"/>
      <c r="AK32" s="36"/>
      <c r="AL32" s="36"/>
      <c r="AM32" s="46"/>
      <c r="AN32" s="40"/>
      <c r="AO32" s="40"/>
      <c r="AP32" s="40"/>
      <c r="AQ32" s="40"/>
      <c r="AR32" s="48"/>
      <c r="AS32" s="37"/>
      <c r="AT32" s="37"/>
      <c r="AU32" s="47"/>
      <c r="AV32" s="37"/>
      <c r="AW32" s="37">
        <v>10</v>
      </c>
      <c r="AX32" s="30">
        <v>6423393.2999999998</v>
      </c>
      <c r="AY32" s="40" t="s">
        <v>431</v>
      </c>
    </row>
    <row r="33" spans="1:51" ht="48.75" customHeight="1" x14ac:dyDescent="0.25">
      <c r="A33" s="59" t="s">
        <v>1567</v>
      </c>
      <c r="B33" s="60">
        <v>45313</v>
      </c>
      <c r="C33" s="40" t="s">
        <v>432</v>
      </c>
      <c r="D33" s="35" t="s">
        <v>1568</v>
      </c>
      <c r="E33" s="39" t="s">
        <v>1569</v>
      </c>
      <c r="F33" s="36">
        <v>45334</v>
      </c>
      <c r="G33" s="37" t="s">
        <v>1570</v>
      </c>
      <c r="H33" s="40" t="s">
        <v>224</v>
      </c>
      <c r="I33" s="40" t="s">
        <v>1571</v>
      </c>
      <c r="J33" s="61">
        <v>113162592</v>
      </c>
      <c r="K33" s="41">
        <v>0</v>
      </c>
      <c r="L33" s="54">
        <v>0</v>
      </c>
      <c r="M33" s="54">
        <v>0</v>
      </c>
      <c r="N33" s="42">
        <v>0</v>
      </c>
      <c r="O33" s="43">
        <v>0</v>
      </c>
      <c r="P33" s="41">
        <v>113162592</v>
      </c>
      <c r="Q33" s="43">
        <v>0</v>
      </c>
      <c r="R33" s="41">
        <v>113162592</v>
      </c>
      <c r="S33" s="30">
        <v>113162592</v>
      </c>
      <c r="T33" s="30">
        <v>113162592</v>
      </c>
      <c r="U33" s="30">
        <v>23.05</v>
      </c>
      <c r="V33" s="41">
        <v>23.05</v>
      </c>
      <c r="W33" s="41" t="e">
        <v>#VALUE!</v>
      </c>
      <c r="X33" s="41">
        <v>4909440</v>
      </c>
      <c r="Y33" s="41">
        <v>4909440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 t="e">
        <v>#VALUE!</v>
      </c>
      <c r="AG33" s="41" t="e">
        <v>#VALUE!</v>
      </c>
      <c r="AH33" s="36">
        <v>45383</v>
      </c>
      <c r="AI33" s="36"/>
      <c r="AJ33" s="36"/>
      <c r="AK33" s="36">
        <v>45413</v>
      </c>
      <c r="AL33" s="36"/>
      <c r="AM33" s="46"/>
      <c r="AN33" s="40" t="s">
        <v>1572</v>
      </c>
      <c r="AO33" s="40" t="s">
        <v>1573</v>
      </c>
      <c r="AP33" s="40" t="s">
        <v>1574</v>
      </c>
      <c r="AQ33" s="40" t="s">
        <v>80</v>
      </c>
      <c r="AR33" s="48">
        <v>100</v>
      </c>
      <c r="AS33" s="37">
        <v>0</v>
      </c>
      <c r="AT33" s="37" t="s">
        <v>386</v>
      </c>
      <c r="AU33" s="51" t="s">
        <v>1575</v>
      </c>
      <c r="AV33" s="37" t="s">
        <v>60</v>
      </c>
      <c r="AW33" s="37">
        <v>10</v>
      </c>
      <c r="AX33" s="30">
        <v>11316259.199999999</v>
      </c>
      <c r="AY33" s="40" t="s">
        <v>402</v>
      </c>
    </row>
    <row r="34" spans="1:51" ht="48.75" customHeight="1" x14ac:dyDescent="0.25">
      <c r="A34" s="59" t="s">
        <v>1576</v>
      </c>
      <c r="B34" s="60">
        <v>45313</v>
      </c>
      <c r="C34" s="40" t="s">
        <v>432</v>
      </c>
      <c r="D34" s="35" t="s">
        <v>1577</v>
      </c>
      <c r="E34" s="39" t="s">
        <v>1578</v>
      </c>
      <c r="F34" s="36">
        <v>45334</v>
      </c>
      <c r="G34" s="37" t="s">
        <v>1579</v>
      </c>
      <c r="H34" s="40" t="s">
        <v>224</v>
      </c>
      <c r="I34" s="40" t="s">
        <v>1580</v>
      </c>
      <c r="J34" s="61">
        <v>113308.8</v>
      </c>
      <c r="K34" s="41">
        <v>0</v>
      </c>
      <c r="L34" s="54">
        <v>0</v>
      </c>
      <c r="M34" s="54">
        <v>0</v>
      </c>
      <c r="N34" s="42">
        <v>0</v>
      </c>
      <c r="O34" s="43">
        <v>0</v>
      </c>
      <c r="P34" s="41">
        <v>113308.8</v>
      </c>
      <c r="Q34" s="43">
        <v>0</v>
      </c>
      <c r="R34" s="41">
        <v>113308.8</v>
      </c>
      <c r="S34" s="30">
        <v>113308.8</v>
      </c>
      <c r="T34" s="30">
        <v>113308.8</v>
      </c>
      <c r="U34" s="30">
        <v>6.38</v>
      </c>
      <c r="V34" s="41">
        <v>6.38</v>
      </c>
      <c r="W34" s="41">
        <v>382.8</v>
      </c>
      <c r="X34" s="41">
        <v>17760</v>
      </c>
      <c r="Y34" s="41">
        <v>17760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296</v>
      </c>
      <c r="AG34" s="41">
        <v>296</v>
      </c>
      <c r="AH34" s="36">
        <v>45366</v>
      </c>
      <c r="AI34" s="36"/>
      <c r="AJ34" s="36"/>
      <c r="AK34" s="36">
        <v>45397</v>
      </c>
      <c r="AL34" s="36"/>
      <c r="AM34" s="46"/>
      <c r="AN34" s="40" t="s">
        <v>1581</v>
      </c>
      <c r="AO34" s="40" t="s">
        <v>1582</v>
      </c>
      <c r="AP34" s="40" t="s">
        <v>1583</v>
      </c>
      <c r="AQ34" s="40" t="s">
        <v>80</v>
      </c>
      <c r="AR34" s="48">
        <v>100</v>
      </c>
      <c r="AS34" s="37">
        <v>0</v>
      </c>
      <c r="AT34" s="37" t="s">
        <v>386</v>
      </c>
      <c r="AU34" s="47">
        <v>60</v>
      </c>
      <c r="AV34" s="37" t="s">
        <v>60</v>
      </c>
      <c r="AW34" s="37">
        <v>10</v>
      </c>
      <c r="AX34" s="30">
        <v>11330.88</v>
      </c>
      <c r="AY34" s="40" t="s">
        <v>402</v>
      </c>
    </row>
    <row r="35" spans="1:51" ht="48.75" customHeight="1" x14ac:dyDescent="0.25">
      <c r="A35" s="59" t="s">
        <v>1584</v>
      </c>
      <c r="B35" s="60">
        <v>45313</v>
      </c>
      <c r="C35" s="40" t="s">
        <v>432</v>
      </c>
      <c r="D35" s="35" t="s">
        <v>431</v>
      </c>
      <c r="E35" s="39" t="s">
        <v>1585</v>
      </c>
      <c r="F35" s="36" t="s">
        <v>431</v>
      </c>
      <c r="G35" s="37" t="s">
        <v>431</v>
      </c>
      <c r="H35" s="40" t="s">
        <v>431</v>
      </c>
      <c r="I35" s="40" t="s">
        <v>1586</v>
      </c>
      <c r="J35" s="61">
        <v>6380774.4000000004</v>
      </c>
      <c r="K35" s="41">
        <v>0</v>
      </c>
      <c r="L35" s="54">
        <v>0</v>
      </c>
      <c r="M35" s="54">
        <v>0</v>
      </c>
      <c r="N35" s="42">
        <v>100</v>
      </c>
      <c r="O35" s="43">
        <v>6380774.4000000004</v>
      </c>
      <c r="P35" s="41"/>
      <c r="Q35" s="43">
        <v>6380774.4000000004</v>
      </c>
      <c r="R35" s="41">
        <v>0</v>
      </c>
      <c r="S35" s="30">
        <v>0</v>
      </c>
      <c r="T35" s="30">
        <v>0</v>
      </c>
      <c r="U35" s="30" t="e">
        <v>#DIV/0!</v>
      </c>
      <c r="V35" s="41" t="e">
        <v>#DIV/0!</v>
      </c>
      <c r="W35" s="41" t="e">
        <v>#DIV/0!</v>
      </c>
      <c r="X35" s="41">
        <v>0</v>
      </c>
      <c r="Y35" s="41">
        <v>0</v>
      </c>
      <c r="Z35" s="41">
        <v>0</v>
      </c>
      <c r="AA35" s="41">
        <v>0</v>
      </c>
      <c r="AB35" s="41"/>
      <c r="AC35" s="41" t="e">
        <v>#DIV/0!</v>
      </c>
      <c r="AD35" s="41"/>
      <c r="AE35" s="41" t="e">
        <v>#DIV/0!</v>
      </c>
      <c r="AF35" s="41" t="e">
        <v>#DIV/0!</v>
      </c>
      <c r="AG35" s="41" t="e">
        <v>#DIV/0!</v>
      </c>
      <c r="AH35" s="36">
        <v>45382</v>
      </c>
      <c r="AI35" s="36">
        <v>45473</v>
      </c>
      <c r="AJ35" s="36"/>
      <c r="AK35" s="36"/>
      <c r="AL35" s="36"/>
      <c r="AM35" s="46"/>
      <c r="AN35" s="40"/>
      <c r="AO35" s="40"/>
      <c r="AP35" s="40"/>
      <c r="AQ35" s="40"/>
      <c r="AR35" s="48"/>
      <c r="AS35" s="37"/>
      <c r="AT35" s="37"/>
      <c r="AU35" s="47"/>
      <c r="AV35" s="37"/>
      <c r="AW35" s="37">
        <v>10</v>
      </c>
      <c r="AX35" s="30">
        <v>638077.43999999994</v>
      </c>
      <c r="AY35" s="40" t="s">
        <v>431</v>
      </c>
    </row>
    <row r="36" spans="1:51" ht="48.75" customHeight="1" x14ac:dyDescent="0.25">
      <c r="A36" s="59" t="s">
        <v>1587</v>
      </c>
      <c r="B36" s="60">
        <v>45313</v>
      </c>
      <c r="C36" s="40" t="s">
        <v>432</v>
      </c>
      <c r="D36" s="35" t="s">
        <v>1588</v>
      </c>
      <c r="E36" s="39" t="s">
        <v>1589</v>
      </c>
      <c r="F36" s="36">
        <v>45334</v>
      </c>
      <c r="G36" s="37" t="s">
        <v>1590</v>
      </c>
      <c r="H36" s="40" t="s">
        <v>203</v>
      </c>
      <c r="I36" s="40" t="s">
        <v>1591</v>
      </c>
      <c r="J36" s="61">
        <v>1209780</v>
      </c>
      <c r="K36" s="41">
        <v>0</v>
      </c>
      <c r="L36" s="54">
        <v>0</v>
      </c>
      <c r="M36" s="54">
        <v>0</v>
      </c>
      <c r="N36" s="42">
        <v>0</v>
      </c>
      <c r="O36" s="43">
        <v>0</v>
      </c>
      <c r="P36" s="41">
        <v>1209780</v>
      </c>
      <c r="Q36" s="43">
        <v>0</v>
      </c>
      <c r="R36" s="41">
        <v>1209780</v>
      </c>
      <c r="S36" s="30">
        <v>1209780</v>
      </c>
      <c r="T36" s="30">
        <v>1209780</v>
      </c>
      <c r="U36" s="30">
        <v>336.05</v>
      </c>
      <c r="V36" s="41">
        <v>336.05</v>
      </c>
      <c r="W36" s="41">
        <v>20163</v>
      </c>
      <c r="X36" s="41">
        <v>3600</v>
      </c>
      <c r="Y36" s="41">
        <v>3600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60</v>
      </c>
      <c r="AG36" s="41">
        <v>60</v>
      </c>
      <c r="AH36" s="36">
        <v>45366</v>
      </c>
      <c r="AI36" s="36"/>
      <c r="AJ36" s="36"/>
      <c r="AK36" s="36">
        <v>45397</v>
      </c>
      <c r="AL36" s="36"/>
      <c r="AM36" s="46"/>
      <c r="AN36" s="40" t="s">
        <v>1528</v>
      </c>
      <c r="AO36" s="40" t="s">
        <v>1592</v>
      </c>
      <c r="AP36" s="40" t="s">
        <v>1530</v>
      </c>
      <c r="AQ36" s="40" t="s">
        <v>92</v>
      </c>
      <c r="AR36" s="48">
        <v>0</v>
      </c>
      <c r="AS36" s="37">
        <v>100</v>
      </c>
      <c r="AT36" s="37" t="s">
        <v>386</v>
      </c>
      <c r="AU36" s="47">
        <v>60</v>
      </c>
      <c r="AV36" s="37" t="s">
        <v>219</v>
      </c>
      <c r="AW36" s="37">
        <v>10</v>
      </c>
      <c r="AX36" s="30">
        <v>120978</v>
      </c>
      <c r="AY36" s="40" t="s">
        <v>402</v>
      </c>
    </row>
    <row r="37" spans="1:51" ht="48.75" customHeight="1" x14ac:dyDescent="0.25">
      <c r="A37" s="59" t="s">
        <v>1595</v>
      </c>
      <c r="B37" s="60">
        <v>45313</v>
      </c>
      <c r="C37" s="40" t="s">
        <v>432</v>
      </c>
      <c r="D37" s="35" t="s">
        <v>431</v>
      </c>
      <c r="E37" s="39" t="s">
        <v>1596</v>
      </c>
      <c r="F37" s="36" t="s">
        <v>431</v>
      </c>
      <c r="G37" s="37" t="s">
        <v>431</v>
      </c>
      <c r="H37" s="40" t="s">
        <v>431</v>
      </c>
      <c r="I37" s="40" t="s">
        <v>1597</v>
      </c>
      <c r="J37" s="61">
        <v>64033200</v>
      </c>
      <c r="K37" s="41">
        <v>0</v>
      </c>
      <c r="L37" s="54">
        <v>0</v>
      </c>
      <c r="M37" s="54">
        <v>0</v>
      </c>
      <c r="N37" s="42">
        <v>100</v>
      </c>
      <c r="O37" s="43">
        <v>64033200</v>
      </c>
      <c r="P37" s="41"/>
      <c r="Q37" s="43">
        <v>64033200</v>
      </c>
      <c r="R37" s="41">
        <v>0</v>
      </c>
      <c r="S37" s="30">
        <v>0</v>
      </c>
      <c r="T37" s="30">
        <v>0</v>
      </c>
      <c r="U37" s="30" t="e">
        <v>#DIV/0!</v>
      </c>
      <c r="V37" s="41" t="e">
        <v>#DIV/0!</v>
      </c>
      <c r="W37" s="41" t="e">
        <v>#DIV/0!</v>
      </c>
      <c r="X37" s="41">
        <v>0</v>
      </c>
      <c r="Y37" s="41">
        <v>0</v>
      </c>
      <c r="Z37" s="41">
        <v>0</v>
      </c>
      <c r="AA37" s="41">
        <v>0</v>
      </c>
      <c r="AB37" s="41"/>
      <c r="AC37" s="41" t="e">
        <v>#DIV/0!</v>
      </c>
      <c r="AD37" s="41"/>
      <c r="AE37" s="41" t="e">
        <v>#DIV/0!</v>
      </c>
      <c r="AF37" s="41" t="e">
        <v>#DIV/0!</v>
      </c>
      <c r="AG37" s="41" t="e">
        <v>#DIV/0!</v>
      </c>
      <c r="AH37" s="36">
        <v>45383</v>
      </c>
      <c r="AI37" s="36"/>
      <c r="AJ37" s="36"/>
      <c r="AK37" s="36"/>
      <c r="AL37" s="36"/>
      <c r="AM37" s="46"/>
      <c r="AN37" s="40"/>
      <c r="AO37" s="40"/>
      <c r="AP37" s="40"/>
      <c r="AQ37" s="40"/>
      <c r="AR37" s="48"/>
      <c r="AS37" s="37"/>
      <c r="AT37" s="37"/>
      <c r="AU37" s="47"/>
      <c r="AV37" s="37"/>
      <c r="AW37" s="37">
        <v>10</v>
      </c>
      <c r="AX37" s="30">
        <v>6403320</v>
      </c>
      <c r="AY37" s="40" t="s">
        <v>431</v>
      </c>
    </row>
    <row r="38" spans="1:51" ht="48.75" customHeight="1" x14ac:dyDescent="0.25">
      <c r="A38" s="59" t="s">
        <v>1614</v>
      </c>
      <c r="B38" s="60">
        <v>45315</v>
      </c>
      <c r="C38" s="40" t="s">
        <v>432</v>
      </c>
      <c r="D38" s="35" t="s">
        <v>1615</v>
      </c>
      <c r="E38" s="39" t="s">
        <v>1616</v>
      </c>
      <c r="F38" s="36">
        <v>45335</v>
      </c>
      <c r="G38" s="37" t="s">
        <v>1617</v>
      </c>
      <c r="H38" s="40" t="s">
        <v>53</v>
      </c>
      <c r="I38" s="40" t="s">
        <v>1618</v>
      </c>
      <c r="J38" s="61">
        <v>13141958.4</v>
      </c>
      <c r="K38" s="41">
        <v>0</v>
      </c>
      <c r="L38" s="54">
        <v>0</v>
      </c>
      <c r="M38" s="54">
        <v>0</v>
      </c>
      <c r="N38" s="42">
        <v>0</v>
      </c>
      <c r="O38" s="43">
        <v>0</v>
      </c>
      <c r="P38" s="41">
        <v>13141958.4</v>
      </c>
      <c r="Q38" s="43">
        <v>0</v>
      </c>
      <c r="R38" s="41">
        <v>13141958.4</v>
      </c>
      <c r="S38" s="30">
        <v>13141958.4</v>
      </c>
      <c r="T38" s="30">
        <v>13141958.4</v>
      </c>
      <c r="U38" s="30">
        <v>54.54</v>
      </c>
      <c r="V38" s="41">
        <v>54.54</v>
      </c>
      <c r="W38" s="41">
        <v>3272.4</v>
      </c>
      <c r="X38" s="41">
        <v>240960</v>
      </c>
      <c r="Y38" s="41">
        <v>178920</v>
      </c>
      <c r="Z38" s="41">
        <v>62040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4016</v>
      </c>
      <c r="AG38" s="41">
        <v>4016</v>
      </c>
      <c r="AH38" s="36">
        <v>45444</v>
      </c>
      <c r="AI38" s="36">
        <v>45505</v>
      </c>
      <c r="AJ38" s="36"/>
      <c r="AK38" s="36">
        <v>45474</v>
      </c>
      <c r="AL38" s="36">
        <v>45536</v>
      </c>
      <c r="AM38" s="46"/>
      <c r="AN38" s="40" t="s">
        <v>1619</v>
      </c>
      <c r="AO38" s="40" t="s">
        <v>1620</v>
      </c>
      <c r="AP38" s="40" t="s">
        <v>1621</v>
      </c>
      <c r="AQ38" s="40" t="s">
        <v>92</v>
      </c>
      <c r="AR38" s="48">
        <v>0</v>
      </c>
      <c r="AS38" s="37">
        <v>100</v>
      </c>
      <c r="AT38" s="37" t="s">
        <v>386</v>
      </c>
      <c r="AU38" s="47">
        <v>60</v>
      </c>
      <c r="AV38" s="37" t="s">
        <v>60</v>
      </c>
      <c r="AW38" s="37">
        <v>10</v>
      </c>
      <c r="AX38" s="30">
        <v>1314195.8400000001</v>
      </c>
      <c r="AY38" s="40" t="s">
        <v>402</v>
      </c>
    </row>
    <row r="39" spans="1:51" ht="48.75" customHeight="1" x14ac:dyDescent="0.25">
      <c r="A39" s="59" t="s">
        <v>1622</v>
      </c>
      <c r="B39" s="60">
        <v>45315</v>
      </c>
      <c r="C39" s="40" t="s">
        <v>432</v>
      </c>
      <c r="D39" s="35" t="s">
        <v>1623</v>
      </c>
      <c r="E39" s="39" t="s">
        <v>1624</v>
      </c>
      <c r="F39" s="36">
        <v>45348</v>
      </c>
      <c r="G39" s="37" t="s">
        <v>1625</v>
      </c>
      <c r="H39" s="40" t="s">
        <v>53</v>
      </c>
      <c r="I39" s="40" t="s">
        <v>1626</v>
      </c>
      <c r="J39" s="61">
        <v>1645354403.7</v>
      </c>
      <c r="K39" s="41">
        <v>0</v>
      </c>
      <c r="L39" s="54">
        <v>0</v>
      </c>
      <c r="M39" s="54">
        <v>0</v>
      </c>
      <c r="N39" s="42">
        <v>0</v>
      </c>
      <c r="O39" s="43">
        <v>0</v>
      </c>
      <c r="P39" s="61">
        <v>1645354403.7</v>
      </c>
      <c r="Q39" s="43">
        <v>0</v>
      </c>
      <c r="R39" s="61">
        <v>1645354403.7</v>
      </c>
      <c r="S39" s="30">
        <v>1645354403.7</v>
      </c>
      <c r="T39" s="30">
        <v>1645354403.7</v>
      </c>
      <c r="U39" s="30">
        <v>37.67</v>
      </c>
      <c r="V39" s="41">
        <v>37.67</v>
      </c>
      <c r="W39" s="41">
        <v>4520.4000000000005</v>
      </c>
      <c r="X39" s="41">
        <v>43678110</v>
      </c>
      <c r="Y39" s="41">
        <v>21843330</v>
      </c>
      <c r="Z39" s="41">
        <v>21834780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363984.25</v>
      </c>
      <c r="AG39" s="41">
        <v>363985</v>
      </c>
      <c r="AH39" s="36">
        <v>45352</v>
      </c>
      <c r="AI39" s="36">
        <v>45474</v>
      </c>
      <c r="AJ39" s="36"/>
      <c r="AK39" s="36"/>
      <c r="AL39" s="36">
        <v>45383</v>
      </c>
      <c r="AM39" s="46">
        <v>45505</v>
      </c>
      <c r="AN39" s="40" t="s">
        <v>1627</v>
      </c>
      <c r="AO39" s="40" t="s">
        <v>1628</v>
      </c>
      <c r="AP39" s="40" t="s">
        <v>1629</v>
      </c>
      <c r="AQ39" s="40" t="s">
        <v>80</v>
      </c>
      <c r="AR39" s="48">
        <v>100</v>
      </c>
      <c r="AS39" s="37">
        <v>0</v>
      </c>
      <c r="AT39" s="37" t="s">
        <v>386</v>
      </c>
      <c r="AU39" s="47">
        <v>120</v>
      </c>
      <c r="AV39" s="37" t="s">
        <v>60</v>
      </c>
      <c r="AW39" s="37">
        <v>10</v>
      </c>
      <c r="AX39" s="30">
        <v>164535440.37</v>
      </c>
      <c r="AY39" s="40" t="s">
        <v>402</v>
      </c>
    </row>
    <row r="40" spans="1:51" ht="48.75" customHeight="1" x14ac:dyDescent="0.25">
      <c r="A40" s="59" t="s">
        <v>1630</v>
      </c>
      <c r="B40" s="60">
        <v>45315</v>
      </c>
      <c r="C40" s="40" t="s">
        <v>432</v>
      </c>
      <c r="D40" s="35" t="s">
        <v>431</v>
      </c>
      <c r="E40" s="39" t="s">
        <v>1631</v>
      </c>
      <c r="F40" s="36" t="s">
        <v>431</v>
      </c>
      <c r="G40" s="37" t="s">
        <v>431</v>
      </c>
      <c r="H40" s="40" t="s">
        <v>431</v>
      </c>
      <c r="I40" s="40" t="s">
        <v>1632</v>
      </c>
      <c r="J40" s="61">
        <v>25002721.199999999</v>
      </c>
      <c r="K40" s="41">
        <v>0</v>
      </c>
      <c r="L40" s="54">
        <v>0</v>
      </c>
      <c r="M40" s="54">
        <v>0</v>
      </c>
      <c r="N40" s="42">
        <v>100</v>
      </c>
      <c r="O40" s="43">
        <v>25002721.199999999</v>
      </c>
      <c r="P40" s="41"/>
      <c r="Q40" s="43">
        <v>25002721.199999999</v>
      </c>
      <c r="R40" s="41">
        <v>0</v>
      </c>
      <c r="S40" s="30">
        <v>0</v>
      </c>
      <c r="T40" s="30">
        <v>0</v>
      </c>
      <c r="U40" s="30" t="e">
        <v>#DIV/0!</v>
      </c>
      <c r="V40" s="41" t="e">
        <v>#DIV/0!</v>
      </c>
      <c r="W40" s="41" t="e">
        <v>#DIV/0!</v>
      </c>
      <c r="X40" s="41">
        <v>0</v>
      </c>
      <c r="Y40" s="41">
        <v>0</v>
      </c>
      <c r="Z40" s="41">
        <v>0</v>
      </c>
      <c r="AA40" s="41">
        <v>0</v>
      </c>
      <c r="AB40" s="41"/>
      <c r="AC40" s="41" t="e">
        <v>#DIV/0!</v>
      </c>
      <c r="AD40" s="41"/>
      <c r="AE40" s="41" t="e">
        <v>#DIV/0!</v>
      </c>
      <c r="AF40" s="41" t="e">
        <v>#DIV/0!</v>
      </c>
      <c r="AG40" s="41" t="e">
        <v>#DIV/0!</v>
      </c>
      <c r="AH40" s="36">
        <v>45383</v>
      </c>
      <c r="AI40" s="36"/>
      <c r="AJ40" s="36"/>
      <c r="AK40" s="36"/>
      <c r="AL40" s="36"/>
      <c r="AM40" s="46"/>
      <c r="AN40" s="40"/>
      <c r="AO40" s="40"/>
      <c r="AP40" s="40"/>
      <c r="AQ40" s="40"/>
      <c r="AR40" s="48"/>
      <c r="AS40" s="37"/>
      <c r="AT40" s="37"/>
      <c r="AU40" s="47"/>
      <c r="AV40" s="37"/>
      <c r="AW40" s="37">
        <v>10</v>
      </c>
      <c r="AX40" s="30">
        <v>2500272.12</v>
      </c>
      <c r="AY40" s="40" t="s">
        <v>431</v>
      </c>
    </row>
    <row r="41" spans="1:51" ht="48.75" customHeight="1" x14ac:dyDescent="0.25">
      <c r="A41" s="59" t="s">
        <v>1633</v>
      </c>
      <c r="B41" s="60">
        <v>45315</v>
      </c>
      <c r="C41" s="40" t="s">
        <v>432</v>
      </c>
      <c r="D41" s="35" t="s">
        <v>1634</v>
      </c>
      <c r="E41" s="39" t="s">
        <v>1635</v>
      </c>
      <c r="F41" s="36">
        <v>45335</v>
      </c>
      <c r="G41" s="37" t="s">
        <v>1636</v>
      </c>
      <c r="H41" s="57" t="s">
        <v>1637</v>
      </c>
      <c r="I41" s="40" t="s">
        <v>1638</v>
      </c>
      <c r="J41" s="61">
        <v>12275383.800000001</v>
      </c>
      <c r="K41" s="41">
        <v>0</v>
      </c>
      <c r="L41" s="54">
        <v>0</v>
      </c>
      <c r="M41" s="54">
        <v>0</v>
      </c>
      <c r="N41" s="42">
        <v>2.5715204114432657</v>
      </c>
      <c r="O41" s="43">
        <v>315664</v>
      </c>
      <c r="P41" s="41">
        <v>11959719.800000001</v>
      </c>
      <c r="Q41" s="43">
        <v>315664</v>
      </c>
      <c r="R41" s="41">
        <v>11959719.800000001</v>
      </c>
      <c r="S41" s="30">
        <v>11959719.800000001</v>
      </c>
      <c r="T41" s="30">
        <v>11959719.800000001</v>
      </c>
      <c r="U41" s="30">
        <v>30.310000000000002</v>
      </c>
      <c r="V41" s="41">
        <v>30.310000000000002</v>
      </c>
      <c r="W41" s="41">
        <v>606.20000000000005</v>
      </c>
      <c r="X41" s="41">
        <v>394580</v>
      </c>
      <c r="Y41" s="41">
        <v>394580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19729</v>
      </c>
      <c r="AG41" s="41">
        <v>19729</v>
      </c>
      <c r="AH41" s="36">
        <v>45383</v>
      </c>
      <c r="AI41" s="36"/>
      <c r="AJ41" s="36"/>
      <c r="AK41" s="36">
        <v>45413</v>
      </c>
      <c r="AL41" s="36"/>
      <c r="AM41" s="46"/>
      <c r="AN41" s="40" t="s">
        <v>1639</v>
      </c>
      <c r="AO41" s="40" t="s">
        <v>1640</v>
      </c>
      <c r="AP41" s="40" t="s">
        <v>1641</v>
      </c>
      <c r="AQ41" s="40" t="s">
        <v>80</v>
      </c>
      <c r="AR41" s="48">
        <v>100</v>
      </c>
      <c r="AS41" s="37">
        <v>0</v>
      </c>
      <c r="AT41" s="37" t="s">
        <v>386</v>
      </c>
      <c r="AU41" s="47">
        <v>20</v>
      </c>
      <c r="AV41" s="37" t="s">
        <v>60</v>
      </c>
      <c r="AW41" s="37">
        <v>10</v>
      </c>
      <c r="AX41" s="30">
        <v>1227538.3799999999</v>
      </c>
      <c r="AY41" s="40" t="s">
        <v>402</v>
      </c>
    </row>
    <row r="42" spans="1:51" ht="48.75" customHeight="1" x14ac:dyDescent="0.25">
      <c r="A42" s="59" t="s">
        <v>1642</v>
      </c>
      <c r="B42" s="60">
        <v>45315</v>
      </c>
      <c r="C42" s="40" t="s">
        <v>432</v>
      </c>
      <c r="D42" s="35" t="s">
        <v>1643</v>
      </c>
      <c r="E42" s="39" t="s">
        <v>1644</v>
      </c>
      <c r="F42" s="36">
        <v>45335</v>
      </c>
      <c r="G42" s="37" t="s">
        <v>1645</v>
      </c>
      <c r="H42" s="40" t="s">
        <v>224</v>
      </c>
      <c r="I42" s="40" t="s">
        <v>1646</v>
      </c>
      <c r="J42" s="61">
        <v>901309.5</v>
      </c>
      <c r="K42" s="41">
        <v>0</v>
      </c>
      <c r="L42" s="54">
        <v>0</v>
      </c>
      <c r="M42" s="54">
        <v>0</v>
      </c>
      <c r="N42" s="42">
        <v>0</v>
      </c>
      <c r="O42" s="43">
        <v>0</v>
      </c>
      <c r="P42" s="41">
        <v>901309.5</v>
      </c>
      <c r="Q42" s="43">
        <v>0</v>
      </c>
      <c r="R42" s="41">
        <v>901309.5</v>
      </c>
      <c r="S42" s="30">
        <v>901309.5</v>
      </c>
      <c r="T42" s="30">
        <v>901309.5</v>
      </c>
      <c r="U42" s="30">
        <v>4.97</v>
      </c>
      <c r="V42" s="41">
        <v>4.97</v>
      </c>
      <c r="W42" s="41">
        <v>298.2</v>
      </c>
      <c r="X42" s="41">
        <v>181350</v>
      </c>
      <c r="Y42" s="41">
        <v>181350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3022.5</v>
      </c>
      <c r="AG42" s="41">
        <v>3023</v>
      </c>
      <c r="AH42" s="36">
        <v>45383</v>
      </c>
      <c r="AI42" s="36"/>
      <c r="AJ42" s="36"/>
      <c r="AK42" s="36">
        <v>45413</v>
      </c>
      <c r="AL42" s="36"/>
      <c r="AM42" s="46"/>
      <c r="AN42" s="40" t="s">
        <v>1647</v>
      </c>
      <c r="AO42" s="40" t="s">
        <v>1648</v>
      </c>
      <c r="AP42" s="40" t="s">
        <v>1649</v>
      </c>
      <c r="AQ42" s="40" t="s">
        <v>80</v>
      </c>
      <c r="AR42" s="48">
        <v>100</v>
      </c>
      <c r="AS42" s="37">
        <v>0</v>
      </c>
      <c r="AT42" s="37" t="s">
        <v>386</v>
      </c>
      <c r="AU42" s="47">
        <v>60</v>
      </c>
      <c r="AV42" s="37" t="s">
        <v>219</v>
      </c>
      <c r="AW42" s="37">
        <v>10</v>
      </c>
      <c r="AX42" s="30">
        <v>90130.95</v>
      </c>
      <c r="AY42" s="40" t="s">
        <v>402</v>
      </c>
    </row>
    <row r="43" spans="1:51" ht="48.75" customHeight="1" x14ac:dyDescent="0.25">
      <c r="A43" s="59" t="s">
        <v>1650</v>
      </c>
      <c r="B43" s="60">
        <v>45315</v>
      </c>
      <c r="C43" s="40" t="s">
        <v>432</v>
      </c>
      <c r="D43" s="35" t="s">
        <v>1651</v>
      </c>
      <c r="E43" s="39" t="s">
        <v>1652</v>
      </c>
      <c r="F43" s="36">
        <v>45343</v>
      </c>
      <c r="G43" s="37" t="s">
        <v>1653</v>
      </c>
      <c r="H43" s="40" t="s">
        <v>1654</v>
      </c>
      <c r="I43" s="40" t="s">
        <v>1655</v>
      </c>
      <c r="J43" s="61">
        <v>62961254.399999999</v>
      </c>
      <c r="K43" s="41">
        <v>0</v>
      </c>
      <c r="L43" s="54">
        <v>0</v>
      </c>
      <c r="M43" s="54">
        <v>0</v>
      </c>
      <c r="N43" s="42">
        <v>1.1718749999999929</v>
      </c>
      <c r="O43" s="43">
        <v>737827.19999999553</v>
      </c>
      <c r="P43" s="41">
        <v>62223427.200000003</v>
      </c>
      <c r="Q43" s="43">
        <v>737827.19999999553</v>
      </c>
      <c r="R43" s="41">
        <v>62223427.200000003</v>
      </c>
      <c r="S43" s="30">
        <v>62223427.200000003</v>
      </c>
      <c r="T43" s="30">
        <v>62223427.200000003</v>
      </c>
      <c r="U43" s="30">
        <v>27.830000000000002</v>
      </c>
      <c r="V43" s="41">
        <v>27.830000000000002</v>
      </c>
      <c r="W43" s="41">
        <v>556.6</v>
      </c>
      <c r="X43" s="41">
        <v>2235840</v>
      </c>
      <c r="Y43" s="41">
        <v>846360</v>
      </c>
      <c r="Z43" s="41">
        <v>1389480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111792</v>
      </c>
      <c r="AG43" s="41">
        <v>111792</v>
      </c>
      <c r="AH43" s="36">
        <v>45383</v>
      </c>
      <c r="AI43" s="36">
        <v>45444</v>
      </c>
      <c r="AJ43" s="36"/>
      <c r="AK43" s="36">
        <v>45413</v>
      </c>
      <c r="AL43" s="36">
        <v>45474</v>
      </c>
      <c r="AM43" s="46"/>
      <c r="AN43" s="40" t="s">
        <v>1656</v>
      </c>
      <c r="AO43" s="40" t="s">
        <v>1657</v>
      </c>
      <c r="AP43" s="40" t="s">
        <v>1658</v>
      </c>
      <c r="AQ43" s="40" t="s">
        <v>80</v>
      </c>
      <c r="AR43" s="48">
        <v>100</v>
      </c>
      <c r="AS43" s="37">
        <v>0</v>
      </c>
      <c r="AT43" s="37" t="s">
        <v>386</v>
      </c>
      <c r="AU43" s="47">
        <v>20</v>
      </c>
      <c r="AV43" s="37" t="s">
        <v>60</v>
      </c>
      <c r="AW43" s="37">
        <v>10</v>
      </c>
      <c r="AX43" s="30">
        <v>6296125.4400000004</v>
      </c>
      <c r="AY43" s="40" t="s">
        <v>402</v>
      </c>
    </row>
    <row r="44" spans="1:51" ht="48.75" customHeight="1" x14ac:dyDescent="0.25">
      <c r="A44" s="59" t="s">
        <v>1659</v>
      </c>
      <c r="B44" s="60">
        <v>45315</v>
      </c>
      <c r="C44" s="40" t="s">
        <v>432</v>
      </c>
      <c r="D44" s="37" t="s">
        <v>431</v>
      </c>
      <c r="E44" s="39" t="s">
        <v>1660</v>
      </c>
      <c r="F44" s="37" t="s">
        <v>431</v>
      </c>
      <c r="G44" s="37" t="s">
        <v>431</v>
      </c>
      <c r="H44" s="37" t="s">
        <v>431</v>
      </c>
      <c r="I44" s="40" t="s">
        <v>1661</v>
      </c>
      <c r="J44" s="61">
        <v>21929927.280000001</v>
      </c>
      <c r="K44" s="41">
        <v>0</v>
      </c>
      <c r="L44" s="54">
        <v>0</v>
      </c>
      <c r="M44" s="54">
        <v>0</v>
      </c>
      <c r="N44" s="42">
        <v>100</v>
      </c>
      <c r="O44" s="43">
        <v>21929927.280000001</v>
      </c>
      <c r="P44" s="41"/>
      <c r="Q44" s="43">
        <v>21929927.280000001</v>
      </c>
      <c r="R44" s="41">
        <v>0</v>
      </c>
      <c r="S44" s="30">
        <v>0</v>
      </c>
      <c r="T44" s="30">
        <v>0</v>
      </c>
      <c r="U44" s="30" t="e">
        <v>#DIV/0!</v>
      </c>
      <c r="V44" s="41" t="e">
        <v>#DIV/0!</v>
      </c>
      <c r="W44" s="41" t="e">
        <v>#DIV/0!</v>
      </c>
      <c r="X44" s="41">
        <v>0</v>
      </c>
      <c r="Y44" s="41">
        <v>0</v>
      </c>
      <c r="Z44" s="41">
        <v>0</v>
      </c>
      <c r="AA44" s="41">
        <v>0</v>
      </c>
      <c r="AB44" s="41"/>
      <c r="AC44" s="41" t="e">
        <v>#DIV/0!</v>
      </c>
      <c r="AD44" s="41"/>
      <c r="AE44" s="41" t="e">
        <v>#DIV/0!</v>
      </c>
      <c r="AF44" s="41" t="e">
        <v>#DIV/0!</v>
      </c>
      <c r="AG44" s="41" t="e">
        <v>#DIV/0!</v>
      </c>
      <c r="AH44" s="36">
        <v>45382</v>
      </c>
      <c r="AI44" s="36"/>
      <c r="AJ44" s="36"/>
      <c r="AK44" s="36"/>
      <c r="AL44" s="36"/>
      <c r="AM44" s="46"/>
      <c r="AN44" s="40"/>
      <c r="AO44" s="40"/>
      <c r="AP44" s="40"/>
      <c r="AQ44" s="40"/>
      <c r="AR44" s="48"/>
      <c r="AS44" s="37"/>
      <c r="AT44" s="37"/>
      <c r="AU44" s="47"/>
      <c r="AV44" s="37"/>
      <c r="AW44" s="37">
        <v>10</v>
      </c>
      <c r="AX44" s="30">
        <v>2192992.7280000001</v>
      </c>
      <c r="AY44" s="40" t="s">
        <v>431</v>
      </c>
    </row>
    <row r="45" spans="1:51" ht="48.75" customHeight="1" x14ac:dyDescent="0.25">
      <c r="A45" s="59" t="s">
        <v>1662</v>
      </c>
      <c r="B45" s="60">
        <v>45315</v>
      </c>
      <c r="C45" s="40" t="s">
        <v>432</v>
      </c>
      <c r="D45" s="37" t="s">
        <v>431</v>
      </c>
      <c r="E45" s="39" t="s">
        <v>1663</v>
      </c>
      <c r="F45" s="37" t="s">
        <v>431</v>
      </c>
      <c r="G45" s="37" t="s">
        <v>431</v>
      </c>
      <c r="H45" s="37" t="s">
        <v>431</v>
      </c>
      <c r="I45" s="40" t="s">
        <v>1664</v>
      </c>
      <c r="J45" s="61">
        <v>187929721.19999999</v>
      </c>
      <c r="K45" s="41">
        <v>0</v>
      </c>
      <c r="L45" s="54">
        <v>0</v>
      </c>
      <c r="M45" s="54">
        <v>0</v>
      </c>
      <c r="N45" s="42">
        <v>100</v>
      </c>
      <c r="O45" s="43">
        <v>187929721.19999999</v>
      </c>
      <c r="P45" s="41"/>
      <c r="Q45" s="43">
        <v>187929721.19999999</v>
      </c>
      <c r="R45" s="41">
        <v>0</v>
      </c>
      <c r="S45" s="30">
        <v>0</v>
      </c>
      <c r="T45" s="30">
        <v>0</v>
      </c>
      <c r="U45" s="30" t="e">
        <v>#DIV/0!</v>
      </c>
      <c r="V45" s="41" t="e">
        <v>#DIV/0!</v>
      </c>
      <c r="W45" s="41" t="e">
        <v>#DIV/0!</v>
      </c>
      <c r="X45" s="41">
        <v>0</v>
      </c>
      <c r="Y45" s="41">
        <v>0</v>
      </c>
      <c r="Z45" s="41">
        <v>0</v>
      </c>
      <c r="AA45" s="41">
        <v>0</v>
      </c>
      <c r="AB45" s="41"/>
      <c r="AC45" s="41" t="e">
        <v>#DIV/0!</v>
      </c>
      <c r="AD45" s="41"/>
      <c r="AE45" s="41" t="e">
        <v>#DIV/0!</v>
      </c>
      <c r="AF45" s="41" t="e">
        <v>#DIV/0!</v>
      </c>
      <c r="AG45" s="41" t="e">
        <v>#DIV/0!</v>
      </c>
      <c r="AH45" s="36">
        <v>45382</v>
      </c>
      <c r="AI45" s="36"/>
      <c r="AJ45" s="36"/>
      <c r="AK45" s="36"/>
      <c r="AL45" s="36"/>
      <c r="AM45" s="46"/>
      <c r="AN45" s="40"/>
      <c r="AO45" s="40"/>
      <c r="AP45" s="40"/>
      <c r="AQ45" s="40"/>
      <c r="AR45" s="48"/>
      <c r="AS45" s="37"/>
      <c r="AT45" s="37"/>
      <c r="AU45" s="47"/>
      <c r="AV45" s="37"/>
      <c r="AW45" s="37">
        <v>10</v>
      </c>
      <c r="AX45" s="30">
        <v>18792972.120000001</v>
      </c>
      <c r="AY45" s="40" t="s">
        <v>431</v>
      </c>
    </row>
    <row r="46" spans="1:51" ht="48.75" customHeight="1" x14ac:dyDescent="0.25">
      <c r="A46" s="59" t="s">
        <v>1665</v>
      </c>
      <c r="B46" s="60">
        <v>45315</v>
      </c>
      <c r="C46" s="40" t="s">
        <v>432</v>
      </c>
      <c r="D46" s="37" t="s">
        <v>431</v>
      </c>
      <c r="E46" s="39" t="s">
        <v>1666</v>
      </c>
      <c r="F46" s="37" t="s">
        <v>431</v>
      </c>
      <c r="G46" s="37" t="s">
        <v>431</v>
      </c>
      <c r="H46" s="37" t="s">
        <v>431</v>
      </c>
      <c r="I46" s="40" t="s">
        <v>1667</v>
      </c>
      <c r="J46" s="61">
        <v>35170380</v>
      </c>
      <c r="K46" s="41">
        <v>0</v>
      </c>
      <c r="L46" s="54">
        <v>0</v>
      </c>
      <c r="M46" s="54">
        <v>0</v>
      </c>
      <c r="N46" s="42">
        <v>100</v>
      </c>
      <c r="O46" s="43">
        <v>35170380</v>
      </c>
      <c r="P46" s="41"/>
      <c r="Q46" s="43">
        <v>35170380</v>
      </c>
      <c r="R46" s="41">
        <v>0</v>
      </c>
      <c r="S46" s="30">
        <v>0</v>
      </c>
      <c r="T46" s="30">
        <v>0</v>
      </c>
      <c r="U46" s="30" t="e">
        <v>#DIV/0!</v>
      </c>
      <c r="V46" s="41" t="e">
        <v>#DIV/0!</v>
      </c>
      <c r="W46" s="41" t="e">
        <v>#DIV/0!</v>
      </c>
      <c r="X46" s="41">
        <v>0</v>
      </c>
      <c r="Y46" s="41">
        <v>0</v>
      </c>
      <c r="Z46" s="41">
        <v>0</v>
      </c>
      <c r="AA46" s="41">
        <v>0</v>
      </c>
      <c r="AB46" s="41"/>
      <c r="AC46" s="41" t="e">
        <v>#DIV/0!</v>
      </c>
      <c r="AD46" s="41"/>
      <c r="AE46" s="41" t="e">
        <v>#DIV/0!</v>
      </c>
      <c r="AF46" s="41" t="e">
        <v>#DIV/0!</v>
      </c>
      <c r="AG46" s="41" t="e">
        <v>#DIV/0!</v>
      </c>
      <c r="AH46" s="36">
        <v>45383</v>
      </c>
      <c r="AI46" s="36"/>
      <c r="AJ46" s="36"/>
      <c r="AK46" s="36"/>
      <c r="AL46" s="36"/>
      <c r="AM46" s="46"/>
      <c r="AN46" s="40"/>
      <c r="AO46" s="40"/>
      <c r="AP46" s="40"/>
      <c r="AQ46" s="40"/>
      <c r="AR46" s="48"/>
      <c r="AS46" s="37"/>
      <c r="AT46" s="37"/>
      <c r="AU46" s="47"/>
      <c r="AV46" s="37"/>
      <c r="AW46" s="37">
        <v>10</v>
      </c>
      <c r="AX46" s="30">
        <v>3517038</v>
      </c>
      <c r="AY46" s="40" t="s">
        <v>431</v>
      </c>
    </row>
    <row r="47" spans="1:51" ht="48.75" customHeight="1" x14ac:dyDescent="0.25">
      <c r="A47" s="59" t="s">
        <v>1668</v>
      </c>
      <c r="B47" s="60">
        <v>45315</v>
      </c>
      <c r="C47" s="40" t="s">
        <v>432</v>
      </c>
      <c r="D47" s="37" t="s">
        <v>431</v>
      </c>
      <c r="E47" s="39" t="s">
        <v>1669</v>
      </c>
      <c r="F47" s="37" t="s">
        <v>431</v>
      </c>
      <c r="G47" s="37" t="s">
        <v>431</v>
      </c>
      <c r="H47" s="37" t="s">
        <v>431</v>
      </c>
      <c r="I47" s="40" t="s">
        <v>1670</v>
      </c>
      <c r="J47" s="61">
        <v>1138737.6000000001</v>
      </c>
      <c r="K47" s="41">
        <v>0</v>
      </c>
      <c r="L47" s="54">
        <v>0</v>
      </c>
      <c r="M47" s="54">
        <v>0</v>
      </c>
      <c r="N47" s="42">
        <v>100</v>
      </c>
      <c r="O47" s="43">
        <v>1138737.6000000001</v>
      </c>
      <c r="P47" s="41"/>
      <c r="Q47" s="43">
        <v>1138737.6000000001</v>
      </c>
      <c r="R47" s="41">
        <v>0</v>
      </c>
      <c r="S47" s="30">
        <v>0</v>
      </c>
      <c r="T47" s="30">
        <v>0</v>
      </c>
      <c r="U47" s="30" t="e">
        <v>#DIV/0!</v>
      </c>
      <c r="V47" s="41" t="e">
        <v>#DIV/0!</v>
      </c>
      <c r="W47" s="41" t="e">
        <v>#DIV/0!</v>
      </c>
      <c r="X47" s="41">
        <v>0</v>
      </c>
      <c r="Y47" s="41">
        <v>0</v>
      </c>
      <c r="Z47" s="41">
        <v>0</v>
      </c>
      <c r="AA47" s="41">
        <v>0</v>
      </c>
      <c r="AB47" s="41"/>
      <c r="AC47" s="41" t="e">
        <v>#DIV/0!</v>
      </c>
      <c r="AD47" s="41"/>
      <c r="AE47" s="41" t="e">
        <v>#DIV/0!</v>
      </c>
      <c r="AF47" s="41" t="e">
        <v>#DIV/0!</v>
      </c>
      <c r="AG47" s="41" t="e">
        <v>#DIV/0!</v>
      </c>
      <c r="AH47" s="36">
        <v>45383</v>
      </c>
      <c r="AI47" s="36"/>
      <c r="AJ47" s="36"/>
      <c r="AK47" s="36"/>
      <c r="AL47" s="36"/>
      <c r="AM47" s="46"/>
      <c r="AN47" s="40"/>
      <c r="AO47" s="40"/>
      <c r="AP47" s="40"/>
      <c r="AQ47" s="40"/>
      <c r="AR47" s="48"/>
      <c r="AS47" s="37"/>
      <c r="AT47" s="37"/>
      <c r="AU47" s="47"/>
      <c r="AV47" s="37"/>
      <c r="AW47" s="37">
        <v>10</v>
      </c>
      <c r="AX47" s="30">
        <v>113873.76</v>
      </c>
      <c r="AY47" s="40" t="s">
        <v>431</v>
      </c>
    </row>
    <row r="48" spans="1:51" ht="48.75" customHeight="1" x14ac:dyDescent="0.25">
      <c r="A48" s="59" t="s">
        <v>1671</v>
      </c>
      <c r="B48" s="60">
        <v>45315</v>
      </c>
      <c r="C48" s="40" t="s">
        <v>432</v>
      </c>
      <c r="D48" s="35" t="s">
        <v>1672</v>
      </c>
      <c r="E48" s="39" t="s">
        <v>1673</v>
      </c>
      <c r="F48" s="36">
        <v>45335</v>
      </c>
      <c r="G48" s="37" t="s">
        <v>1674</v>
      </c>
      <c r="H48" s="40" t="s">
        <v>203</v>
      </c>
      <c r="I48" s="40" t="s">
        <v>1675</v>
      </c>
      <c r="J48" s="61">
        <v>8321227.2000000002</v>
      </c>
      <c r="K48" s="41">
        <v>0</v>
      </c>
      <c r="L48" s="54">
        <v>0</v>
      </c>
      <c r="M48" s="54">
        <v>0</v>
      </c>
      <c r="N48" s="42">
        <v>0</v>
      </c>
      <c r="O48" s="43">
        <v>0</v>
      </c>
      <c r="P48" s="41">
        <v>8321227.2000000002</v>
      </c>
      <c r="Q48" s="43">
        <v>0</v>
      </c>
      <c r="R48" s="41">
        <v>8321227.2000000002</v>
      </c>
      <c r="S48" s="30">
        <v>8321227.2000000002</v>
      </c>
      <c r="T48" s="30">
        <v>8321227.2000000002</v>
      </c>
      <c r="U48" s="30">
        <v>25.740000000000002</v>
      </c>
      <c r="V48" s="41">
        <v>25.740000000000002</v>
      </c>
      <c r="W48" s="41">
        <v>1544.4</v>
      </c>
      <c r="X48" s="41">
        <v>323280</v>
      </c>
      <c r="Y48" s="41">
        <v>323280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5388</v>
      </c>
      <c r="AG48" s="41">
        <v>5388</v>
      </c>
      <c r="AH48" s="36">
        <v>45382</v>
      </c>
      <c r="AI48" s="36"/>
      <c r="AJ48" s="36"/>
      <c r="AK48" s="36">
        <v>45413</v>
      </c>
      <c r="AL48" s="36"/>
      <c r="AM48" s="46"/>
      <c r="AN48" s="40" t="s">
        <v>1676</v>
      </c>
      <c r="AO48" s="40" t="s">
        <v>1677</v>
      </c>
      <c r="AP48" s="40" t="s">
        <v>1678</v>
      </c>
      <c r="AQ48" s="40" t="s">
        <v>80</v>
      </c>
      <c r="AR48" s="48">
        <v>100</v>
      </c>
      <c r="AS48" s="37">
        <v>0</v>
      </c>
      <c r="AT48" s="37" t="s">
        <v>386</v>
      </c>
      <c r="AU48" s="47">
        <v>60</v>
      </c>
      <c r="AV48" s="37" t="s">
        <v>219</v>
      </c>
      <c r="AW48" s="37">
        <v>10</v>
      </c>
      <c r="AX48" s="30">
        <v>832122.72</v>
      </c>
      <c r="AY48" s="40" t="s">
        <v>402</v>
      </c>
    </row>
    <row r="49" spans="1:51" ht="48.75" customHeight="1" x14ac:dyDescent="0.25">
      <c r="A49" s="59" t="s">
        <v>1679</v>
      </c>
      <c r="B49" s="60">
        <v>45315</v>
      </c>
      <c r="C49" s="40" t="s">
        <v>432</v>
      </c>
      <c r="D49" s="35" t="s">
        <v>1680</v>
      </c>
      <c r="E49" s="39" t="s">
        <v>1681</v>
      </c>
      <c r="F49" s="36">
        <v>45335</v>
      </c>
      <c r="G49" s="37" t="s">
        <v>1682</v>
      </c>
      <c r="H49" s="40" t="s">
        <v>203</v>
      </c>
      <c r="I49" s="40" t="s">
        <v>1683</v>
      </c>
      <c r="J49" s="61">
        <v>7038016</v>
      </c>
      <c r="K49" s="41">
        <v>0</v>
      </c>
      <c r="L49" s="54">
        <v>0</v>
      </c>
      <c r="M49" s="54">
        <v>0</v>
      </c>
      <c r="N49" s="42">
        <v>0</v>
      </c>
      <c r="O49" s="43">
        <v>0</v>
      </c>
      <c r="P49" s="41">
        <v>7038016</v>
      </c>
      <c r="Q49" s="43">
        <v>0</v>
      </c>
      <c r="R49" s="41">
        <v>7038016</v>
      </c>
      <c r="S49" s="30">
        <v>6987200</v>
      </c>
      <c r="T49" s="30">
        <v>6987200</v>
      </c>
      <c r="U49" s="30">
        <v>11</v>
      </c>
      <c r="V49" s="41">
        <v>11</v>
      </c>
      <c r="W49" s="41">
        <v>3300</v>
      </c>
      <c r="X49" s="41">
        <v>635200</v>
      </c>
      <c r="Y49" s="41">
        <v>635200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2117.3333333333335</v>
      </c>
      <c r="AG49" s="41">
        <v>2118</v>
      </c>
      <c r="AH49" s="36">
        <v>45366</v>
      </c>
      <c r="AI49" s="36"/>
      <c r="AJ49" s="36"/>
      <c r="AK49" s="36">
        <v>45397</v>
      </c>
      <c r="AL49" s="36"/>
      <c r="AM49" s="46"/>
      <c r="AN49" s="40" t="s">
        <v>1684</v>
      </c>
      <c r="AO49" s="40" t="s">
        <v>1685</v>
      </c>
      <c r="AP49" s="40" t="s">
        <v>1686</v>
      </c>
      <c r="AQ49" s="40" t="s">
        <v>80</v>
      </c>
      <c r="AR49" s="48">
        <v>100</v>
      </c>
      <c r="AS49" s="37">
        <v>0</v>
      </c>
      <c r="AT49" s="37" t="s">
        <v>81</v>
      </c>
      <c r="AU49" s="47">
        <v>300</v>
      </c>
      <c r="AV49" s="37" t="s">
        <v>219</v>
      </c>
      <c r="AW49" s="37">
        <v>10</v>
      </c>
      <c r="AX49" s="30">
        <v>703801.6</v>
      </c>
      <c r="AY49" s="40" t="s">
        <v>402</v>
      </c>
    </row>
    <row r="50" spans="1:51" ht="48.75" customHeight="1" x14ac:dyDescent="0.25">
      <c r="A50" s="59" t="s">
        <v>1687</v>
      </c>
      <c r="B50" s="60">
        <v>45316</v>
      </c>
      <c r="C50" s="40" t="s">
        <v>432</v>
      </c>
      <c r="D50" s="35" t="s">
        <v>1688</v>
      </c>
      <c r="E50" s="39" t="s">
        <v>1689</v>
      </c>
      <c r="F50" s="36">
        <v>45335</v>
      </c>
      <c r="G50" s="37" t="s">
        <v>1690</v>
      </c>
      <c r="H50" s="40" t="s">
        <v>224</v>
      </c>
      <c r="I50" s="40" t="s">
        <v>1691</v>
      </c>
      <c r="J50" s="61">
        <v>12870732</v>
      </c>
      <c r="K50" s="41">
        <v>0</v>
      </c>
      <c r="L50" s="54">
        <v>0</v>
      </c>
      <c r="M50" s="54">
        <v>0</v>
      </c>
      <c r="N50" s="42">
        <v>0</v>
      </c>
      <c r="O50" s="43">
        <v>0</v>
      </c>
      <c r="P50" s="41">
        <v>12870732</v>
      </c>
      <c r="Q50" s="43">
        <v>0</v>
      </c>
      <c r="R50" s="41">
        <v>12870732</v>
      </c>
      <c r="S50" s="30">
        <v>12870732</v>
      </c>
      <c r="T50" s="30">
        <v>12870732</v>
      </c>
      <c r="U50" s="30">
        <v>62.54</v>
      </c>
      <c r="V50" s="41">
        <v>62.54</v>
      </c>
      <c r="W50" s="41">
        <v>7504.8</v>
      </c>
      <c r="X50" s="41">
        <v>205800</v>
      </c>
      <c r="Y50" s="41">
        <v>205800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1715</v>
      </c>
      <c r="AG50" s="41">
        <v>1715</v>
      </c>
      <c r="AH50" s="36">
        <v>45366</v>
      </c>
      <c r="AI50" s="36"/>
      <c r="AJ50" s="36"/>
      <c r="AK50" s="36">
        <v>45397</v>
      </c>
      <c r="AL50" s="36"/>
      <c r="AM50" s="46"/>
      <c r="AN50" s="40" t="s">
        <v>1692</v>
      </c>
      <c r="AO50" s="40" t="s">
        <v>1693</v>
      </c>
      <c r="AP50" s="40" t="s">
        <v>1694</v>
      </c>
      <c r="AQ50" s="40" t="s">
        <v>80</v>
      </c>
      <c r="AR50" s="48">
        <v>100</v>
      </c>
      <c r="AS50" s="37">
        <v>0</v>
      </c>
      <c r="AT50" s="37" t="s">
        <v>386</v>
      </c>
      <c r="AU50" s="47">
        <v>120</v>
      </c>
      <c r="AV50" s="37" t="s">
        <v>60</v>
      </c>
      <c r="AW50" s="37">
        <v>10</v>
      </c>
      <c r="AX50" s="30">
        <v>1287073.2</v>
      </c>
      <c r="AY50" s="40" t="s">
        <v>402</v>
      </c>
    </row>
    <row r="51" spans="1:51" ht="48.75" customHeight="1" x14ac:dyDescent="0.25">
      <c r="A51" s="59" t="s">
        <v>1695</v>
      </c>
      <c r="B51" s="60">
        <v>45316</v>
      </c>
      <c r="C51" s="40" t="s">
        <v>432</v>
      </c>
      <c r="D51" s="35" t="s">
        <v>1696</v>
      </c>
      <c r="E51" s="39" t="s">
        <v>1697</v>
      </c>
      <c r="F51" s="36">
        <v>45335</v>
      </c>
      <c r="G51" s="37" t="s">
        <v>1698</v>
      </c>
      <c r="H51" s="40" t="s">
        <v>224</v>
      </c>
      <c r="I51" s="40" t="s">
        <v>1699</v>
      </c>
      <c r="J51" s="61">
        <v>10821789</v>
      </c>
      <c r="K51" s="41">
        <v>0</v>
      </c>
      <c r="L51" s="54">
        <v>0</v>
      </c>
      <c r="M51" s="54">
        <v>0</v>
      </c>
      <c r="N51" s="42">
        <v>0</v>
      </c>
      <c r="O51" s="43">
        <v>0</v>
      </c>
      <c r="P51" s="41">
        <v>10821789</v>
      </c>
      <c r="Q51" s="43">
        <v>0</v>
      </c>
      <c r="R51" s="41">
        <v>10821789</v>
      </c>
      <c r="S51" s="30">
        <v>10821789</v>
      </c>
      <c r="T51" s="30">
        <v>10821789</v>
      </c>
      <c r="U51" s="30">
        <v>9.1300000000000008</v>
      </c>
      <c r="V51" s="41">
        <v>9.1300000000000008</v>
      </c>
      <c r="W51" s="41">
        <v>547.80000000000007</v>
      </c>
      <c r="X51" s="41">
        <v>1185300</v>
      </c>
      <c r="Y51" s="41">
        <v>1185300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19755</v>
      </c>
      <c r="AG51" s="41">
        <v>19755</v>
      </c>
      <c r="AH51" s="36">
        <v>45383</v>
      </c>
      <c r="AI51" s="36"/>
      <c r="AJ51" s="36"/>
      <c r="AK51" s="36">
        <v>45413</v>
      </c>
      <c r="AL51" s="36"/>
      <c r="AM51" s="46"/>
      <c r="AN51" s="40" t="s">
        <v>1647</v>
      </c>
      <c r="AO51" s="40" t="s">
        <v>1700</v>
      </c>
      <c r="AP51" s="40" t="s">
        <v>1649</v>
      </c>
      <c r="AQ51" s="40" t="s">
        <v>80</v>
      </c>
      <c r="AR51" s="48">
        <v>100</v>
      </c>
      <c r="AS51" s="37">
        <v>0</v>
      </c>
      <c r="AT51" s="37" t="s">
        <v>386</v>
      </c>
      <c r="AU51" s="47">
        <v>60</v>
      </c>
      <c r="AV51" s="37" t="s">
        <v>60</v>
      </c>
      <c r="AW51" s="37">
        <v>10</v>
      </c>
      <c r="AX51" s="30">
        <v>1082178.8999999999</v>
      </c>
      <c r="AY51" s="40" t="s">
        <v>402</v>
      </c>
    </row>
    <row r="52" spans="1:51" ht="48.75" customHeight="1" x14ac:dyDescent="0.25">
      <c r="A52" s="59" t="s">
        <v>1701</v>
      </c>
      <c r="B52" s="60">
        <v>45316</v>
      </c>
      <c r="C52" s="40" t="s">
        <v>432</v>
      </c>
      <c r="D52" s="35" t="s">
        <v>1702</v>
      </c>
      <c r="E52" s="39" t="s">
        <v>1703</v>
      </c>
      <c r="F52" s="36">
        <v>45335</v>
      </c>
      <c r="G52" s="37" t="s">
        <v>1704</v>
      </c>
      <c r="H52" s="40" t="s">
        <v>224</v>
      </c>
      <c r="I52" s="40" t="s">
        <v>1705</v>
      </c>
      <c r="J52" s="61">
        <v>2895874.56</v>
      </c>
      <c r="K52" s="41">
        <v>0</v>
      </c>
      <c r="L52" s="54">
        <v>0</v>
      </c>
      <c r="M52" s="54">
        <v>0</v>
      </c>
      <c r="N52" s="42">
        <v>0</v>
      </c>
      <c r="O52" s="43">
        <v>0</v>
      </c>
      <c r="P52" s="41">
        <v>2895874.56</v>
      </c>
      <c r="Q52" s="43">
        <v>0</v>
      </c>
      <c r="R52" s="41">
        <v>2895874.56</v>
      </c>
      <c r="S52" s="30">
        <v>2895874.56</v>
      </c>
      <c r="T52" s="30">
        <v>2895874.56</v>
      </c>
      <c r="U52" s="30">
        <v>2.58</v>
      </c>
      <c r="V52" s="41">
        <v>2.58</v>
      </c>
      <c r="W52" s="41">
        <v>154.80000000000001</v>
      </c>
      <c r="X52" s="41">
        <v>1122432</v>
      </c>
      <c r="Y52" s="41">
        <v>1122432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18707.2</v>
      </c>
      <c r="AG52" s="41">
        <v>18708</v>
      </c>
      <c r="AH52" s="36">
        <v>45366</v>
      </c>
      <c r="AI52" s="36"/>
      <c r="AJ52" s="36"/>
      <c r="AK52" s="36">
        <v>45397</v>
      </c>
      <c r="AL52" s="36"/>
      <c r="AM52" s="46"/>
      <c r="AN52" s="40" t="s">
        <v>1706</v>
      </c>
      <c r="AO52" s="40" t="s">
        <v>1707</v>
      </c>
      <c r="AP52" s="40" t="s">
        <v>1708</v>
      </c>
      <c r="AQ52" s="40" t="s">
        <v>80</v>
      </c>
      <c r="AR52" s="48">
        <v>100</v>
      </c>
      <c r="AS52" s="37">
        <v>0</v>
      </c>
      <c r="AT52" s="37" t="s">
        <v>386</v>
      </c>
      <c r="AU52" s="47">
        <v>60</v>
      </c>
      <c r="AV52" s="37" t="s">
        <v>60</v>
      </c>
      <c r="AW52" s="37">
        <v>10</v>
      </c>
      <c r="AX52" s="30">
        <v>289587.45600000001</v>
      </c>
      <c r="AY52" s="40" t="s">
        <v>402</v>
      </c>
    </row>
    <row r="53" spans="1:51" ht="48.75" customHeight="1" x14ac:dyDescent="0.25">
      <c r="A53" s="59" t="s">
        <v>1709</v>
      </c>
      <c r="B53" s="60">
        <v>45316</v>
      </c>
      <c r="C53" s="40" t="s">
        <v>432</v>
      </c>
      <c r="D53" s="35" t="s">
        <v>431</v>
      </c>
      <c r="E53" s="39" t="s">
        <v>1710</v>
      </c>
      <c r="F53" s="36" t="s">
        <v>431</v>
      </c>
      <c r="G53" s="37" t="s">
        <v>431</v>
      </c>
      <c r="H53" s="40" t="s">
        <v>431</v>
      </c>
      <c r="I53" s="40" t="s">
        <v>1711</v>
      </c>
      <c r="J53" s="61">
        <v>95225220</v>
      </c>
      <c r="K53" s="41">
        <v>0</v>
      </c>
      <c r="L53" s="54">
        <v>0</v>
      </c>
      <c r="M53" s="54">
        <v>0</v>
      </c>
      <c r="N53" s="42">
        <v>100</v>
      </c>
      <c r="O53" s="43">
        <v>95225220</v>
      </c>
      <c r="P53" s="41"/>
      <c r="Q53" s="43">
        <v>95225220</v>
      </c>
      <c r="R53" s="41">
        <v>0</v>
      </c>
      <c r="S53" s="30">
        <v>0</v>
      </c>
      <c r="T53" s="30">
        <v>0</v>
      </c>
      <c r="U53" s="30" t="e">
        <v>#DIV/0!</v>
      </c>
      <c r="V53" s="41" t="e">
        <v>#DIV/0!</v>
      </c>
      <c r="W53" s="41" t="e">
        <v>#DIV/0!</v>
      </c>
      <c r="X53" s="41">
        <v>0</v>
      </c>
      <c r="Y53" s="41">
        <v>0</v>
      </c>
      <c r="Z53" s="41">
        <v>0</v>
      </c>
      <c r="AA53" s="41">
        <v>0</v>
      </c>
      <c r="AB53" s="41"/>
      <c r="AC53" s="41" t="e">
        <v>#DIV/0!</v>
      </c>
      <c r="AD53" s="41"/>
      <c r="AE53" s="41" t="e">
        <v>#DIV/0!</v>
      </c>
      <c r="AF53" s="41" t="e">
        <v>#DIV/0!</v>
      </c>
      <c r="AG53" s="41" t="e">
        <v>#DIV/0!</v>
      </c>
      <c r="AH53" s="36">
        <v>45383</v>
      </c>
      <c r="AI53" s="36"/>
      <c r="AJ53" s="36"/>
      <c r="AK53" s="36"/>
      <c r="AL53" s="36"/>
      <c r="AM53" s="46"/>
      <c r="AN53" s="40"/>
      <c r="AO53" s="40"/>
      <c r="AP53" s="40"/>
      <c r="AQ53" s="40"/>
      <c r="AR53" s="48"/>
      <c r="AS53" s="37"/>
      <c r="AT53" s="37"/>
      <c r="AU53" s="47"/>
      <c r="AV53" s="37"/>
      <c r="AW53" s="37">
        <v>10</v>
      </c>
      <c r="AX53" s="30">
        <v>9522522</v>
      </c>
      <c r="AY53" s="40" t="s">
        <v>431</v>
      </c>
    </row>
    <row r="54" spans="1:51" ht="48.75" customHeight="1" x14ac:dyDescent="0.25">
      <c r="A54" s="59" t="s">
        <v>1712</v>
      </c>
      <c r="B54" s="60">
        <v>45316</v>
      </c>
      <c r="C54" s="40" t="s">
        <v>432</v>
      </c>
      <c r="D54" s="35" t="s">
        <v>1713</v>
      </c>
      <c r="E54" s="39" t="s">
        <v>1714</v>
      </c>
      <c r="F54" s="36">
        <v>45335</v>
      </c>
      <c r="G54" s="37" t="s">
        <v>1715</v>
      </c>
      <c r="H54" s="40" t="s">
        <v>224</v>
      </c>
      <c r="I54" s="40" t="s">
        <v>1716</v>
      </c>
      <c r="J54" s="61">
        <v>78794.100000000006</v>
      </c>
      <c r="K54" s="41">
        <v>0</v>
      </c>
      <c r="L54" s="54">
        <v>0</v>
      </c>
      <c r="M54" s="54">
        <v>0</v>
      </c>
      <c r="N54" s="42">
        <v>0</v>
      </c>
      <c r="O54" s="43">
        <v>0</v>
      </c>
      <c r="P54" s="61">
        <v>78794.100000000006</v>
      </c>
      <c r="Q54" s="43">
        <v>0</v>
      </c>
      <c r="R54" s="61">
        <v>78794.100000000006</v>
      </c>
      <c r="S54" s="30">
        <v>78794.100000000006</v>
      </c>
      <c r="T54" s="30">
        <v>78794.100000000006</v>
      </c>
      <c r="U54" s="30">
        <v>2.31</v>
      </c>
      <c r="V54" s="41">
        <v>2.31</v>
      </c>
      <c r="W54" s="41">
        <v>69.3</v>
      </c>
      <c r="X54" s="41">
        <v>34110</v>
      </c>
      <c r="Y54" s="41">
        <v>34110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1137</v>
      </c>
      <c r="AG54" s="41">
        <v>1137</v>
      </c>
      <c r="AH54" s="36">
        <v>45383</v>
      </c>
      <c r="AI54" s="36"/>
      <c r="AJ54" s="36"/>
      <c r="AK54" s="36">
        <v>45413</v>
      </c>
      <c r="AL54" s="36"/>
      <c r="AM54" s="46"/>
      <c r="AN54" s="40" t="s">
        <v>1539</v>
      </c>
      <c r="AO54" s="40" t="s">
        <v>1376</v>
      </c>
      <c r="AP54" s="40" t="s">
        <v>1541</v>
      </c>
      <c r="AQ54" s="40" t="s">
        <v>80</v>
      </c>
      <c r="AR54" s="48">
        <v>100</v>
      </c>
      <c r="AS54" s="37">
        <v>0</v>
      </c>
      <c r="AT54" s="37" t="s">
        <v>386</v>
      </c>
      <c r="AU54" s="47">
        <v>30</v>
      </c>
      <c r="AV54" s="37" t="s">
        <v>219</v>
      </c>
      <c r="AW54" s="37">
        <v>10</v>
      </c>
      <c r="AX54" s="30">
        <v>7879.41</v>
      </c>
      <c r="AY54" s="40" t="s">
        <v>402</v>
      </c>
    </row>
    <row r="55" spans="1:51" ht="48.75" customHeight="1" x14ac:dyDescent="0.25">
      <c r="A55" s="59" t="s">
        <v>1717</v>
      </c>
      <c r="B55" s="60">
        <v>45316</v>
      </c>
      <c r="C55" s="40" t="s">
        <v>432</v>
      </c>
      <c r="D55" s="35" t="s">
        <v>1718</v>
      </c>
      <c r="E55" s="39" t="s">
        <v>1719</v>
      </c>
      <c r="F55" s="36">
        <v>45335</v>
      </c>
      <c r="G55" s="37" t="s">
        <v>1720</v>
      </c>
      <c r="H55" s="40" t="s">
        <v>53</v>
      </c>
      <c r="I55" s="40" t="s">
        <v>1721</v>
      </c>
      <c r="J55" s="61">
        <v>1866913.68</v>
      </c>
      <c r="K55" s="41">
        <v>0</v>
      </c>
      <c r="L55" s="54">
        <v>0</v>
      </c>
      <c r="M55" s="54">
        <v>0</v>
      </c>
      <c r="N55" s="42">
        <v>0</v>
      </c>
      <c r="O55" s="43">
        <v>0</v>
      </c>
      <c r="P55" s="41">
        <v>1866913.68</v>
      </c>
      <c r="Q55" s="43">
        <v>0</v>
      </c>
      <c r="R55" s="41">
        <v>1866913.68</v>
      </c>
      <c r="S55" s="30">
        <v>1866913.68</v>
      </c>
      <c r="T55" s="30">
        <v>1866913.68</v>
      </c>
      <c r="U55" s="30">
        <v>2.92</v>
      </c>
      <c r="V55" s="41">
        <v>2.92</v>
      </c>
      <c r="W55" s="41">
        <v>700.8</v>
      </c>
      <c r="X55" s="41">
        <v>639354</v>
      </c>
      <c r="Y55" s="41">
        <v>639354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2663.9749999999999</v>
      </c>
      <c r="AG55" s="41">
        <v>2664</v>
      </c>
      <c r="AH55" s="36">
        <v>45383</v>
      </c>
      <c r="AI55" s="36"/>
      <c r="AJ55" s="36"/>
      <c r="AK55" s="36">
        <v>45413</v>
      </c>
      <c r="AL55" s="36"/>
      <c r="AM55" s="46"/>
      <c r="AN55" s="40" t="s">
        <v>1722</v>
      </c>
      <c r="AO55" s="40" t="s">
        <v>1723</v>
      </c>
      <c r="AP55" s="40" t="s">
        <v>1724</v>
      </c>
      <c r="AQ55" s="40" t="s">
        <v>385</v>
      </c>
      <c r="AR55" s="48">
        <v>0</v>
      </c>
      <c r="AS55" s="37">
        <v>100</v>
      </c>
      <c r="AT55" s="37" t="s">
        <v>81</v>
      </c>
      <c r="AU55" s="47">
        <v>240</v>
      </c>
      <c r="AV55" s="37" t="s">
        <v>60</v>
      </c>
      <c r="AW55" s="37">
        <v>10</v>
      </c>
      <c r="AX55" s="30">
        <v>186691.36800000002</v>
      </c>
      <c r="AY55" s="40" t="s">
        <v>402</v>
      </c>
    </row>
    <row r="56" spans="1:51" ht="48.75" customHeight="1" x14ac:dyDescent="0.25">
      <c r="A56" s="59" t="s">
        <v>1744</v>
      </c>
      <c r="B56" s="60">
        <v>45316</v>
      </c>
      <c r="C56" s="40" t="s">
        <v>432</v>
      </c>
      <c r="D56" s="35" t="s">
        <v>431</v>
      </c>
      <c r="E56" s="39" t="s">
        <v>1745</v>
      </c>
      <c r="F56" s="36" t="s">
        <v>431</v>
      </c>
      <c r="G56" s="37" t="s">
        <v>431</v>
      </c>
      <c r="H56" s="40" t="s">
        <v>431</v>
      </c>
      <c r="I56" s="37" t="s">
        <v>1746</v>
      </c>
      <c r="J56" s="61">
        <v>7532379.6900000004</v>
      </c>
      <c r="K56" s="41">
        <v>0</v>
      </c>
      <c r="L56" s="54">
        <v>0</v>
      </c>
      <c r="M56" s="54">
        <v>0</v>
      </c>
      <c r="N56" s="42">
        <v>100</v>
      </c>
      <c r="O56" s="43">
        <v>7532379.6900000004</v>
      </c>
      <c r="P56" s="41"/>
      <c r="Q56" s="43">
        <v>7532379.6900000004</v>
      </c>
      <c r="R56" s="41">
        <v>0</v>
      </c>
      <c r="S56" s="30">
        <v>0</v>
      </c>
      <c r="T56" s="30">
        <v>0</v>
      </c>
      <c r="U56" s="30" t="e">
        <v>#DIV/0!</v>
      </c>
      <c r="V56" s="41" t="e">
        <v>#DIV/0!</v>
      </c>
      <c r="W56" s="41" t="e">
        <v>#DIV/0!</v>
      </c>
      <c r="X56" s="41">
        <v>0</v>
      </c>
      <c r="Y56" s="41">
        <v>0</v>
      </c>
      <c r="Z56" s="41">
        <v>0</v>
      </c>
      <c r="AA56" s="41">
        <v>0</v>
      </c>
      <c r="AB56" s="41"/>
      <c r="AC56" s="41" t="e">
        <v>#DIV/0!</v>
      </c>
      <c r="AD56" s="41"/>
      <c r="AE56" s="41" t="e">
        <v>#DIV/0!</v>
      </c>
      <c r="AF56" s="41" t="e">
        <v>#DIV/0!</v>
      </c>
      <c r="AG56" s="41" t="e">
        <v>#DIV/0!</v>
      </c>
      <c r="AH56" s="36">
        <v>45382</v>
      </c>
      <c r="AI56" s="36"/>
      <c r="AJ56" s="36"/>
      <c r="AK56" s="36"/>
      <c r="AL56" s="36"/>
      <c r="AM56" s="46"/>
      <c r="AN56" s="40"/>
      <c r="AO56" s="40"/>
      <c r="AP56" s="40"/>
      <c r="AQ56" s="40"/>
      <c r="AR56" s="48"/>
      <c r="AS56" s="37"/>
      <c r="AT56" s="37"/>
      <c r="AU56" s="47"/>
      <c r="AV56" s="37"/>
      <c r="AW56" s="37">
        <v>10</v>
      </c>
      <c r="AX56" s="30">
        <v>753237.96900000004</v>
      </c>
      <c r="AY56" s="40" t="s">
        <v>431</v>
      </c>
    </row>
    <row r="57" spans="1:51" ht="58.5" customHeight="1" x14ac:dyDescent="0.25">
      <c r="A57" s="59" t="s">
        <v>1800</v>
      </c>
      <c r="B57" s="60">
        <v>45320</v>
      </c>
      <c r="C57" s="40" t="s">
        <v>432</v>
      </c>
      <c r="D57" s="35" t="s">
        <v>1801</v>
      </c>
      <c r="E57" s="39" t="s">
        <v>1802</v>
      </c>
      <c r="F57" s="36">
        <v>45342</v>
      </c>
      <c r="G57" s="37" t="s">
        <v>1803</v>
      </c>
      <c r="H57" s="40" t="s">
        <v>53</v>
      </c>
      <c r="I57" s="40" t="s">
        <v>1804</v>
      </c>
      <c r="J57" s="61">
        <v>71990384.400000006</v>
      </c>
      <c r="K57" s="41">
        <v>0</v>
      </c>
      <c r="L57" s="54">
        <v>0</v>
      </c>
      <c r="M57" s="54">
        <v>0</v>
      </c>
      <c r="N57" s="42">
        <v>0</v>
      </c>
      <c r="O57" s="43">
        <v>0</v>
      </c>
      <c r="P57" s="41">
        <v>71990384.400000006</v>
      </c>
      <c r="Q57" s="43">
        <v>0</v>
      </c>
      <c r="R57" s="41">
        <v>71990384.400000006</v>
      </c>
      <c r="S57" s="30">
        <v>71990384.400000006</v>
      </c>
      <c r="T57" s="30">
        <v>71990384.400000006</v>
      </c>
      <c r="U57" s="30">
        <v>387.42</v>
      </c>
      <c r="V57" s="41">
        <v>387.42</v>
      </c>
      <c r="W57" s="41">
        <v>11622.6</v>
      </c>
      <c r="X57" s="41">
        <v>185820</v>
      </c>
      <c r="Y57" s="41">
        <v>185820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6194</v>
      </c>
      <c r="AG57" s="41">
        <v>6194</v>
      </c>
      <c r="AH57" s="36">
        <v>45383</v>
      </c>
      <c r="AI57" s="36"/>
      <c r="AJ57" s="36"/>
      <c r="AK57" s="36">
        <v>45413</v>
      </c>
      <c r="AL57" s="36"/>
      <c r="AM57" s="46"/>
      <c r="AN57" s="40" t="s">
        <v>1805</v>
      </c>
      <c r="AO57" s="40" t="s">
        <v>1806</v>
      </c>
      <c r="AP57" s="40" t="s">
        <v>1807</v>
      </c>
      <c r="AQ57" s="40" t="s">
        <v>58</v>
      </c>
      <c r="AR57" s="48">
        <v>0</v>
      </c>
      <c r="AS57" s="37">
        <v>100</v>
      </c>
      <c r="AT57" s="37" t="s">
        <v>386</v>
      </c>
      <c r="AU57" s="47">
        <v>30</v>
      </c>
      <c r="AV57" s="37" t="s">
        <v>60</v>
      </c>
      <c r="AW57" s="37">
        <v>10</v>
      </c>
      <c r="AX57" s="30">
        <v>7199038.4400000004</v>
      </c>
      <c r="AY57" s="40" t="s">
        <v>402</v>
      </c>
    </row>
    <row r="58" spans="1:51" ht="48.75" customHeight="1" x14ac:dyDescent="0.25">
      <c r="A58" s="59" t="s">
        <v>1815</v>
      </c>
      <c r="B58" s="60">
        <v>45320</v>
      </c>
      <c r="C58" s="40" t="s">
        <v>432</v>
      </c>
      <c r="D58" s="37" t="s">
        <v>431</v>
      </c>
      <c r="E58" s="39" t="s">
        <v>1816</v>
      </c>
      <c r="F58" s="37" t="s">
        <v>431</v>
      </c>
      <c r="G58" s="37" t="s">
        <v>431</v>
      </c>
      <c r="H58" s="37" t="s">
        <v>431</v>
      </c>
      <c r="I58" s="40" t="s">
        <v>1817</v>
      </c>
      <c r="J58" s="61">
        <v>1051214.3999999999</v>
      </c>
      <c r="K58" s="41">
        <v>0</v>
      </c>
      <c r="L58" s="54">
        <v>0</v>
      </c>
      <c r="M58" s="54">
        <v>0</v>
      </c>
      <c r="N58" s="42">
        <v>100</v>
      </c>
      <c r="O58" s="43">
        <v>1051214.3999999999</v>
      </c>
      <c r="P58" s="41"/>
      <c r="Q58" s="43">
        <v>1051214.3999999999</v>
      </c>
      <c r="R58" s="41">
        <v>0</v>
      </c>
      <c r="S58" s="30">
        <v>0</v>
      </c>
      <c r="T58" s="30">
        <v>0</v>
      </c>
      <c r="U58" s="30">
        <v>0.37</v>
      </c>
      <c r="V58" s="41">
        <v>0</v>
      </c>
      <c r="W58" s="41">
        <v>0</v>
      </c>
      <c r="X58" s="41">
        <v>2841120</v>
      </c>
      <c r="Y58" s="41">
        <v>2841120</v>
      </c>
      <c r="Z58" s="41">
        <v>0</v>
      </c>
      <c r="AA58" s="41">
        <v>0</v>
      </c>
      <c r="AB58" s="41"/>
      <c r="AC58" s="41">
        <v>0</v>
      </c>
      <c r="AD58" s="41"/>
      <c r="AE58" s="41">
        <v>0</v>
      </c>
      <c r="AF58" s="41" t="e">
        <v>#DIV/0!</v>
      </c>
      <c r="AG58" s="41" t="e">
        <v>#DIV/0!</v>
      </c>
      <c r="AH58" s="36">
        <v>45366</v>
      </c>
      <c r="AI58" s="36"/>
      <c r="AJ58" s="36"/>
      <c r="AK58" s="36"/>
      <c r="AL58" s="36"/>
      <c r="AM58" s="46"/>
      <c r="AN58" s="40"/>
      <c r="AO58" s="40"/>
      <c r="AP58" s="40"/>
      <c r="AQ58" s="40"/>
      <c r="AR58" s="48"/>
      <c r="AS58" s="37"/>
      <c r="AT58" s="37"/>
      <c r="AU58" s="47"/>
      <c r="AV58" s="37"/>
      <c r="AW58" s="37">
        <v>10</v>
      </c>
      <c r="AX58" s="30">
        <v>105121.44</v>
      </c>
      <c r="AY58" s="40" t="s">
        <v>431</v>
      </c>
    </row>
    <row r="59" spans="1:51" ht="48.75" customHeight="1" x14ac:dyDescent="0.25">
      <c r="A59" s="59" t="s">
        <v>1818</v>
      </c>
      <c r="B59" s="60">
        <v>45320</v>
      </c>
      <c r="C59" s="40" t="s">
        <v>432</v>
      </c>
      <c r="D59" s="37" t="s">
        <v>431</v>
      </c>
      <c r="E59" s="39" t="s">
        <v>1816</v>
      </c>
      <c r="F59" s="37" t="s">
        <v>431</v>
      </c>
      <c r="G59" s="37" t="s">
        <v>431</v>
      </c>
      <c r="H59" s="37" t="s">
        <v>431</v>
      </c>
      <c r="I59" s="40" t="s">
        <v>1819</v>
      </c>
      <c r="J59" s="61">
        <v>62318490</v>
      </c>
      <c r="K59" s="41">
        <v>0</v>
      </c>
      <c r="L59" s="54">
        <v>0</v>
      </c>
      <c r="M59" s="54">
        <v>0</v>
      </c>
      <c r="N59" s="42">
        <v>100</v>
      </c>
      <c r="O59" s="43">
        <v>62318490</v>
      </c>
      <c r="P59" s="41"/>
      <c r="Q59" s="43">
        <v>62318490</v>
      </c>
      <c r="R59" s="41">
        <v>0</v>
      </c>
      <c r="S59" s="30">
        <v>0</v>
      </c>
      <c r="T59" s="30">
        <v>0</v>
      </c>
      <c r="U59" s="30">
        <v>6.5</v>
      </c>
      <c r="V59" s="41">
        <v>0</v>
      </c>
      <c r="W59" s="41">
        <v>0</v>
      </c>
      <c r="X59" s="41">
        <v>9587460</v>
      </c>
      <c r="Y59" s="41">
        <v>9587460</v>
      </c>
      <c r="Z59" s="41">
        <v>0</v>
      </c>
      <c r="AA59" s="41">
        <v>0</v>
      </c>
      <c r="AB59" s="41"/>
      <c r="AC59" s="41">
        <v>0</v>
      </c>
      <c r="AD59" s="41"/>
      <c r="AE59" s="41">
        <v>0</v>
      </c>
      <c r="AF59" s="41" t="e">
        <v>#DIV/0!</v>
      </c>
      <c r="AG59" s="41" t="e">
        <v>#DIV/0!</v>
      </c>
      <c r="AH59" s="36">
        <v>45383</v>
      </c>
      <c r="AI59" s="36"/>
      <c r="AJ59" s="36"/>
      <c r="AK59" s="36"/>
      <c r="AL59" s="36"/>
      <c r="AM59" s="46"/>
      <c r="AN59" s="40"/>
      <c r="AO59" s="40"/>
      <c r="AP59" s="40"/>
      <c r="AQ59" s="40"/>
      <c r="AR59" s="48"/>
      <c r="AS59" s="37"/>
      <c r="AT59" s="37"/>
      <c r="AU59" s="47"/>
      <c r="AV59" s="37"/>
      <c r="AW59" s="37">
        <v>10</v>
      </c>
      <c r="AX59" s="30">
        <v>6231849</v>
      </c>
      <c r="AY59" s="40" t="s">
        <v>431</v>
      </c>
    </row>
    <row r="60" spans="1:51" ht="48.75" customHeight="1" x14ac:dyDescent="0.25">
      <c r="A60" s="59" t="s">
        <v>1835</v>
      </c>
      <c r="B60" s="60">
        <v>45320</v>
      </c>
      <c r="C60" s="40" t="s">
        <v>432</v>
      </c>
      <c r="D60" s="37" t="s">
        <v>431</v>
      </c>
      <c r="E60" s="39" t="s">
        <v>1836</v>
      </c>
      <c r="F60" s="37" t="s">
        <v>431</v>
      </c>
      <c r="G60" s="37" t="s">
        <v>431</v>
      </c>
      <c r="H60" s="37" t="s">
        <v>431</v>
      </c>
      <c r="I60" s="40" t="s">
        <v>1837</v>
      </c>
      <c r="J60" s="61">
        <v>4590227.4000000004</v>
      </c>
      <c r="K60" s="41">
        <v>0</v>
      </c>
      <c r="L60" s="54">
        <v>0</v>
      </c>
      <c r="M60" s="54">
        <v>0</v>
      </c>
      <c r="N60" s="42">
        <v>100</v>
      </c>
      <c r="O60" s="43">
        <v>4590227.4000000004</v>
      </c>
      <c r="P60" s="41"/>
      <c r="Q60" s="43">
        <v>4590227.4000000004</v>
      </c>
      <c r="R60" s="41">
        <v>0</v>
      </c>
      <c r="S60" s="30">
        <v>0</v>
      </c>
      <c r="T60" s="30">
        <v>0</v>
      </c>
      <c r="U60" s="30">
        <v>45477</v>
      </c>
      <c r="V60" s="41">
        <v>0</v>
      </c>
      <c r="W60" s="41">
        <v>0</v>
      </c>
      <c r="X60" s="41">
        <v>1127820</v>
      </c>
      <c r="Y60" s="41">
        <v>1127820</v>
      </c>
      <c r="Z60" s="41">
        <v>0</v>
      </c>
      <c r="AA60" s="41">
        <v>0</v>
      </c>
      <c r="AB60" s="41"/>
      <c r="AC60" s="41">
        <v>0</v>
      </c>
      <c r="AD60" s="41"/>
      <c r="AE60" s="41">
        <v>0</v>
      </c>
      <c r="AF60" s="41" t="e">
        <v>#DIV/0!</v>
      </c>
      <c r="AG60" s="41" t="e">
        <v>#DIV/0!</v>
      </c>
      <c r="AH60" s="36">
        <v>45383</v>
      </c>
      <c r="AI60" s="36"/>
      <c r="AJ60" s="36"/>
      <c r="AK60" s="36"/>
      <c r="AL60" s="36"/>
      <c r="AM60" s="46"/>
      <c r="AN60" s="40"/>
      <c r="AO60" s="40"/>
      <c r="AP60" s="40"/>
      <c r="AQ60" s="40"/>
      <c r="AR60" s="48"/>
      <c r="AS60" s="37"/>
      <c r="AT60" s="37"/>
      <c r="AU60" s="47"/>
      <c r="AV60" s="37"/>
      <c r="AW60" s="37">
        <v>10</v>
      </c>
      <c r="AX60" s="30">
        <v>459022.74</v>
      </c>
      <c r="AY60" s="40" t="s">
        <v>431</v>
      </c>
    </row>
    <row r="61" spans="1:51" ht="48" customHeight="1" x14ac:dyDescent="0.25">
      <c r="A61" s="59" t="s">
        <v>1871</v>
      </c>
      <c r="B61" s="60">
        <v>45322</v>
      </c>
      <c r="C61" s="40" t="s">
        <v>432</v>
      </c>
      <c r="D61" s="37" t="s">
        <v>431</v>
      </c>
      <c r="E61" s="39" t="s">
        <v>1872</v>
      </c>
      <c r="F61" s="37" t="s">
        <v>431</v>
      </c>
      <c r="G61" s="37" t="s">
        <v>431</v>
      </c>
      <c r="H61" s="37" t="s">
        <v>431</v>
      </c>
      <c r="I61" s="64" t="s">
        <v>1260</v>
      </c>
      <c r="J61" s="61">
        <v>2935272</v>
      </c>
      <c r="K61" s="41">
        <v>0</v>
      </c>
      <c r="L61" s="54">
        <v>0</v>
      </c>
      <c r="M61" s="54">
        <v>0</v>
      </c>
      <c r="N61" s="42">
        <v>100</v>
      </c>
      <c r="O61" s="43">
        <v>2935272</v>
      </c>
      <c r="P61" s="41"/>
      <c r="Q61" s="43">
        <v>2935272</v>
      </c>
      <c r="R61" s="41">
        <v>0</v>
      </c>
      <c r="S61" s="30">
        <v>0</v>
      </c>
      <c r="T61" s="30">
        <v>0</v>
      </c>
      <c r="U61" s="30">
        <v>64.37</v>
      </c>
      <c r="V61" s="41">
        <v>0</v>
      </c>
      <c r="W61" s="41">
        <v>0</v>
      </c>
      <c r="X61" s="41">
        <v>45600</v>
      </c>
      <c r="Y61" s="41">
        <v>45600</v>
      </c>
      <c r="Z61" s="41">
        <v>0</v>
      </c>
      <c r="AA61" s="41">
        <v>0</v>
      </c>
      <c r="AB61" s="41"/>
      <c r="AC61" s="41">
        <v>0</v>
      </c>
      <c r="AD61" s="41"/>
      <c r="AE61" s="41">
        <v>0</v>
      </c>
      <c r="AF61" s="41" t="e">
        <v>#DIV/0!</v>
      </c>
      <c r="AG61" s="41" t="e">
        <v>#DIV/0!</v>
      </c>
      <c r="AH61" s="36">
        <v>45505</v>
      </c>
      <c r="AI61" s="36"/>
      <c r="AJ61" s="36"/>
      <c r="AK61" s="36"/>
      <c r="AL61" s="36"/>
      <c r="AM61" s="46"/>
      <c r="AN61" s="40"/>
      <c r="AO61" s="40"/>
      <c r="AP61" s="40"/>
      <c r="AQ61" s="40"/>
      <c r="AR61" s="48"/>
      <c r="AS61" s="37"/>
      <c r="AT61" s="37"/>
      <c r="AU61" s="47"/>
      <c r="AV61" s="37"/>
      <c r="AW61" s="37">
        <v>10</v>
      </c>
      <c r="AX61" s="30">
        <v>293527.2</v>
      </c>
      <c r="AY61" s="40" t="s">
        <v>431</v>
      </c>
    </row>
    <row r="62" spans="1:51" ht="48" customHeight="1" x14ac:dyDescent="0.25">
      <c r="A62" s="59" t="s">
        <v>1873</v>
      </c>
      <c r="B62" s="60">
        <v>45322</v>
      </c>
      <c r="C62" s="40" t="s">
        <v>432</v>
      </c>
      <c r="D62" s="35"/>
      <c r="E62" s="39" t="s">
        <v>1874</v>
      </c>
      <c r="F62" s="36">
        <v>45352</v>
      </c>
      <c r="G62" s="37" t="s">
        <v>1875</v>
      </c>
      <c r="H62" s="40" t="s">
        <v>224</v>
      </c>
      <c r="I62" s="62" t="s">
        <v>1876</v>
      </c>
      <c r="J62" s="61">
        <v>2261169228.5999999</v>
      </c>
      <c r="K62" s="41">
        <v>0</v>
      </c>
      <c r="L62" s="54">
        <v>0</v>
      </c>
      <c r="M62" s="54">
        <v>0</v>
      </c>
      <c r="N62" s="42">
        <v>0</v>
      </c>
      <c r="O62" s="43">
        <v>0</v>
      </c>
      <c r="P62" s="61">
        <v>2261169228.5999999</v>
      </c>
      <c r="Q62" s="43">
        <v>0</v>
      </c>
      <c r="R62" s="61">
        <v>2261169228.5999999</v>
      </c>
      <c r="S62" s="30">
        <v>2261169228.5999999</v>
      </c>
      <c r="T62" s="30">
        <v>2261169228.5999999</v>
      </c>
      <c r="U62" s="30">
        <v>206.94</v>
      </c>
      <c r="V62" s="41">
        <v>206.94</v>
      </c>
      <c r="W62" s="41">
        <v>12416.4</v>
      </c>
      <c r="X62" s="41">
        <v>10926690</v>
      </c>
      <c r="Y62" s="41">
        <v>10926690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182111.5</v>
      </c>
      <c r="AG62" s="41">
        <v>182112</v>
      </c>
      <c r="AH62" s="36">
        <v>45383</v>
      </c>
      <c r="AI62" s="36"/>
      <c r="AJ62" s="36"/>
      <c r="AK62" s="36">
        <v>45413</v>
      </c>
      <c r="AL62" s="36"/>
      <c r="AM62" s="46"/>
      <c r="AN62" s="40" t="s">
        <v>1877</v>
      </c>
      <c r="AO62" s="40" t="s">
        <v>1878</v>
      </c>
      <c r="AP62" s="40" t="s">
        <v>1879</v>
      </c>
      <c r="AQ62" s="40" t="s">
        <v>80</v>
      </c>
      <c r="AR62" s="48">
        <v>100</v>
      </c>
      <c r="AS62" s="37">
        <v>0</v>
      </c>
      <c r="AT62" s="37" t="s">
        <v>386</v>
      </c>
      <c r="AU62" s="47">
        <v>60</v>
      </c>
      <c r="AV62" s="37" t="s">
        <v>60</v>
      </c>
      <c r="AW62" s="37">
        <v>10</v>
      </c>
      <c r="AX62" s="30">
        <v>226116922.86000001</v>
      </c>
      <c r="AY62" s="40" t="s">
        <v>402</v>
      </c>
    </row>
    <row r="63" spans="1:51" ht="48" customHeight="1" x14ac:dyDescent="0.25">
      <c r="A63" s="59" t="s">
        <v>1924</v>
      </c>
      <c r="B63" s="60">
        <v>45323</v>
      </c>
      <c r="C63" s="40" t="s">
        <v>432</v>
      </c>
      <c r="D63" s="35"/>
      <c r="E63" s="39" t="s">
        <v>1925</v>
      </c>
      <c r="F63" s="36">
        <v>45352</v>
      </c>
      <c r="G63" s="37" t="s">
        <v>1926</v>
      </c>
      <c r="H63" s="40" t="s">
        <v>139</v>
      </c>
      <c r="I63" s="64" t="s">
        <v>1927</v>
      </c>
      <c r="J63" s="61">
        <v>2453204734.1999998</v>
      </c>
      <c r="K63" s="41">
        <v>0</v>
      </c>
      <c r="L63" s="54">
        <v>0</v>
      </c>
      <c r="M63" s="54">
        <v>0</v>
      </c>
      <c r="N63" s="42">
        <v>0</v>
      </c>
      <c r="O63" s="43">
        <v>0</v>
      </c>
      <c r="P63" s="41">
        <v>2453204734.1999998</v>
      </c>
      <c r="Q63" s="43">
        <v>0</v>
      </c>
      <c r="R63" s="41">
        <v>2453204734.1999998</v>
      </c>
      <c r="S63" s="30">
        <v>2453204734.1999998</v>
      </c>
      <c r="T63" s="30">
        <v>2453204734.1999998</v>
      </c>
      <c r="U63" s="30">
        <v>183.31</v>
      </c>
      <c r="V63" s="41">
        <v>183.30999999999997</v>
      </c>
      <c r="W63" s="41">
        <v>5499.2999999999993</v>
      </c>
      <c r="X63" s="41">
        <v>13382820</v>
      </c>
      <c r="Y63" s="41">
        <v>13382820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446094</v>
      </c>
      <c r="AG63" s="41">
        <v>446094</v>
      </c>
      <c r="AH63" s="36">
        <v>45397</v>
      </c>
      <c r="AI63" s="36"/>
      <c r="AJ63" s="36"/>
      <c r="AK63" s="36">
        <v>45427</v>
      </c>
      <c r="AL63" s="36"/>
      <c r="AM63" s="46"/>
      <c r="AN63" s="40" t="s">
        <v>1928</v>
      </c>
      <c r="AO63" s="40" t="s">
        <v>1929</v>
      </c>
      <c r="AP63" s="40" t="s">
        <v>1930</v>
      </c>
      <c r="AQ63" s="40" t="s">
        <v>80</v>
      </c>
      <c r="AR63" s="48">
        <v>100</v>
      </c>
      <c r="AS63" s="37">
        <v>0</v>
      </c>
      <c r="AT63" s="37" t="s">
        <v>386</v>
      </c>
      <c r="AU63" s="47">
        <v>30</v>
      </c>
      <c r="AV63" s="37" t="s">
        <v>60</v>
      </c>
      <c r="AW63" s="37">
        <v>10</v>
      </c>
      <c r="AX63" s="30">
        <v>245320473.41999999</v>
      </c>
      <c r="AY63" s="40" t="s">
        <v>402</v>
      </c>
    </row>
    <row r="64" spans="1:51" ht="39" customHeight="1" x14ac:dyDescent="0.25">
      <c r="A64" s="59" t="s">
        <v>2051</v>
      </c>
      <c r="B64" s="60">
        <v>45328</v>
      </c>
      <c r="C64" s="40" t="s">
        <v>2052</v>
      </c>
      <c r="D64" s="37" t="s">
        <v>431</v>
      </c>
      <c r="E64" s="39" t="s">
        <v>2053</v>
      </c>
      <c r="F64" s="37" t="s">
        <v>431</v>
      </c>
      <c r="G64" s="37" t="s">
        <v>431</v>
      </c>
      <c r="H64" s="37" t="s">
        <v>431</v>
      </c>
      <c r="I64" s="65" t="s">
        <v>2054</v>
      </c>
      <c r="J64" s="66">
        <v>9820.7999999999993</v>
      </c>
      <c r="K64" s="41">
        <v>0</v>
      </c>
      <c r="L64" s="54">
        <v>0</v>
      </c>
      <c r="M64" s="54">
        <v>0</v>
      </c>
      <c r="N64" s="42">
        <v>100</v>
      </c>
      <c r="O64" s="43">
        <v>9820.7999999999993</v>
      </c>
      <c r="P64" s="41"/>
      <c r="Q64" s="43">
        <v>9820.7999999999993</v>
      </c>
      <c r="R64" s="41">
        <v>0</v>
      </c>
      <c r="S64" s="30">
        <v>0</v>
      </c>
      <c r="T64" s="30">
        <v>0</v>
      </c>
      <c r="U64" s="30" t="e">
        <v>#DIV/0!</v>
      </c>
      <c r="V64" s="41" t="e">
        <v>#DIV/0!</v>
      </c>
      <c r="W64" s="41" t="e">
        <v>#DIV/0!</v>
      </c>
      <c r="X64" s="41">
        <v>0</v>
      </c>
      <c r="Y64" s="41">
        <v>0</v>
      </c>
      <c r="Z64" s="41">
        <v>0</v>
      </c>
      <c r="AA64" s="41">
        <v>0</v>
      </c>
      <c r="AB64" s="41"/>
      <c r="AC64" s="41" t="e">
        <v>#DIV/0!</v>
      </c>
      <c r="AD64" s="41"/>
      <c r="AE64" s="41" t="e">
        <v>#DIV/0!</v>
      </c>
      <c r="AF64" s="41" t="e">
        <v>#DIV/0!</v>
      </c>
      <c r="AG64" s="41" t="e">
        <v>#DIV/0!</v>
      </c>
      <c r="AH64" s="36">
        <v>45397</v>
      </c>
      <c r="AI64" s="36"/>
      <c r="AJ64" s="36"/>
      <c r="AK64" s="36"/>
      <c r="AL64" s="36"/>
      <c r="AM64" s="46"/>
      <c r="AN64" s="40"/>
      <c r="AO64" s="40"/>
      <c r="AP64" s="40"/>
      <c r="AQ64" s="40"/>
      <c r="AR64" s="48"/>
      <c r="AS64" s="37"/>
      <c r="AT64" s="37"/>
      <c r="AU64" s="47"/>
      <c r="AV64" s="37"/>
      <c r="AW64" s="37">
        <v>10</v>
      </c>
      <c r="AX64" s="30">
        <v>982.08</v>
      </c>
      <c r="AY64" s="40" t="s">
        <v>431</v>
      </c>
    </row>
    <row r="65" spans="1:51" ht="39" customHeight="1" x14ac:dyDescent="0.25">
      <c r="A65" s="59" t="s">
        <v>2062</v>
      </c>
      <c r="B65" s="60">
        <v>45329</v>
      </c>
      <c r="C65" s="40" t="s">
        <v>2052</v>
      </c>
      <c r="D65" s="35" t="s">
        <v>2063</v>
      </c>
      <c r="E65" s="39" t="s">
        <v>2064</v>
      </c>
      <c r="F65" s="36">
        <v>45341</v>
      </c>
      <c r="G65" s="37" t="s">
        <v>2065</v>
      </c>
      <c r="H65" s="57" t="s">
        <v>2066</v>
      </c>
      <c r="I65" s="62" t="s">
        <v>1571</v>
      </c>
      <c r="J65" s="61">
        <v>2434080</v>
      </c>
      <c r="K65" s="41">
        <v>0</v>
      </c>
      <c r="L65" s="54">
        <v>0</v>
      </c>
      <c r="M65" s="54">
        <v>0</v>
      </c>
      <c r="N65" s="42">
        <v>14.099783080260304</v>
      </c>
      <c r="O65" s="43">
        <v>343200</v>
      </c>
      <c r="P65" s="41">
        <v>2090880</v>
      </c>
      <c r="Q65" s="43">
        <v>343200</v>
      </c>
      <c r="R65" s="41">
        <v>2090880</v>
      </c>
      <c r="S65" s="30">
        <v>2090880</v>
      </c>
      <c r="T65" s="30">
        <v>2090880</v>
      </c>
      <c r="U65" s="30">
        <v>19.8</v>
      </c>
      <c r="V65" s="41">
        <v>19.8</v>
      </c>
      <c r="W65" s="41">
        <v>990</v>
      </c>
      <c r="X65" s="41">
        <v>105600</v>
      </c>
      <c r="Y65" s="41">
        <v>105600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2112</v>
      </c>
      <c r="AG65" s="41">
        <v>2112</v>
      </c>
      <c r="AH65" s="36">
        <v>45397</v>
      </c>
      <c r="AI65" s="36"/>
      <c r="AJ65" s="36"/>
      <c r="AK65" s="36">
        <v>45427</v>
      </c>
      <c r="AL65" s="36"/>
      <c r="AM65" s="46"/>
      <c r="AN65" s="40" t="s">
        <v>2067</v>
      </c>
      <c r="AO65" s="40" t="s">
        <v>2068</v>
      </c>
      <c r="AP65" s="40" t="s">
        <v>2069</v>
      </c>
      <c r="AQ65" s="40" t="s">
        <v>80</v>
      </c>
      <c r="AR65" s="48">
        <v>100</v>
      </c>
      <c r="AS65" s="37">
        <v>0</v>
      </c>
      <c r="AT65" s="37" t="s">
        <v>386</v>
      </c>
      <c r="AU65" s="47">
        <v>50</v>
      </c>
      <c r="AV65" s="37" t="s">
        <v>219</v>
      </c>
      <c r="AW65" s="37">
        <v>10</v>
      </c>
      <c r="AX65" s="30">
        <v>243408</v>
      </c>
      <c r="AY65" s="40" t="s">
        <v>402</v>
      </c>
    </row>
    <row r="66" spans="1:51" ht="39" customHeight="1" x14ac:dyDescent="0.25">
      <c r="A66" s="59" t="s">
        <v>2070</v>
      </c>
      <c r="B66" s="60">
        <v>45329</v>
      </c>
      <c r="C66" s="40" t="s">
        <v>2052</v>
      </c>
      <c r="D66" s="37" t="s">
        <v>431</v>
      </c>
      <c r="E66" s="39" t="s">
        <v>2071</v>
      </c>
      <c r="F66" s="37" t="s">
        <v>431</v>
      </c>
      <c r="G66" s="37" t="s">
        <v>431</v>
      </c>
      <c r="H66" s="37" t="s">
        <v>431</v>
      </c>
      <c r="I66" s="62" t="s">
        <v>1711</v>
      </c>
      <c r="J66" s="61">
        <v>4644</v>
      </c>
      <c r="K66" s="41">
        <v>0</v>
      </c>
      <c r="L66" s="54">
        <v>0</v>
      </c>
      <c r="M66" s="54">
        <v>0</v>
      </c>
      <c r="N66" s="42">
        <v>100</v>
      </c>
      <c r="O66" s="43">
        <v>4644</v>
      </c>
      <c r="P66" s="41"/>
      <c r="Q66" s="43">
        <v>4644</v>
      </c>
      <c r="R66" s="41">
        <v>0</v>
      </c>
      <c r="S66" s="30">
        <v>0</v>
      </c>
      <c r="T66" s="30">
        <v>0</v>
      </c>
      <c r="U66" s="30" t="e">
        <v>#DIV/0!</v>
      </c>
      <c r="V66" s="41" t="e">
        <v>#DIV/0!</v>
      </c>
      <c r="W66" s="41" t="e">
        <v>#DIV/0!</v>
      </c>
      <c r="X66" s="41">
        <v>0</v>
      </c>
      <c r="Y66" s="41">
        <v>0</v>
      </c>
      <c r="Z66" s="41">
        <v>0</v>
      </c>
      <c r="AA66" s="41">
        <v>0</v>
      </c>
      <c r="AB66" s="41"/>
      <c r="AC66" s="41" t="e">
        <v>#DIV/0!</v>
      </c>
      <c r="AD66" s="41"/>
      <c r="AE66" s="41" t="e">
        <v>#DIV/0!</v>
      </c>
      <c r="AF66" s="41" t="e">
        <v>#DIV/0!</v>
      </c>
      <c r="AG66" s="41" t="e">
        <v>#DIV/0!</v>
      </c>
      <c r="AH66" s="36">
        <v>45397</v>
      </c>
      <c r="AI66" s="36"/>
      <c r="AJ66" s="36"/>
      <c r="AK66" s="36"/>
      <c r="AL66" s="36"/>
      <c r="AM66" s="46"/>
      <c r="AN66" s="40"/>
      <c r="AO66" s="40"/>
      <c r="AP66" s="40"/>
      <c r="AQ66" s="40"/>
      <c r="AR66" s="48"/>
      <c r="AS66" s="37"/>
      <c r="AT66" s="37"/>
      <c r="AU66" s="47"/>
      <c r="AV66" s="37"/>
      <c r="AW66" s="37">
        <v>10</v>
      </c>
      <c r="AX66" s="30">
        <v>464.4</v>
      </c>
      <c r="AY66" s="40"/>
    </row>
    <row r="67" spans="1:51" ht="39" customHeight="1" x14ac:dyDescent="0.25">
      <c r="A67" s="59" t="s">
        <v>2083</v>
      </c>
      <c r="B67" s="60">
        <v>45329</v>
      </c>
      <c r="C67" s="40" t="s">
        <v>2052</v>
      </c>
      <c r="D67" s="37" t="s">
        <v>431</v>
      </c>
      <c r="E67" s="39" t="s">
        <v>2084</v>
      </c>
      <c r="F67" s="37" t="s">
        <v>431</v>
      </c>
      <c r="G67" s="37" t="s">
        <v>431</v>
      </c>
      <c r="H67" s="37" t="s">
        <v>431</v>
      </c>
      <c r="I67" s="64" t="s">
        <v>491</v>
      </c>
      <c r="J67" s="61">
        <v>18191.7</v>
      </c>
      <c r="K67" s="41">
        <v>0</v>
      </c>
      <c r="L67" s="54">
        <v>0</v>
      </c>
      <c r="M67" s="54">
        <v>0</v>
      </c>
      <c r="N67" s="42">
        <v>100</v>
      </c>
      <c r="O67" s="43">
        <v>18191.7</v>
      </c>
      <c r="P67" s="41"/>
      <c r="Q67" s="43">
        <v>18191.7</v>
      </c>
      <c r="R67" s="41">
        <v>0</v>
      </c>
      <c r="S67" s="30">
        <v>0</v>
      </c>
      <c r="T67" s="30">
        <v>0</v>
      </c>
      <c r="U67" s="30" t="e">
        <v>#DIV/0!</v>
      </c>
      <c r="V67" s="41" t="e">
        <v>#DIV/0!</v>
      </c>
      <c r="W67" s="41" t="e">
        <v>#DIV/0!</v>
      </c>
      <c r="X67" s="41">
        <v>0</v>
      </c>
      <c r="Y67" s="41">
        <v>0</v>
      </c>
      <c r="Z67" s="41">
        <v>0</v>
      </c>
      <c r="AA67" s="41">
        <v>0</v>
      </c>
      <c r="AB67" s="41"/>
      <c r="AC67" s="41" t="e">
        <v>#DIV/0!</v>
      </c>
      <c r="AD67" s="41"/>
      <c r="AE67" s="41" t="e">
        <v>#DIV/0!</v>
      </c>
      <c r="AF67" s="41" t="e">
        <v>#DIV/0!</v>
      </c>
      <c r="AG67" s="41" t="e">
        <v>#DIV/0!</v>
      </c>
      <c r="AH67" s="36">
        <v>45397</v>
      </c>
      <c r="AI67" s="36"/>
      <c r="AJ67" s="36"/>
      <c r="AK67" s="36"/>
      <c r="AL67" s="36"/>
      <c r="AM67" s="46"/>
      <c r="AN67" s="40"/>
      <c r="AO67" s="40"/>
      <c r="AP67" s="40"/>
      <c r="AQ67" s="40"/>
      <c r="AR67" s="48"/>
      <c r="AS67" s="37"/>
      <c r="AT67" s="37"/>
      <c r="AU67" s="47"/>
      <c r="AV67" s="37"/>
      <c r="AW67" s="37">
        <v>10</v>
      </c>
      <c r="AX67" s="30">
        <v>1819.17</v>
      </c>
      <c r="AY67" s="40" t="s">
        <v>431</v>
      </c>
    </row>
    <row r="68" spans="1:51" ht="39" customHeight="1" x14ac:dyDescent="0.25">
      <c r="A68" s="59" t="s">
        <v>2088</v>
      </c>
      <c r="B68" s="60">
        <v>45329</v>
      </c>
      <c r="C68" s="40" t="s">
        <v>2052</v>
      </c>
      <c r="D68" s="37" t="s">
        <v>431</v>
      </c>
      <c r="E68" s="39" t="s">
        <v>2089</v>
      </c>
      <c r="F68" s="37" t="s">
        <v>431</v>
      </c>
      <c r="G68" s="37" t="s">
        <v>431</v>
      </c>
      <c r="H68" s="37" t="s">
        <v>431</v>
      </c>
      <c r="I68" s="62" t="s">
        <v>1618</v>
      </c>
      <c r="J68" s="61">
        <v>80173.8</v>
      </c>
      <c r="K68" s="41">
        <v>0</v>
      </c>
      <c r="L68" s="54">
        <v>0</v>
      </c>
      <c r="M68" s="54">
        <v>0</v>
      </c>
      <c r="N68" s="42">
        <v>100</v>
      </c>
      <c r="O68" s="43">
        <v>80173.8</v>
      </c>
      <c r="P68" s="41"/>
      <c r="Q68" s="43">
        <v>80173.8</v>
      </c>
      <c r="R68" s="41">
        <v>0</v>
      </c>
      <c r="S68" s="30">
        <v>0</v>
      </c>
      <c r="T68" s="30">
        <v>0</v>
      </c>
      <c r="U68" s="30" t="e">
        <v>#DIV/0!</v>
      </c>
      <c r="V68" s="41" t="e">
        <v>#DIV/0!</v>
      </c>
      <c r="W68" s="41" t="e">
        <v>#DIV/0!</v>
      </c>
      <c r="X68" s="41">
        <v>0</v>
      </c>
      <c r="Y68" s="41">
        <v>0</v>
      </c>
      <c r="Z68" s="41">
        <v>0</v>
      </c>
      <c r="AA68" s="41">
        <v>0</v>
      </c>
      <c r="AB68" s="41"/>
      <c r="AC68" s="41" t="e">
        <v>#DIV/0!</v>
      </c>
      <c r="AD68" s="41"/>
      <c r="AE68" s="41" t="e">
        <v>#DIV/0!</v>
      </c>
      <c r="AF68" s="41" t="e">
        <v>#DIV/0!</v>
      </c>
      <c r="AG68" s="41" t="e">
        <v>#DIV/0!</v>
      </c>
      <c r="AH68" s="36">
        <v>45444</v>
      </c>
      <c r="AI68" s="36"/>
      <c r="AJ68" s="36"/>
      <c r="AK68" s="36"/>
      <c r="AL68" s="36"/>
      <c r="AM68" s="46"/>
      <c r="AN68" s="40"/>
      <c r="AO68" s="40"/>
      <c r="AP68" s="40"/>
      <c r="AQ68" s="40"/>
      <c r="AR68" s="48"/>
      <c r="AS68" s="37"/>
      <c r="AT68" s="37"/>
      <c r="AU68" s="47"/>
      <c r="AV68" s="37"/>
      <c r="AW68" s="37">
        <v>10</v>
      </c>
      <c r="AX68" s="30">
        <v>8017.38</v>
      </c>
      <c r="AY68" s="40" t="s">
        <v>431</v>
      </c>
    </row>
    <row r="69" spans="1:51" ht="39" customHeight="1" x14ac:dyDescent="0.25">
      <c r="A69" s="59" t="s">
        <v>2090</v>
      </c>
      <c r="B69" s="60">
        <v>45329</v>
      </c>
      <c r="C69" s="40" t="s">
        <v>2052</v>
      </c>
      <c r="D69" s="37" t="s">
        <v>431</v>
      </c>
      <c r="E69" s="39" t="s">
        <v>2091</v>
      </c>
      <c r="F69" s="37" t="s">
        <v>431</v>
      </c>
      <c r="G69" s="37" t="s">
        <v>431</v>
      </c>
      <c r="H69" s="37" t="s">
        <v>431</v>
      </c>
      <c r="I69" s="62" t="s">
        <v>1626</v>
      </c>
      <c r="J69" s="61">
        <v>4143700</v>
      </c>
      <c r="K69" s="41">
        <v>0</v>
      </c>
      <c r="L69" s="54">
        <v>0</v>
      </c>
      <c r="M69" s="54">
        <v>0</v>
      </c>
      <c r="N69" s="42">
        <v>100</v>
      </c>
      <c r="O69" s="43">
        <v>4143700</v>
      </c>
      <c r="P69" s="41"/>
      <c r="Q69" s="43">
        <v>4143700</v>
      </c>
      <c r="R69" s="41">
        <v>0</v>
      </c>
      <c r="S69" s="30">
        <v>0</v>
      </c>
      <c r="T69" s="30">
        <v>0</v>
      </c>
      <c r="U69" s="30" t="e">
        <v>#DIV/0!</v>
      </c>
      <c r="V69" s="41" t="e">
        <v>#DIV/0!</v>
      </c>
      <c r="W69" s="41" t="e">
        <v>#DIV/0!</v>
      </c>
      <c r="X69" s="41">
        <v>0</v>
      </c>
      <c r="Y69" s="41">
        <v>0</v>
      </c>
      <c r="Z69" s="41">
        <v>0</v>
      </c>
      <c r="AA69" s="41">
        <v>0</v>
      </c>
      <c r="AB69" s="41"/>
      <c r="AC69" s="41" t="e">
        <v>#DIV/0!</v>
      </c>
      <c r="AD69" s="41"/>
      <c r="AE69" s="41" t="e">
        <v>#DIV/0!</v>
      </c>
      <c r="AF69" s="41" t="e">
        <v>#DIV/0!</v>
      </c>
      <c r="AG69" s="41" t="e">
        <v>#DIV/0!</v>
      </c>
      <c r="AH69" s="36">
        <v>45474</v>
      </c>
      <c r="AI69" s="36"/>
      <c r="AJ69" s="36"/>
      <c r="AK69" s="36"/>
      <c r="AL69" s="36"/>
      <c r="AM69" s="46"/>
      <c r="AN69" s="40"/>
      <c r="AO69" s="40"/>
      <c r="AP69" s="40"/>
      <c r="AQ69" s="40"/>
      <c r="AR69" s="48"/>
      <c r="AS69" s="37"/>
      <c r="AT69" s="37"/>
      <c r="AU69" s="47"/>
      <c r="AV69" s="37"/>
      <c r="AW69" s="37">
        <v>10</v>
      </c>
      <c r="AX69" s="30">
        <v>414370</v>
      </c>
      <c r="AY69" s="40" t="s">
        <v>431</v>
      </c>
    </row>
    <row r="70" spans="1:51" ht="39" customHeight="1" x14ac:dyDescent="0.25">
      <c r="A70" s="59" t="s">
        <v>2107</v>
      </c>
      <c r="B70" s="60">
        <v>45330</v>
      </c>
      <c r="C70" s="40" t="s">
        <v>2052</v>
      </c>
      <c r="D70" s="37" t="s">
        <v>431</v>
      </c>
      <c r="E70" s="39" t="s">
        <v>2108</v>
      </c>
      <c r="F70" s="37" t="s">
        <v>431</v>
      </c>
      <c r="G70" s="37" t="s">
        <v>431</v>
      </c>
      <c r="H70" s="37" t="s">
        <v>431</v>
      </c>
      <c r="I70" s="62" t="s">
        <v>1664</v>
      </c>
      <c r="J70" s="61">
        <v>10444.200000000001</v>
      </c>
      <c r="K70" s="41">
        <v>0</v>
      </c>
      <c r="L70" s="54">
        <v>0</v>
      </c>
      <c r="M70" s="54">
        <v>0</v>
      </c>
      <c r="N70" s="42">
        <v>100</v>
      </c>
      <c r="O70" s="43">
        <v>10444.200000000001</v>
      </c>
      <c r="P70" s="41"/>
      <c r="Q70" s="43">
        <v>10444.200000000001</v>
      </c>
      <c r="R70" s="41">
        <v>0</v>
      </c>
      <c r="S70" s="30">
        <v>0</v>
      </c>
      <c r="T70" s="30">
        <v>0</v>
      </c>
      <c r="U70" s="30" t="e">
        <v>#DIV/0!</v>
      </c>
      <c r="V70" s="41" t="e">
        <v>#DIV/0!</v>
      </c>
      <c r="W70" s="41" t="e">
        <v>#DIV/0!</v>
      </c>
      <c r="X70" s="41">
        <v>0</v>
      </c>
      <c r="Y70" s="41">
        <v>0</v>
      </c>
      <c r="Z70" s="41">
        <v>0</v>
      </c>
      <c r="AA70" s="41">
        <v>0</v>
      </c>
      <c r="AB70" s="41"/>
      <c r="AC70" s="41" t="e">
        <v>#DIV/0!</v>
      </c>
      <c r="AD70" s="41"/>
      <c r="AE70" s="41" t="e">
        <v>#DIV/0!</v>
      </c>
      <c r="AF70" s="41" t="e">
        <v>#DIV/0!</v>
      </c>
      <c r="AG70" s="41" t="e">
        <v>#DIV/0!</v>
      </c>
      <c r="AH70" s="36">
        <v>45397</v>
      </c>
      <c r="AI70" s="36"/>
      <c r="AJ70" s="36"/>
      <c r="AK70" s="36"/>
      <c r="AL70" s="36"/>
      <c r="AM70" s="46"/>
      <c r="AN70" s="40"/>
      <c r="AO70" s="40"/>
      <c r="AP70" s="40"/>
      <c r="AQ70" s="40"/>
      <c r="AR70" s="48"/>
      <c r="AS70" s="37"/>
      <c r="AT70" s="37"/>
      <c r="AU70" s="47"/>
      <c r="AV70" s="37"/>
      <c r="AW70" s="37">
        <v>10</v>
      </c>
      <c r="AX70" s="30">
        <v>1044.42</v>
      </c>
      <c r="AY70" s="40"/>
    </row>
    <row r="71" spans="1:51" ht="39" customHeight="1" x14ac:dyDescent="0.25">
      <c r="A71" s="59" t="s">
        <v>2112</v>
      </c>
      <c r="B71" s="60">
        <v>45330</v>
      </c>
      <c r="C71" s="40" t="s">
        <v>2052</v>
      </c>
      <c r="D71" s="37" t="s">
        <v>431</v>
      </c>
      <c r="E71" s="39" t="s">
        <v>2113</v>
      </c>
      <c r="F71" s="37" t="s">
        <v>431</v>
      </c>
      <c r="G71" s="37" t="s">
        <v>431</v>
      </c>
      <c r="H71" s="37" t="s">
        <v>431</v>
      </c>
      <c r="I71" s="64" t="s">
        <v>1746</v>
      </c>
      <c r="J71" s="61">
        <v>106913.4</v>
      </c>
      <c r="K71" s="41">
        <v>0</v>
      </c>
      <c r="L71" s="54">
        <v>0</v>
      </c>
      <c r="M71" s="54">
        <v>0</v>
      </c>
      <c r="N71" s="42">
        <v>100</v>
      </c>
      <c r="O71" s="43">
        <v>106913.4</v>
      </c>
      <c r="P71" s="41"/>
      <c r="Q71" s="43">
        <v>106913.4</v>
      </c>
      <c r="R71" s="41">
        <v>0</v>
      </c>
      <c r="S71" s="30">
        <v>0</v>
      </c>
      <c r="T71" s="30">
        <v>0</v>
      </c>
      <c r="U71" s="30" t="e">
        <v>#DIV/0!</v>
      </c>
      <c r="V71" s="41" t="e">
        <v>#DIV/0!</v>
      </c>
      <c r="W71" s="41" t="e">
        <v>#DIV/0!</v>
      </c>
      <c r="X71" s="41">
        <v>0</v>
      </c>
      <c r="Y71" s="41">
        <v>0</v>
      </c>
      <c r="Z71" s="41">
        <v>0</v>
      </c>
      <c r="AA71" s="41">
        <v>0</v>
      </c>
      <c r="AB71" s="41"/>
      <c r="AC71" s="41" t="e">
        <v>#DIV/0!</v>
      </c>
      <c r="AD71" s="41"/>
      <c r="AE71" s="41" t="e">
        <v>#DIV/0!</v>
      </c>
      <c r="AF71" s="41" t="e">
        <v>#DIV/0!</v>
      </c>
      <c r="AG71" s="41" t="e">
        <v>#DIV/0!</v>
      </c>
      <c r="AH71" s="36">
        <v>45397</v>
      </c>
      <c r="AI71" s="36"/>
      <c r="AJ71" s="36"/>
      <c r="AK71" s="36"/>
      <c r="AL71" s="36"/>
      <c r="AM71" s="46"/>
      <c r="AN71" s="40"/>
      <c r="AO71" s="40"/>
      <c r="AP71" s="40"/>
      <c r="AQ71" s="40"/>
      <c r="AR71" s="48"/>
      <c r="AS71" s="37"/>
      <c r="AT71" s="37"/>
      <c r="AU71" s="47"/>
      <c r="AV71" s="37"/>
      <c r="AW71" s="37">
        <v>10</v>
      </c>
      <c r="AX71" s="30">
        <v>10691.34</v>
      </c>
      <c r="AY71" s="40" t="s">
        <v>431</v>
      </c>
    </row>
    <row r="72" spans="1:51" ht="39" customHeight="1" x14ac:dyDescent="0.25">
      <c r="A72" s="59" t="s">
        <v>2114</v>
      </c>
      <c r="B72" s="60">
        <v>45330</v>
      </c>
      <c r="C72" s="40" t="s">
        <v>2052</v>
      </c>
      <c r="D72" s="37" t="s">
        <v>431</v>
      </c>
      <c r="E72" s="39" t="s">
        <v>2115</v>
      </c>
      <c r="F72" s="37" t="s">
        <v>431</v>
      </c>
      <c r="G72" s="37" t="s">
        <v>431</v>
      </c>
      <c r="H72" s="37" t="s">
        <v>431</v>
      </c>
      <c r="I72" s="62" t="s">
        <v>1683</v>
      </c>
      <c r="J72" s="61">
        <v>28586.400000000001</v>
      </c>
      <c r="K72" s="41">
        <v>0</v>
      </c>
      <c r="L72" s="54">
        <v>0</v>
      </c>
      <c r="M72" s="54">
        <v>0</v>
      </c>
      <c r="N72" s="42">
        <v>100</v>
      </c>
      <c r="O72" s="43">
        <v>28586.400000000001</v>
      </c>
      <c r="P72" s="41"/>
      <c r="Q72" s="43">
        <v>28586.400000000001</v>
      </c>
      <c r="R72" s="41">
        <v>0</v>
      </c>
      <c r="S72" s="30">
        <v>0</v>
      </c>
      <c r="T72" s="30">
        <v>0</v>
      </c>
      <c r="U72" s="30" t="e">
        <v>#DIV/0!</v>
      </c>
      <c r="V72" s="41" t="e">
        <v>#DIV/0!</v>
      </c>
      <c r="W72" s="41" t="e">
        <v>#DIV/0!</v>
      </c>
      <c r="X72" s="41">
        <v>0</v>
      </c>
      <c r="Y72" s="41">
        <v>0</v>
      </c>
      <c r="Z72" s="41">
        <v>0</v>
      </c>
      <c r="AA72" s="41">
        <v>0</v>
      </c>
      <c r="AB72" s="41"/>
      <c r="AC72" s="41" t="e">
        <v>#DIV/0!</v>
      </c>
      <c r="AD72" s="41"/>
      <c r="AE72" s="41" t="e">
        <v>#DIV/0!</v>
      </c>
      <c r="AF72" s="41" t="e">
        <v>#DIV/0!</v>
      </c>
      <c r="AG72" s="41" t="e">
        <v>#DIV/0!</v>
      </c>
      <c r="AH72" s="36">
        <v>45397</v>
      </c>
      <c r="AI72" s="36"/>
      <c r="AJ72" s="36"/>
      <c r="AK72" s="36"/>
      <c r="AL72" s="36"/>
      <c r="AM72" s="46"/>
      <c r="AN72" s="40"/>
      <c r="AO72" s="40"/>
      <c r="AP72" s="40"/>
      <c r="AQ72" s="40"/>
      <c r="AR72" s="48"/>
      <c r="AS72" s="37"/>
      <c r="AT72" s="37"/>
      <c r="AU72" s="47"/>
      <c r="AV72" s="37"/>
      <c r="AW72" s="37">
        <v>10</v>
      </c>
      <c r="AX72" s="30">
        <v>2858.64</v>
      </c>
      <c r="AY72" s="40" t="s">
        <v>431</v>
      </c>
    </row>
    <row r="73" spans="1:51" ht="39" customHeight="1" x14ac:dyDescent="0.25">
      <c r="A73" s="59" t="s">
        <v>2122</v>
      </c>
      <c r="B73" s="60">
        <v>45330</v>
      </c>
      <c r="C73" s="40" t="s">
        <v>2052</v>
      </c>
      <c r="D73" s="37" t="s">
        <v>431</v>
      </c>
      <c r="E73" s="39" t="s">
        <v>2123</v>
      </c>
      <c r="F73" s="37" t="s">
        <v>431</v>
      </c>
      <c r="G73" s="37" t="s">
        <v>431</v>
      </c>
      <c r="H73" s="37" t="s">
        <v>431</v>
      </c>
      <c r="I73" s="62" t="s">
        <v>1721</v>
      </c>
      <c r="J73" s="61">
        <v>38544</v>
      </c>
      <c r="K73" s="41">
        <v>0</v>
      </c>
      <c r="L73" s="54">
        <v>0</v>
      </c>
      <c r="M73" s="54">
        <v>0</v>
      </c>
      <c r="N73" s="42">
        <v>100</v>
      </c>
      <c r="O73" s="43">
        <v>38544</v>
      </c>
      <c r="P73" s="41"/>
      <c r="Q73" s="43">
        <v>38544</v>
      </c>
      <c r="R73" s="41">
        <v>0</v>
      </c>
      <c r="S73" s="30">
        <v>0</v>
      </c>
      <c r="T73" s="30">
        <v>0</v>
      </c>
      <c r="U73" s="30" t="e">
        <v>#DIV/0!</v>
      </c>
      <c r="V73" s="41" t="e">
        <v>#DIV/0!</v>
      </c>
      <c r="W73" s="41" t="e">
        <v>#DIV/0!</v>
      </c>
      <c r="X73" s="41">
        <v>0</v>
      </c>
      <c r="Y73" s="41">
        <v>0</v>
      </c>
      <c r="Z73" s="41">
        <v>0</v>
      </c>
      <c r="AA73" s="41">
        <v>0</v>
      </c>
      <c r="AB73" s="41"/>
      <c r="AC73" s="41" t="e">
        <v>#DIV/0!</v>
      </c>
      <c r="AD73" s="41"/>
      <c r="AE73" s="41" t="e">
        <v>#DIV/0!</v>
      </c>
      <c r="AF73" s="41" t="e">
        <v>#DIV/0!</v>
      </c>
      <c r="AG73" s="41" t="e">
        <v>#DIV/0!</v>
      </c>
      <c r="AH73" s="36">
        <v>45397</v>
      </c>
      <c r="AI73" s="36"/>
      <c r="AJ73" s="36"/>
      <c r="AK73" s="36"/>
      <c r="AL73" s="36"/>
      <c r="AM73" s="46"/>
      <c r="AN73" s="40"/>
      <c r="AO73" s="40"/>
      <c r="AP73" s="40"/>
      <c r="AQ73" s="40"/>
      <c r="AR73" s="48"/>
      <c r="AS73" s="37"/>
      <c r="AT73" s="37"/>
      <c r="AU73" s="47"/>
      <c r="AV73" s="37"/>
      <c r="AW73" s="37">
        <v>10</v>
      </c>
      <c r="AX73" s="30">
        <v>3854.4</v>
      </c>
      <c r="AY73" s="40" t="s">
        <v>431</v>
      </c>
    </row>
    <row r="74" spans="1:51" ht="39" customHeight="1" x14ac:dyDescent="0.25">
      <c r="A74" s="59" t="s">
        <v>2124</v>
      </c>
      <c r="B74" s="60">
        <v>45330</v>
      </c>
      <c r="C74" s="40" t="s">
        <v>2052</v>
      </c>
      <c r="D74" s="37" t="s">
        <v>431</v>
      </c>
      <c r="E74" s="39" t="s">
        <v>2125</v>
      </c>
      <c r="F74" s="37" t="s">
        <v>431</v>
      </c>
      <c r="G74" s="37" t="s">
        <v>431</v>
      </c>
      <c r="H74" s="37" t="s">
        <v>431</v>
      </c>
      <c r="I74" s="62" t="s">
        <v>1519</v>
      </c>
      <c r="J74" s="61">
        <v>23408</v>
      </c>
      <c r="K74" s="41">
        <v>0</v>
      </c>
      <c r="L74" s="54">
        <v>0</v>
      </c>
      <c r="M74" s="54">
        <v>0</v>
      </c>
      <c r="N74" s="42">
        <v>100</v>
      </c>
      <c r="O74" s="43">
        <v>23408</v>
      </c>
      <c r="P74" s="41"/>
      <c r="Q74" s="43">
        <v>23408</v>
      </c>
      <c r="R74" s="41">
        <v>0</v>
      </c>
      <c r="S74" s="30">
        <v>0</v>
      </c>
      <c r="T74" s="30">
        <v>0</v>
      </c>
      <c r="U74" s="30" t="e">
        <v>#DIV/0!</v>
      </c>
      <c r="V74" s="41" t="e">
        <v>#DIV/0!</v>
      </c>
      <c r="W74" s="41" t="e">
        <v>#DIV/0!</v>
      </c>
      <c r="X74" s="41">
        <v>0</v>
      </c>
      <c r="Y74" s="41">
        <v>0</v>
      </c>
      <c r="Z74" s="41">
        <v>0</v>
      </c>
      <c r="AA74" s="41">
        <v>0</v>
      </c>
      <c r="AB74" s="41"/>
      <c r="AC74" s="41" t="e">
        <v>#DIV/0!</v>
      </c>
      <c r="AD74" s="41"/>
      <c r="AE74" s="41" t="e">
        <v>#DIV/0!</v>
      </c>
      <c r="AF74" s="41" t="e">
        <v>#DIV/0!</v>
      </c>
      <c r="AG74" s="41" t="e">
        <v>#DIV/0!</v>
      </c>
      <c r="AH74" s="36">
        <v>45397</v>
      </c>
      <c r="AI74" s="36"/>
      <c r="AJ74" s="36"/>
      <c r="AK74" s="36"/>
      <c r="AL74" s="36"/>
      <c r="AM74" s="46"/>
      <c r="AN74" s="40"/>
      <c r="AO74" s="40"/>
      <c r="AP74" s="40"/>
      <c r="AQ74" s="40"/>
      <c r="AR74" s="48"/>
      <c r="AS74" s="37"/>
      <c r="AT74" s="37"/>
      <c r="AU74" s="47"/>
      <c r="AV74" s="37"/>
      <c r="AW74" s="37">
        <v>10</v>
      </c>
      <c r="AX74" s="30">
        <v>2340.8000000000002</v>
      </c>
      <c r="AY74" s="40" t="s">
        <v>431</v>
      </c>
    </row>
    <row r="75" spans="1:51" ht="39" customHeight="1" x14ac:dyDescent="0.25">
      <c r="A75" s="59" t="s">
        <v>2126</v>
      </c>
      <c r="B75" s="60">
        <v>45330</v>
      </c>
      <c r="C75" s="40" t="s">
        <v>2052</v>
      </c>
      <c r="D75" s="37" t="s">
        <v>431</v>
      </c>
      <c r="E75" s="39" t="s">
        <v>2127</v>
      </c>
      <c r="F75" s="37" t="s">
        <v>431</v>
      </c>
      <c r="G75" s="37" t="s">
        <v>431</v>
      </c>
      <c r="H75" s="37" t="s">
        <v>431</v>
      </c>
      <c r="I75" s="62" t="s">
        <v>1819</v>
      </c>
      <c r="J75" s="61">
        <v>36465</v>
      </c>
      <c r="K75" s="41">
        <v>0</v>
      </c>
      <c r="L75" s="54">
        <v>0</v>
      </c>
      <c r="M75" s="54">
        <v>0</v>
      </c>
      <c r="N75" s="42">
        <v>100</v>
      </c>
      <c r="O75" s="43">
        <v>36465</v>
      </c>
      <c r="P75" s="41"/>
      <c r="Q75" s="43">
        <v>36465</v>
      </c>
      <c r="R75" s="41">
        <v>0</v>
      </c>
      <c r="S75" s="30">
        <v>0</v>
      </c>
      <c r="T75" s="30">
        <v>0</v>
      </c>
      <c r="U75" s="30" t="e">
        <v>#DIV/0!</v>
      </c>
      <c r="V75" s="41" t="e">
        <v>#DIV/0!</v>
      </c>
      <c r="W75" s="41" t="e">
        <v>#DIV/0!</v>
      </c>
      <c r="X75" s="41">
        <v>0</v>
      </c>
      <c r="Y75" s="41">
        <v>0</v>
      </c>
      <c r="Z75" s="41">
        <v>0</v>
      </c>
      <c r="AA75" s="41">
        <v>0</v>
      </c>
      <c r="AB75" s="41"/>
      <c r="AC75" s="41" t="e">
        <v>#DIV/0!</v>
      </c>
      <c r="AD75" s="41"/>
      <c r="AE75" s="41" t="e">
        <v>#DIV/0!</v>
      </c>
      <c r="AF75" s="41" t="e">
        <v>#DIV/0!</v>
      </c>
      <c r="AG75" s="41" t="e">
        <v>#DIV/0!</v>
      </c>
      <c r="AH75" s="36">
        <v>45397</v>
      </c>
      <c r="AI75" s="36"/>
      <c r="AJ75" s="36"/>
      <c r="AK75" s="36"/>
      <c r="AL75" s="36"/>
      <c r="AM75" s="46"/>
      <c r="AN75" s="40"/>
      <c r="AO75" s="40"/>
      <c r="AP75" s="40"/>
      <c r="AQ75" s="40"/>
      <c r="AR75" s="48"/>
      <c r="AS75" s="37"/>
      <c r="AT75" s="37"/>
      <c r="AU75" s="47"/>
      <c r="AV75" s="37"/>
      <c r="AW75" s="37">
        <v>10</v>
      </c>
      <c r="AX75" s="30">
        <v>3646.5</v>
      </c>
      <c r="AY75" s="40" t="s">
        <v>431</v>
      </c>
    </row>
    <row r="76" spans="1:51" ht="41.25" customHeight="1" x14ac:dyDescent="0.25">
      <c r="A76" s="35" t="s">
        <v>2136</v>
      </c>
      <c r="B76" s="36">
        <v>45331</v>
      </c>
      <c r="C76" s="40" t="s">
        <v>2052</v>
      </c>
      <c r="D76" s="37" t="s">
        <v>431</v>
      </c>
      <c r="E76" s="39" t="s">
        <v>2137</v>
      </c>
      <c r="F76" s="37" t="s">
        <v>431</v>
      </c>
      <c r="G76" s="37" t="s">
        <v>431</v>
      </c>
      <c r="H76" s="37" t="s">
        <v>431</v>
      </c>
      <c r="I76" s="55" t="s">
        <v>1546</v>
      </c>
      <c r="J76" s="41">
        <v>48859.199999999997</v>
      </c>
      <c r="K76" s="41">
        <v>0</v>
      </c>
      <c r="L76" s="54">
        <v>0</v>
      </c>
      <c r="M76" s="54">
        <v>0</v>
      </c>
      <c r="N76" s="42">
        <v>100</v>
      </c>
      <c r="O76" s="43">
        <v>48859.199999999997</v>
      </c>
      <c r="P76" s="41"/>
      <c r="Q76" s="43">
        <v>48859.199999999997</v>
      </c>
      <c r="R76" s="41">
        <v>0</v>
      </c>
      <c r="S76" s="30">
        <v>0</v>
      </c>
      <c r="T76" s="30">
        <v>0</v>
      </c>
      <c r="U76" s="30" t="e">
        <v>#DIV/0!</v>
      </c>
      <c r="V76" s="41" t="e">
        <v>#DIV/0!</v>
      </c>
      <c r="W76" s="41" t="e">
        <v>#DIV/0!</v>
      </c>
      <c r="X76" s="41">
        <v>0</v>
      </c>
      <c r="Y76" s="41">
        <v>0</v>
      </c>
      <c r="Z76" s="41">
        <v>0</v>
      </c>
      <c r="AA76" s="41">
        <v>0</v>
      </c>
      <c r="AB76" s="41"/>
      <c r="AC76" s="41" t="e">
        <v>#DIV/0!</v>
      </c>
      <c r="AD76" s="41"/>
      <c r="AE76" s="41" t="e">
        <v>#DIV/0!</v>
      </c>
      <c r="AF76" s="41" t="e">
        <v>#DIV/0!</v>
      </c>
      <c r="AG76" s="41" t="e">
        <v>#DIV/0!</v>
      </c>
      <c r="AH76" s="36">
        <v>45397</v>
      </c>
      <c r="AI76" s="36"/>
      <c r="AJ76" s="36"/>
      <c r="AK76" s="36"/>
      <c r="AL76" s="36"/>
      <c r="AM76" s="46"/>
      <c r="AN76" s="40"/>
      <c r="AO76" s="40"/>
      <c r="AP76" s="40"/>
      <c r="AQ76" s="40"/>
      <c r="AR76" s="48"/>
      <c r="AS76" s="37"/>
      <c r="AT76" s="37"/>
      <c r="AU76" s="47"/>
      <c r="AV76" s="37"/>
      <c r="AW76" s="37">
        <v>10</v>
      </c>
      <c r="AX76" s="30">
        <v>4885.92</v>
      </c>
      <c r="AY76" s="40" t="s">
        <v>431</v>
      </c>
    </row>
    <row r="77" spans="1:51" ht="41.25" customHeight="1" x14ac:dyDescent="0.25">
      <c r="A77" s="35" t="s">
        <v>2138</v>
      </c>
      <c r="B77" s="36">
        <v>45331</v>
      </c>
      <c r="C77" s="40" t="s">
        <v>2052</v>
      </c>
      <c r="D77" s="37" t="s">
        <v>431</v>
      </c>
      <c r="E77" s="39" t="s">
        <v>2139</v>
      </c>
      <c r="F77" s="37" t="s">
        <v>431</v>
      </c>
      <c r="G77" s="37" t="s">
        <v>431</v>
      </c>
      <c r="H77" s="37" t="s">
        <v>431</v>
      </c>
      <c r="I77" s="63" t="s">
        <v>2140</v>
      </c>
      <c r="J77" s="41">
        <v>10567.2</v>
      </c>
      <c r="K77" s="41">
        <v>0</v>
      </c>
      <c r="L77" s="54">
        <v>0</v>
      </c>
      <c r="M77" s="54">
        <v>0</v>
      </c>
      <c r="N77" s="42">
        <v>100</v>
      </c>
      <c r="O77" s="43">
        <v>10567.2</v>
      </c>
      <c r="P77" s="41"/>
      <c r="Q77" s="43">
        <v>10567.2</v>
      </c>
      <c r="R77" s="41">
        <v>0</v>
      </c>
      <c r="S77" s="30">
        <v>0</v>
      </c>
      <c r="T77" s="30">
        <v>0</v>
      </c>
      <c r="U77" s="30" t="e">
        <v>#DIV/0!</v>
      </c>
      <c r="V77" s="41" t="e">
        <v>#DIV/0!</v>
      </c>
      <c r="W77" s="41" t="e">
        <v>#DIV/0!</v>
      </c>
      <c r="X77" s="41">
        <v>0</v>
      </c>
      <c r="Y77" s="41">
        <v>0</v>
      </c>
      <c r="Z77" s="41">
        <v>0</v>
      </c>
      <c r="AA77" s="41">
        <v>0</v>
      </c>
      <c r="AB77" s="41"/>
      <c r="AC77" s="41" t="e">
        <v>#DIV/0!</v>
      </c>
      <c r="AD77" s="41"/>
      <c r="AE77" s="41" t="e">
        <v>#DIV/0!</v>
      </c>
      <c r="AF77" s="41" t="e">
        <v>#DIV/0!</v>
      </c>
      <c r="AG77" s="41" t="e">
        <v>#DIV/0!</v>
      </c>
      <c r="AH77" s="36">
        <v>45397</v>
      </c>
      <c r="AI77" s="36"/>
      <c r="AJ77" s="36"/>
      <c r="AK77" s="36"/>
      <c r="AL77" s="36"/>
      <c r="AM77" s="46"/>
      <c r="AN77" s="40"/>
      <c r="AO77" s="40"/>
      <c r="AP77" s="40"/>
      <c r="AQ77" s="40"/>
      <c r="AR77" s="48"/>
      <c r="AS77" s="37"/>
      <c r="AT77" s="37"/>
      <c r="AU77" s="47"/>
      <c r="AV77" s="37"/>
      <c r="AW77" s="37">
        <v>10</v>
      </c>
      <c r="AX77" s="30">
        <v>1056.72</v>
      </c>
      <c r="AY77" s="40" t="s">
        <v>431</v>
      </c>
    </row>
    <row r="78" spans="1:51" ht="41.25" customHeight="1" x14ac:dyDescent="0.25">
      <c r="A78" s="35" t="s">
        <v>2143</v>
      </c>
      <c r="B78" s="36">
        <v>45331</v>
      </c>
      <c r="C78" s="40" t="s">
        <v>2052</v>
      </c>
      <c r="D78" s="37" t="s">
        <v>431</v>
      </c>
      <c r="E78" s="39" t="s">
        <v>2144</v>
      </c>
      <c r="F78" s="37" t="s">
        <v>431</v>
      </c>
      <c r="G78" s="37" t="s">
        <v>431</v>
      </c>
      <c r="H78" s="37" t="s">
        <v>431</v>
      </c>
      <c r="I78" s="55" t="s">
        <v>1554</v>
      </c>
      <c r="J78" s="41">
        <v>3240237</v>
      </c>
      <c r="K78" s="41">
        <v>0</v>
      </c>
      <c r="L78" s="54">
        <v>0</v>
      </c>
      <c r="M78" s="54">
        <v>0</v>
      </c>
      <c r="N78" s="42">
        <v>100</v>
      </c>
      <c r="O78" s="43">
        <v>3240237</v>
      </c>
      <c r="P78" s="41"/>
      <c r="Q78" s="43">
        <v>3240237</v>
      </c>
      <c r="R78" s="41">
        <v>0</v>
      </c>
      <c r="S78" s="30">
        <v>0</v>
      </c>
      <c r="T78" s="30">
        <v>0</v>
      </c>
      <c r="U78" s="30" t="e">
        <v>#DIV/0!</v>
      </c>
      <c r="V78" s="41" t="e">
        <v>#DIV/0!</v>
      </c>
      <c r="W78" s="41" t="e">
        <v>#DIV/0!</v>
      </c>
      <c r="X78" s="41">
        <v>0</v>
      </c>
      <c r="Y78" s="41">
        <v>0</v>
      </c>
      <c r="Z78" s="41">
        <v>0</v>
      </c>
      <c r="AA78" s="41">
        <v>0</v>
      </c>
      <c r="AB78" s="41"/>
      <c r="AC78" s="41" t="e">
        <v>#DIV/0!</v>
      </c>
      <c r="AD78" s="41"/>
      <c r="AE78" s="41" t="e">
        <v>#DIV/0!</v>
      </c>
      <c r="AF78" s="41" t="e">
        <v>#DIV/0!</v>
      </c>
      <c r="AG78" s="41" t="e">
        <v>#DIV/0!</v>
      </c>
      <c r="AH78" s="36">
        <v>45397</v>
      </c>
      <c r="AI78" s="36"/>
      <c r="AJ78" s="36"/>
      <c r="AK78" s="36"/>
      <c r="AL78" s="36"/>
      <c r="AM78" s="46"/>
      <c r="AN78" s="40"/>
      <c r="AO78" s="40"/>
      <c r="AP78" s="40"/>
      <c r="AQ78" s="40"/>
      <c r="AR78" s="48"/>
      <c r="AS78" s="37"/>
      <c r="AT78" s="37"/>
      <c r="AU78" s="47"/>
      <c r="AV78" s="37"/>
      <c r="AW78" s="37">
        <v>10</v>
      </c>
      <c r="AX78" s="30">
        <v>324023.7</v>
      </c>
      <c r="AY78" s="40" t="s">
        <v>431</v>
      </c>
    </row>
    <row r="79" spans="1:51" ht="41.25" customHeight="1" x14ac:dyDescent="0.25">
      <c r="A79" s="35" t="s">
        <v>2147</v>
      </c>
      <c r="B79" s="36">
        <v>45335</v>
      </c>
      <c r="C79" s="40" t="s">
        <v>2052</v>
      </c>
      <c r="D79" s="37" t="s">
        <v>431</v>
      </c>
      <c r="E79" s="39" t="s">
        <v>2148</v>
      </c>
      <c r="F79" s="37" t="s">
        <v>431</v>
      </c>
      <c r="G79" s="37" t="s">
        <v>431</v>
      </c>
      <c r="H79" s="37" t="s">
        <v>431</v>
      </c>
      <c r="I79" s="55" t="s">
        <v>1260</v>
      </c>
      <c r="J79" s="41">
        <v>92692.800000000003</v>
      </c>
      <c r="K79" s="41">
        <v>0</v>
      </c>
      <c r="L79" s="54">
        <v>0</v>
      </c>
      <c r="M79" s="54">
        <v>0</v>
      </c>
      <c r="N79" s="42">
        <v>100</v>
      </c>
      <c r="O79" s="43">
        <v>92692.800000000003</v>
      </c>
      <c r="P79" s="41"/>
      <c r="Q79" s="43">
        <v>92692.800000000003</v>
      </c>
      <c r="R79" s="41">
        <v>0</v>
      </c>
      <c r="S79" s="30">
        <v>0</v>
      </c>
      <c r="T79" s="30">
        <v>0</v>
      </c>
      <c r="U79" s="30" t="e">
        <v>#DIV/0!</v>
      </c>
      <c r="V79" s="41" t="e">
        <v>#DIV/0!</v>
      </c>
      <c r="W79" s="41" t="e">
        <v>#DIV/0!</v>
      </c>
      <c r="X79" s="41">
        <v>0</v>
      </c>
      <c r="Y79" s="41">
        <v>0</v>
      </c>
      <c r="Z79" s="41">
        <v>0</v>
      </c>
      <c r="AA79" s="41">
        <v>0</v>
      </c>
      <c r="AB79" s="41"/>
      <c r="AC79" s="41" t="e">
        <v>#DIV/0!</v>
      </c>
      <c r="AD79" s="41"/>
      <c r="AE79" s="41" t="e">
        <v>#DIV/0!</v>
      </c>
      <c r="AF79" s="41" t="e">
        <v>#DIV/0!</v>
      </c>
      <c r="AG79" s="41" t="e">
        <v>#DIV/0!</v>
      </c>
      <c r="AH79" s="36">
        <v>45505</v>
      </c>
      <c r="AI79" s="36"/>
      <c r="AJ79" s="36"/>
      <c r="AK79" s="36"/>
      <c r="AL79" s="36"/>
      <c r="AM79" s="46"/>
      <c r="AN79" s="40"/>
      <c r="AO79" s="40"/>
      <c r="AP79" s="40"/>
      <c r="AQ79" s="40"/>
      <c r="AR79" s="48"/>
      <c r="AS79" s="37"/>
      <c r="AT79" s="37"/>
      <c r="AU79" s="47"/>
      <c r="AV79" s="37"/>
      <c r="AW79" s="37">
        <v>10</v>
      </c>
      <c r="AX79" s="30">
        <v>9269.2800000000007</v>
      </c>
      <c r="AY79" s="40" t="s">
        <v>431</v>
      </c>
    </row>
    <row r="80" spans="1:51" ht="41.25" customHeight="1" x14ac:dyDescent="0.25">
      <c r="A80" s="35" t="s">
        <v>2149</v>
      </c>
      <c r="B80" s="36">
        <v>45335</v>
      </c>
      <c r="C80" s="37" t="s">
        <v>432</v>
      </c>
      <c r="D80" s="37" t="s">
        <v>431</v>
      </c>
      <c r="E80" s="39" t="s">
        <v>2150</v>
      </c>
      <c r="F80" s="37" t="s">
        <v>431</v>
      </c>
      <c r="G80" s="37" t="s">
        <v>431</v>
      </c>
      <c r="H80" s="37" t="s">
        <v>431</v>
      </c>
      <c r="I80" s="63" t="s">
        <v>1632</v>
      </c>
      <c r="J80" s="41">
        <v>45744464.399999999</v>
      </c>
      <c r="K80" s="41">
        <v>0</v>
      </c>
      <c r="L80" s="54">
        <v>0</v>
      </c>
      <c r="M80" s="54">
        <v>0</v>
      </c>
      <c r="N80" s="42">
        <v>100</v>
      </c>
      <c r="O80" s="43">
        <v>45744464.399999999</v>
      </c>
      <c r="P80" s="41"/>
      <c r="Q80" s="43">
        <v>45744464.399999999</v>
      </c>
      <c r="R80" s="41">
        <v>0</v>
      </c>
      <c r="S80" s="30">
        <v>0</v>
      </c>
      <c r="T80" s="30">
        <v>0</v>
      </c>
      <c r="U80" s="30" t="e">
        <v>#DIV/0!</v>
      </c>
      <c r="V80" s="41" t="e">
        <v>#DIV/0!</v>
      </c>
      <c r="W80" s="41" t="e">
        <v>#DIV/0!</v>
      </c>
      <c r="X80" s="41">
        <v>0</v>
      </c>
      <c r="Y80" s="41">
        <v>0</v>
      </c>
      <c r="Z80" s="41">
        <v>0</v>
      </c>
      <c r="AA80" s="41">
        <v>0</v>
      </c>
      <c r="AB80" s="41"/>
      <c r="AC80" s="41" t="e">
        <v>#DIV/0!</v>
      </c>
      <c r="AD80" s="41"/>
      <c r="AE80" s="41" t="e">
        <v>#DIV/0!</v>
      </c>
      <c r="AF80" s="41" t="e">
        <v>#DIV/0!</v>
      </c>
      <c r="AG80" s="41" t="e">
        <v>#DIV/0!</v>
      </c>
      <c r="AH80" s="36">
        <v>45397</v>
      </c>
      <c r="AI80" s="36"/>
      <c r="AJ80" s="36"/>
      <c r="AK80" s="36"/>
      <c r="AL80" s="36"/>
      <c r="AM80" s="46"/>
      <c r="AN80" s="40"/>
      <c r="AO80" s="40"/>
      <c r="AP80" s="40"/>
      <c r="AQ80" s="40"/>
      <c r="AR80" s="48"/>
      <c r="AS80" s="37"/>
      <c r="AT80" s="37"/>
      <c r="AU80" s="47"/>
      <c r="AV80" s="37"/>
      <c r="AW80" s="37">
        <v>10</v>
      </c>
      <c r="AX80" s="30">
        <v>4574446.4400000004</v>
      </c>
      <c r="AY80" s="40" t="s">
        <v>431</v>
      </c>
    </row>
    <row r="81" spans="1:51" ht="41.25" customHeight="1" x14ac:dyDescent="0.25">
      <c r="A81" s="35" t="s">
        <v>2151</v>
      </c>
      <c r="B81" s="36">
        <v>45335</v>
      </c>
      <c r="C81" s="37" t="s">
        <v>432</v>
      </c>
      <c r="D81" s="35"/>
      <c r="E81" s="39" t="s">
        <v>2152</v>
      </c>
      <c r="F81" s="36">
        <v>45355</v>
      </c>
      <c r="G81" s="37" t="s">
        <v>2153</v>
      </c>
      <c r="H81" s="40" t="s">
        <v>1115</v>
      </c>
      <c r="I81" s="63" t="s">
        <v>1876</v>
      </c>
      <c r="J81" s="41">
        <v>48392919</v>
      </c>
      <c r="K81" s="41">
        <v>0</v>
      </c>
      <c r="L81" s="54">
        <v>0</v>
      </c>
      <c r="M81" s="54">
        <v>0</v>
      </c>
      <c r="N81" s="42">
        <v>0</v>
      </c>
      <c r="O81" s="43">
        <v>0</v>
      </c>
      <c r="P81" s="41">
        <v>48392919</v>
      </c>
      <c r="Q81" s="43">
        <v>0</v>
      </c>
      <c r="R81" s="41">
        <v>48392919</v>
      </c>
      <c r="S81" s="30">
        <v>48392919</v>
      </c>
      <c r="T81" s="30">
        <v>48392919</v>
      </c>
      <c r="U81" s="30">
        <v>206.94</v>
      </c>
      <c r="V81" s="41">
        <v>206.94</v>
      </c>
      <c r="W81" s="41">
        <v>12416.4</v>
      </c>
      <c r="X81" s="41">
        <v>233850</v>
      </c>
      <c r="Y81" s="41">
        <v>233850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3897.5</v>
      </c>
      <c r="AG81" s="41">
        <v>3898</v>
      </c>
      <c r="AH81" s="36">
        <v>45397</v>
      </c>
      <c r="AI81" s="36"/>
      <c r="AJ81" s="36"/>
      <c r="AK81" s="36">
        <v>45427</v>
      </c>
      <c r="AL81" s="36"/>
      <c r="AM81" s="46"/>
      <c r="AN81" s="40" t="s">
        <v>2154</v>
      </c>
      <c r="AO81" s="40" t="s">
        <v>2155</v>
      </c>
      <c r="AP81" s="40" t="s">
        <v>2156</v>
      </c>
      <c r="AQ81" s="40" t="s">
        <v>80</v>
      </c>
      <c r="AR81" s="48">
        <v>100</v>
      </c>
      <c r="AS81" s="37">
        <v>0</v>
      </c>
      <c r="AT81" s="37" t="s">
        <v>386</v>
      </c>
      <c r="AU81" s="47">
        <v>60</v>
      </c>
      <c r="AV81" s="37" t="s">
        <v>60</v>
      </c>
      <c r="AW81" s="37">
        <v>10</v>
      </c>
      <c r="AX81" s="30">
        <v>4839291.9000000004</v>
      </c>
      <c r="AY81" s="40" t="s">
        <v>402</v>
      </c>
    </row>
    <row r="82" spans="1:51" ht="41.25" customHeight="1" x14ac:dyDescent="0.25">
      <c r="A82" s="35" t="s">
        <v>2157</v>
      </c>
      <c r="B82" s="36">
        <v>45335</v>
      </c>
      <c r="C82" s="37" t="s">
        <v>432</v>
      </c>
      <c r="D82" s="35" t="s">
        <v>431</v>
      </c>
      <c r="E82" s="39" t="s">
        <v>2158</v>
      </c>
      <c r="F82" s="35" t="s">
        <v>431</v>
      </c>
      <c r="G82" s="35" t="s">
        <v>431</v>
      </c>
      <c r="H82" s="35" t="s">
        <v>431</v>
      </c>
      <c r="I82" s="63" t="s">
        <v>1597</v>
      </c>
      <c r="J82" s="41">
        <v>126853650</v>
      </c>
      <c r="K82" s="41">
        <v>0</v>
      </c>
      <c r="L82" s="54">
        <v>0</v>
      </c>
      <c r="M82" s="54">
        <v>0</v>
      </c>
      <c r="N82" s="42">
        <v>100</v>
      </c>
      <c r="O82" s="43">
        <v>126853650</v>
      </c>
      <c r="P82" s="41"/>
      <c r="Q82" s="43">
        <v>126853650</v>
      </c>
      <c r="R82" s="41">
        <v>0</v>
      </c>
      <c r="S82" s="30">
        <v>0</v>
      </c>
      <c r="T82" s="30">
        <v>0</v>
      </c>
      <c r="U82" s="30" t="e">
        <v>#DIV/0!</v>
      </c>
      <c r="V82" s="41" t="e">
        <v>#DIV/0!</v>
      </c>
      <c r="W82" s="41" t="e">
        <v>#DIV/0!</v>
      </c>
      <c r="X82" s="41">
        <v>0</v>
      </c>
      <c r="Y82" s="41">
        <v>0</v>
      </c>
      <c r="Z82" s="41">
        <v>0</v>
      </c>
      <c r="AA82" s="41">
        <v>0</v>
      </c>
      <c r="AB82" s="41"/>
      <c r="AC82" s="41" t="e">
        <v>#DIV/0!</v>
      </c>
      <c r="AD82" s="41"/>
      <c r="AE82" s="41" t="e">
        <v>#DIV/0!</v>
      </c>
      <c r="AF82" s="41" t="e">
        <v>#DIV/0!</v>
      </c>
      <c r="AG82" s="41" t="e">
        <v>#DIV/0!</v>
      </c>
      <c r="AH82" s="36">
        <v>45397</v>
      </c>
      <c r="AI82" s="36"/>
      <c r="AJ82" s="36"/>
      <c r="AK82" s="36"/>
      <c r="AL82" s="36"/>
      <c r="AM82" s="46"/>
      <c r="AN82" s="40"/>
      <c r="AO82" s="40"/>
      <c r="AP82" s="40"/>
      <c r="AQ82" s="40"/>
      <c r="AR82" s="48"/>
      <c r="AS82" s="37"/>
      <c r="AT82" s="37"/>
      <c r="AU82" s="47"/>
      <c r="AV82" s="37"/>
      <c r="AW82" s="37">
        <v>10</v>
      </c>
      <c r="AX82" s="30">
        <v>12685365</v>
      </c>
      <c r="AY82" s="40" t="s">
        <v>431</v>
      </c>
    </row>
    <row r="83" spans="1:51" ht="41.25" customHeight="1" x14ac:dyDescent="0.25">
      <c r="A83" s="35" t="s">
        <v>2159</v>
      </c>
      <c r="B83" s="36">
        <v>45335</v>
      </c>
      <c r="C83" s="37" t="s">
        <v>432</v>
      </c>
      <c r="D83" s="35"/>
      <c r="E83" s="39" t="s">
        <v>2160</v>
      </c>
      <c r="F83" s="36">
        <v>45355</v>
      </c>
      <c r="G83" s="37" t="s">
        <v>2161</v>
      </c>
      <c r="H83" s="40" t="s">
        <v>2162</v>
      </c>
      <c r="I83" s="63" t="s">
        <v>2163</v>
      </c>
      <c r="J83" s="41">
        <v>42046110</v>
      </c>
      <c r="K83" s="41">
        <v>0</v>
      </c>
      <c r="L83" s="54">
        <v>0</v>
      </c>
      <c r="M83" s="54">
        <v>0</v>
      </c>
      <c r="N83" s="42">
        <v>0</v>
      </c>
      <c r="O83" s="43">
        <v>0</v>
      </c>
      <c r="P83" s="41">
        <v>42046110</v>
      </c>
      <c r="Q83" s="43">
        <v>0</v>
      </c>
      <c r="R83" s="41">
        <v>42046110</v>
      </c>
      <c r="S83" s="30">
        <v>42046110</v>
      </c>
      <c r="T83" s="30">
        <v>42046110</v>
      </c>
      <c r="U83" s="30">
        <v>201.66</v>
      </c>
      <c r="V83" s="41">
        <v>201.66</v>
      </c>
      <c r="W83" s="41">
        <v>6049.8</v>
      </c>
      <c r="X83" s="41">
        <v>208500</v>
      </c>
      <c r="Y83" s="41">
        <v>208500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6950</v>
      </c>
      <c r="AG83" s="41">
        <v>6950</v>
      </c>
      <c r="AH83" s="36">
        <v>45397</v>
      </c>
      <c r="AI83" s="36"/>
      <c r="AJ83" s="36"/>
      <c r="AK83" s="36">
        <v>45427</v>
      </c>
      <c r="AL83" s="36"/>
      <c r="AM83" s="46"/>
      <c r="AN83" s="40" t="s">
        <v>2164</v>
      </c>
      <c r="AO83" s="40" t="s">
        <v>2165</v>
      </c>
      <c r="AP83" s="40" t="s">
        <v>2166</v>
      </c>
      <c r="AQ83" s="40" t="s">
        <v>80</v>
      </c>
      <c r="AR83" s="48">
        <v>100</v>
      </c>
      <c r="AS83" s="37">
        <v>0</v>
      </c>
      <c r="AT83" s="37" t="s">
        <v>386</v>
      </c>
      <c r="AU83" s="47">
        <v>30</v>
      </c>
      <c r="AV83" s="37" t="s">
        <v>60</v>
      </c>
      <c r="AW83" s="37">
        <v>10</v>
      </c>
      <c r="AX83" s="30">
        <v>4204611</v>
      </c>
      <c r="AY83" s="40" t="s">
        <v>402</v>
      </c>
    </row>
    <row r="84" spans="1:51" ht="41.25" customHeight="1" x14ac:dyDescent="0.25">
      <c r="A84" s="35" t="s">
        <v>2167</v>
      </c>
      <c r="B84" s="36">
        <v>45335</v>
      </c>
      <c r="C84" s="40" t="s">
        <v>2052</v>
      </c>
      <c r="D84" s="35" t="s">
        <v>431</v>
      </c>
      <c r="E84" s="39" t="s">
        <v>2168</v>
      </c>
      <c r="F84" s="35" t="s">
        <v>431</v>
      </c>
      <c r="G84" s="35" t="s">
        <v>431</v>
      </c>
      <c r="H84" s="35" t="s">
        <v>431</v>
      </c>
      <c r="I84" s="63" t="s">
        <v>1533</v>
      </c>
      <c r="J84" s="41">
        <v>4695840</v>
      </c>
      <c r="K84" s="41">
        <v>0</v>
      </c>
      <c r="L84" s="54">
        <v>0</v>
      </c>
      <c r="M84" s="54">
        <v>0</v>
      </c>
      <c r="N84" s="42">
        <v>100</v>
      </c>
      <c r="O84" s="43">
        <v>4695840</v>
      </c>
      <c r="P84" s="41"/>
      <c r="Q84" s="43">
        <v>4695840</v>
      </c>
      <c r="R84" s="41">
        <v>0</v>
      </c>
      <c r="S84" s="30">
        <v>0</v>
      </c>
      <c r="T84" s="30">
        <v>0</v>
      </c>
      <c r="U84" s="30" t="e">
        <v>#DIV/0!</v>
      </c>
      <c r="V84" s="41" t="e">
        <v>#DIV/0!</v>
      </c>
      <c r="W84" s="41" t="e">
        <v>#DIV/0!</v>
      </c>
      <c r="X84" s="41">
        <v>0</v>
      </c>
      <c r="Y84" s="41">
        <v>0</v>
      </c>
      <c r="Z84" s="41">
        <v>0</v>
      </c>
      <c r="AA84" s="41">
        <v>0</v>
      </c>
      <c r="AB84" s="41"/>
      <c r="AC84" s="41" t="e">
        <v>#DIV/0!</v>
      </c>
      <c r="AD84" s="41"/>
      <c r="AE84" s="41" t="e">
        <v>#DIV/0!</v>
      </c>
      <c r="AF84" s="41" t="e">
        <v>#DIV/0!</v>
      </c>
      <c r="AG84" s="41" t="e">
        <v>#DIV/0!</v>
      </c>
      <c r="AH84" s="36">
        <v>45397</v>
      </c>
      <c r="AI84" s="36"/>
      <c r="AJ84" s="36"/>
      <c r="AK84" s="36"/>
      <c r="AL84" s="36"/>
      <c r="AM84" s="46"/>
      <c r="AN84" s="40"/>
      <c r="AO84" s="40"/>
      <c r="AP84" s="40"/>
      <c r="AQ84" s="40"/>
      <c r="AR84" s="48"/>
      <c r="AS84" s="37"/>
      <c r="AT84" s="37"/>
      <c r="AU84" s="47"/>
      <c r="AV84" s="37"/>
      <c r="AW84" s="37">
        <v>10</v>
      </c>
      <c r="AX84" s="30">
        <v>469584</v>
      </c>
      <c r="AY84" s="40" t="s">
        <v>431</v>
      </c>
    </row>
    <row r="85" spans="1:51" ht="41.25" customHeight="1" x14ac:dyDescent="0.25">
      <c r="A85" s="35" t="s">
        <v>2169</v>
      </c>
      <c r="B85" s="36">
        <v>45335</v>
      </c>
      <c r="C85" s="37" t="s">
        <v>432</v>
      </c>
      <c r="D85" s="35"/>
      <c r="E85" s="39" t="s">
        <v>2170</v>
      </c>
      <c r="F85" s="36"/>
      <c r="G85" s="37"/>
      <c r="H85" s="40"/>
      <c r="I85" s="63" t="s">
        <v>1664</v>
      </c>
      <c r="J85" s="41">
        <v>367438394.39999998</v>
      </c>
      <c r="K85" s="41">
        <v>0</v>
      </c>
      <c r="L85" s="54">
        <v>0</v>
      </c>
      <c r="M85" s="54">
        <v>0</v>
      </c>
      <c r="N85" s="42">
        <v>100</v>
      </c>
      <c r="O85" s="43">
        <v>367438394.39999998</v>
      </c>
      <c r="P85" s="41"/>
      <c r="Q85" s="43">
        <v>367438394.39999998</v>
      </c>
      <c r="R85" s="41">
        <v>0</v>
      </c>
      <c r="S85" s="30">
        <v>0</v>
      </c>
      <c r="T85" s="30">
        <v>0</v>
      </c>
      <c r="U85" s="30" t="e">
        <v>#DIV/0!</v>
      </c>
      <c r="V85" s="41" t="e">
        <v>#DIV/0!</v>
      </c>
      <c r="W85" s="41" t="e">
        <v>#DIV/0!</v>
      </c>
      <c r="X85" s="41">
        <v>0</v>
      </c>
      <c r="Y85" s="41">
        <v>0</v>
      </c>
      <c r="Z85" s="41">
        <v>0</v>
      </c>
      <c r="AA85" s="41">
        <v>0</v>
      </c>
      <c r="AB85" s="41"/>
      <c r="AC85" s="41" t="e">
        <v>#DIV/0!</v>
      </c>
      <c r="AD85" s="41"/>
      <c r="AE85" s="41" t="e">
        <v>#DIV/0!</v>
      </c>
      <c r="AF85" s="41" t="e">
        <v>#DIV/0!</v>
      </c>
      <c r="AG85" s="41" t="e">
        <v>#DIV/0!</v>
      </c>
      <c r="AH85" s="36">
        <v>45397</v>
      </c>
      <c r="AI85" s="36"/>
      <c r="AJ85" s="36"/>
      <c r="AK85" s="36"/>
      <c r="AL85" s="36"/>
      <c r="AM85" s="46"/>
      <c r="AN85" s="40"/>
      <c r="AO85" s="40"/>
      <c r="AP85" s="40"/>
      <c r="AQ85" s="40"/>
      <c r="AR85" s="48"/>
      <c r="AS85" s="37"/>
      <c r="AT85" s="37"/>
      <c r="AU85" s="47"/>
      <c r="AV85" s="37"/>
      <c r="AW85" s="37">
        <v>10</v>
      </c>
      <c r="AX85" s="30">
        <v>36743839.439999998</v>
      </c>
      <c r="AY85" s="40"/>
    </row>
    <row r="86" spans="1:51" ht="41.25" customHeight="1" x14ac:dyDescent="0.25">
      <c r="A86" s="35" t="s">
        <v>2171</v>
      </c>
      <c r="B86" s="36">
        <v>45335</v>
      </c>
      <c r="C86" s="40" t="s">
        <v>2052</v>
      </c>
      <c r="D86" s="35"/>
      <c r="E86" s="39" t="s">
        <v>2172</v>
      </c>
      <c r="F86" s="36">
        <v>45348</v>
      </c>
      <c r="G86" s="37" t="s">
        <v>2173</v>
      </c>
      <c r="H86" s="40" t="s">
        <v>1115</v>
      </c>
      <c r="I86" s="55" t="s">
        <v>1250</v>
      </c>
      <c r="J86" s="41">
        <v>399096</v>
      </c>
      <c r="K86" s="41">
        <v>0</v>
      </c>
      <c r="L86" s="54">
        <v>0</v>
      </c>
      <c r="M86" s="54">
        <v>0</v>
      </c>
      <c r="N86" s="42">
        <v>0</v>
      </c>
      <c r="O86" s="43">
        <v>0</v>
      </c>
      <c r="P86" s="41">
        <v>399096</v>
      </c>
      <c r="Q86" s="43">
        <v>0</v>
      </c>
      <c r="R86" s="41">
        <v>399096</v>
      </c>
      <c r="S86" s="30">
        <v>399096</v>
      </c>
      <c r="T86" s="30">
        <v>399096</v>
      </c>
      <c r="U86" s="30">
        <v>110.86</v>
      </c>
      <c r="V86" s="41">
        <v>110.86</v>
      </c>
      <c r="W86" s="41">
        <v>13303.2</v>
      </c>
      <c r="X86" s="41">
        <v>3600</v>
      </c>
      <c r="Y86" s="41">
        <v>3600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30</v>
      </c>
      <c r="AG86" s="41">
        <v>30</v>
      </c>
      <c r="AH86" s="36">
        <v>45397</v>
      </c>
      <c r="AI86" s="36"/>
      <c r="AJ86" s="36"/>
      <c r="AK86" s="36">
        <v>45427</v>
      </c>
      <c r="AL86" s="36"/>
      <c r="AM86" s="46"/>
      <c r="AN86" s="40" t="s">
        <v>1251</v>
      </c>
      <c r="AO86" s="40" t="s">
        <v>1252</v>
      </c>
      <c r="AP86" s="40" t="s">
        <v>1253</v>
      </c>
      <c r="AQ86" s="40" t="s">
        <v>80</v>
      </c>
      <c r="AR86" s="48">
        <v>100</v>
      </c>
      <c r="AS86" s="37">
        <v>0</v>
      </c>
      <c r="AT86" s="37" t="s">
        <v>386</v>
      </c>
      <c r="AU86" s="47">
        <v>120</v>
      </c>
      <c r="AV86" s="37" t="s">
        <v>219</v>
      </c>
      <c r="AW86" s="37">
        <v>10</v>
      </c>
      <c r="AX86" s="30">
        <v>39909.599999999999</v>
      </c>
      <c r="AY86" s="40" t="s">
        <v>402</v>
      </c>
    </row>
    <row r="87" spans="1:51" ht="41.25" customHeight="1" x14ac:dyDescent="0.25">
      <c r="A87" s="35" t="s">
        <v>2174</v>
      </c>
      <c r="B87" s="36">
        <v>45335</v>
      </c>
      <c r="C87" s="37" t="s">
        <v>432</v>
      </c>
      <c r="D87" s="35" t="s">
        <v>431</v>
      </c>
      <c r="E87" s="39" t="s">
        <v>2175</v>
      </c>
      <c r="F87" s="35" t="s">
        <v>431</v>
      </c>
      <c r="G87" s="35" t="s">
        <v>431</v>
      </c>
      <c r="H87" s="35" t="s">
        <v>431</v>
      </c>
      <c r="I87" s="55" t="s">
        <v>1566</v>
      </c>
      <c r="J87" s="41">
        <v>65903003.700000003</v>
      </c>
      <c r="K87" s="41">
        <v>0</v>
      </c>
      <c r="L87" s="54">
        <v>0</v>
      </c>
      <c r="M87" s="54">
        <v>0</v>
      </c>
      <c r="N87" s="42">
        <v>100</v>
      </c>
      <c r="O87" s="43">
        <v>65903003.700000003</v>
      </c>
      <c r="P87" s="41"/>
      <c r="Q87" s="43">
        <v>65903003.700000003</v>
      </c>
      <c r="R87" s="41">
        <v>0</v>
      </c>
      <c r="S87" s="30">
        <v>0</v>
      </c>
      <c r="T87" s="30">
        <v>0</v>
      </c>
      <c r="U87" s="30" t="e">
        <v>#DIV/0!</v>
      </c>
      <c r="V87" s="41" t="e">
        <v>#DIV/0!</v>
      </c>
      <c r="W87" s="41" t="e">
        <v>#DIV/0!</v>
      </c>
      <c r="X87" s="41">
        <v>0</v>
      </c>
      <c r="Y87" s="41">
        <v>0</v>
      </c>
      <c r="Z87" s="41">
        <v>0</v>
      </c>
      <c r="AA87" s="41">
        <v>0</v>
      </c>
      <c r="AB87" s="41"/>
      <c r="AC87" s="41" t="e">
        <v>#DIV/0!</v>
      </c>
      <c r="AD87" s="41"/>
      <c r="AE87" s="41" t="e">
        <v>#DIV/0!</v>
      </c>
      <c r="AF87" s="41" t="e">
        <v>#DIV/0!</v>
      </c>
      <c r="AG87" s="41" t="e">
        <v>#DIV/0!</v>
      </c>
      <c r="AH87" s="36">
        <v>45397</v>
      </c>
      <c r="AI87" s="36"/>
      <c r="AJ87" s="36"/>
      <c r="AK87" s="36"/>
      <c r="AL87" s="36"/>
      <c r="AM87" s="46"/>
      <c r="AN87" s="40"/>
      <c r="AO87" s="40"/>
      <c r="AP87" s="40"/>
      <c r="AQ87" s="40"/>
      <c r="AR87" s="48"/>
      <c r="AS87" s="37"/>
      <c r="AT87" s="37"/>
      <c r="AU87" s="47"/>
      <c r="AV87" s="37"/>
      <c r="AW87" s="37">
        <v>10</v>
      </c>
      <c r="AX87" s="30">
        <v>6590300.3700000001</v>
      </c>
      <c r="AY87" s="40" t="s">
        <v>431</v>
      </c>
    </row>
    <row r="88" spans="1:51" ht="41.25" customHeight="1" x14ac:dyDescent="0.25">
      <c r="A88" s="35" t="s">
        <v>2179</v>
      </c>
      <c r="B88" s="36">
        <v>45337</v>
      </c>
      <c r="C88" s="37" t="s">
        <v>432</v>
      </c>
      <c r="D88" s="35"/>
      <c r="E88" s="39" t="s">
        <v>2180</v>
      </c>
      <c r="F88" s="36"/>
      <c r="G88" s="37"/>
      <c r="H88" s="40"/>
      <c r="I88" s="63" t="s">
        <v>1667</v>
      </c>
      <c r="J88" s="41">
        <v>51248268</v>
      </c>
      <c r="K88" s="41">
        <v>0</v>
      </c>
      <c r="L88" s="54">
        <v>0</v>
      </c>
      <c r="M88" s="54">
        <v>0</v>
      </c>
      <c r="N88" s="42">
        <v>100</v>
      </c>
      <c r="O88" s="43">
        <v>51248268</v>
      </c>
      <c r="P88" s="41"/>
      <c r="Q88" s="43">
        <v>51248268</v>
      </c>
      <c r="R88" s="41">
        <v>0</v>
      </c>
      <c r="S88" s="30">
        <v>0</v>
      </c>
      <c r="T88" s="30">
        <v>0</v>
      </c>
      <c r="U88" s="30" t="e">
        <v>#DIV/0!</v>
      </c>
      <c r="V88" s="41" t="e">
        <v>#DIV/0!</v>
      </c>
      <c r="W88" s="41" t="e">
        <v>#DIV/0!</v>
      </c>
      <c r="X88" s="41">
        <v>0</v>
      </c>
      <c r="Y88" s="41">
        <v>0</v>
      </c>
      <c r="Z88" s="41">
        <v>0</v>
      </c>
      <c r="AA88" s="41">
        <v>0</v>
      </c>
      <c r="AB88" s="41"/>
      <c r="AC88" s="41" t="e">
        <v>#DIV/0!</v>
      </c>
      <c r="AD88" s="41"/>
      <c r="AE88" s="41" t="e">
        <v>#DIV/0!</v>
      </c>
      <c r="AF88" s="41" t="e">
        <v>#DIV/0!</v>
      </c>
      <c r="AG88" s="41" t="e">
        <v>#DIV/0!</v>
      </c>
      <c r="AH88" s="36">
        <v>45397</v>
      </c>
      <c r="AI88" s="36"/>
      <c r="AJ88" s="36"/>
      <c r="AK88" s="36"/>
      <c r="AL88" s="36"/>
      <c r="AM88" s="46"/>
      <c r="AN88" s="40"/>
      <c r="AO88" s="40"/>
      <c r="AP88" s="40"/>
      <c r="AQ88" s="40"/>
      <c r="AR88" s="48"/>
      <c r="AS88" s="37"/>
      <c r="AT88" s="37"/>
      <c r="AU88" s="47"/>
      <c r="AV88" s="37"/>
      <c r="AW88" s="37">
        <v>10</v>
      </c>
      <c r="AX88" s="30">
        <v>5124826.8</v>
      </c>
      <c r="AY88" s="40"/>
    </row>
    <row r="89" spans="1:51" ht="41.25" customHeight="1" x14ac:dyDescent="0.25">
      <c r="A89" s="35" t="s">
        <v>2181</v>
      </c>
      <c r="B89" s="36">
        <v>45337</v>
      </c>
      <c r="C89" s="37" t="s">
        <v>432</v>
      </c>
      <c r="D89" s="35"/>
      <c r="E89" s="39" t="s">
        <v>2182</v>
      </c>
      <c r="F89" s="36"/>
      <c r="G89" s="37"/>
      <c r="H89" s="40"/>
      <c r="I89" s="63" t="s">
        <v>1586</v>
      </c>
      <c r="J89" s="41">
        <v>200538624</v>
      </c>
      <c r="K89" s="41">
        <v>0</v>
      </c>
      <c r="L89" s="54">
        <v>0</v>
      </c>
      <c r="M89" s="54">
        <v>0</v>
      </c>
      <c r="N89" s="42">
        <v>100</v>
      </c>
      <c r="O89" s="43">
        <v>200538624</v>
      </c>
      <c r="P89" s="41"/>
      <c r="Q89" s="43">
        <v>200538624</v>
      </c>
      <c r="R89" s="41">
        <v>0</v>
      </c>
      <c r="S89" s="30">
        <v>0</v>
      </c>
      <c r="T89" s="30">
        <v>0</v>
      </c>
      <c r="U89" s="30" t="e">
        <v>#DIV/0!</v>
      </c>
      <c r="V89" s="41" t="e">
        <v>#DIV/0!</v>
      </c>
      <c r="W89" s="41" t="e">
        <v>#DIV/0!</v>
      </c>
      <c r="X89" s="41">
        <v>0</v>
      </c>
      <c r="Y89" s="41">
        <v>0</v>
      </c>
      <c r="Z89" s="41">
        <v>0</v>
      </c>
      <c r="AA89" s="41">
        <v>0</v>
      </c>
      <c r="AB89" s="41"/>
      <c r="AC89" s="41" t="e">
        <v>#DIV/0!</v>
      </c>
      <c r="AD89" s="41"/>
      <c r="AE89" s="41" t="e">
        <v>#DIV/0!</v>
      </c>
      <c r="AF89" s="41" t="e">
        <v>#DIV/0!</v>
      </c>
      <c r="AG89" s="41" t="e">
        <v>#DIV/0!</v>
      </c>
      <c r="AH89" s="36">
        <v>45397</v>
      </c>
      <c r="AI89" s="36">
        <v>45473</v>
      </c>
      <c r="AJ89" s="36"/>
      <c r="AK89" s="36"/>
      <c r="AL89" s="36"/>
      <c r="AM89" s="46"/>
      <c r="AN89" s="40"/>
      <c r="AO89" s="40"/>
      <c r="AP89" s="40"/>
      <c r="AQ89" s="40"/>
      <c r="AR89" s="48"/>
      <c r="AS89" s="37"/>
      <c r="AT89" s="37"/>
      <c r="AU89" s="47"/>
      <c r="AV89" s="37"/>
      <c r="AW89" s="37">
        <v>10</v>
      </c>
      <c r="AX89" s="30">
        <v>20053862.399999999</v>
      </c>
      <c r="AY89" s="40"/>
    </row>
    <row r="90" spans="1:51" ht="41.25" customHeight="1" x14ac:dyDescent="0.25">
      <c r="A90" s="35" t="s">
        <v>2183</v>
      </c>
      <c r="B90" s="36">
        <v>45337</v>
      </c>
      <c r="C90" s="37" t="s">
        <v>432</v>
      </c>
      <c r="D90" s="35"/>
      <c r="E90" s="39" t="s">
        <v>2184</v>
      </c>
      <c r="F90" s="36"/>
      <c r="G90" s="37"/>
      <c r="H90" s="40"/>
      <c r="I90" s="63" t="s">
        <v>1661</v>
      </c>
      <c r="J90" s="41">
        <v>48569637.600000001</v>
      </c>
      <c r="K90" s="41">
        <v>0</v>
      </c>
      <c r="L90" s="54">
        <v>0</v>
      </c>
      <c r="M90" s="54">
        <v>0</v>
      </c>
      <c r="N90" s="42">
        <v>100</v>
      </c>
      <c r="O90" s="43">
        <v>48569637.600000001</v>
      </c>
      <c r="P90" s="41"/>
      <c r="Q90" s="43">
        <v>48569637.600000001</v>
      </c>
      <c r="R90" s="41">
        <v>0</v>
      </c>
      <c r="S90" s="30">
        <v>0</v>
      </c>
      <c r="T90" s="30">
        <v>0</v>
      </c>
      <c r="U90" s="30" t="e">
        <v>#DIV/0!</v>
      </c>
      <c r="V90" s="41" t="e">
        <v>#DIV/0!</v>
      </c>
      <c r="W90" s="41" t="e">
        <v>#DIV/0!</v>
      </c>
      <c r="X90" s="41">
        <v>0</v>
      </c>
      <c r="Y90" s="41">
        <v>0</v>
      </c>
      <c r="Z90" s="41">
        <v>0</v>
      </c>
      <c r="AA90" s="41">
        <v>0</v>
      </c>
      <c r="AB90" s="41"/>
      <c r="AC90" s="41" t="e">
        <v>#DIV/0!</v>
      </c>
      <c r="AD90" s="41"/>
      <c r="AE90" s="41" t="e">
        <v>#DIV/0!</v>
      </c>
      <c r="AF90" s="41" t="e">
        <v>#DIV/0!</v>
      </c>
      <c r="AG90" s="41" t="e">
        <v>#DIV/0!</v>
      </c>
      <c r="AH90" s="36">
        <v>45397</v>
      </c>
      <c r="AI90" s="36"/>
      <c r="AJ90" s="36"/>
      <c r="AK90" s="36"/>
      <c r="AL90" s="36"/>
      <c r="AM90" s="46"/>
      <c r="AN90" s="40"/>
      <c r="AO90" s="40"/>
      <c r="AP90" s="40"/>
      <c r="AQ90" s="40"/>
      <c r="AR90" s="48"/>
      <c r="AS90" s="37"/>
      <c r="AT90" s="37"/>
      <c r="AU90" s="47"/>
      <c r="AV90" s="37"/>
      <c r="AW90" s="37">
        <v>10</v>
      </c>
      <c r="AX90" s="30">
        <v>4856963.76</v>
      </c>
      <c r="AY90" s="40"/>
    </row>
    <row r="91" spans="1:51" ht="41.25" customHeight="1" x14ac:dyDescent="0.25">
      <c r="A91" s="35" t="s">
        <v>2194</v>
      </c>
      <c r="B91" s="36">
        <v>45337</v>
      </c>
      <c r="C91" s="40" t="s">
        <v>2052</v>
      </c>
      <c r="D91" s="35"/>
      <c r="E91" s="39" t="s">
        <v>2195</v>
      </c>
      <c r="F91" s="36">
        <v>45350</v>
      </c>
      <c r="G91" s="37" t="s">
        <v>2196</v>
      </c>
      <c r="H91" s="40" t="s">
        <v>1115</v>
      </c>
      <c r="I91" s="63" t="s">
        <v>1538</v>
      </c>
      <c r="J91" s="41">
        <v>2490397.2000000002</v>
      </c>
      <c r="K91" s="41">
        <v>0</v>
      </c>
      <c r="L91" s="54">
        <v>0</v>
      </c>
      <c r="M91" s="54">
        <v>0</v>
      </c>
      <c r="N91" s="42">
        <v>0</v>
      </c>
      <c r="O91" s="43">
        <v>0</v>
      </c>
      <c r="P91" s="41">
        <v>2490397.2000000002</v>
      </c>
      <c r="Q91" s="43">
        <v>0</v>
      </c>
      <c r="R91" s="41">
        <v>2490397.2000000002</v>
      </c>
      <c r="S91" s="30">
        <v>2490397.2000000002</v>
      </c>
      <c r="T91" s="30">
        <v>2490397.2000000002</v>
      </c>
      <c r="U91" s="30">
        <v>4.66</v>
      </c>
      <c r="V91" s="41">
        <v>4.66</v>
      </c>
      <c r="W91" s="41">
        <v>139.80000000000001</v>
      </c>
      <c r="X91" s="41">
        <v>534420</v>
      </c>
      <c r="Y91" s="41">
        <v>534420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17814</v>
      </c>
      <c r="AG91" s="41">
        <v>17814</v>
      </c>
      <c r="AH91" s="36">
        <v>45397</v>
      </c>
      <c r="AI91" s="36"/>
      <c r="AJ91" s="36"/>
      <c r="AK91" s="36">
        <v>45427</v>
      </c>
      <c r="AL91" s="36"/>
      <c r="AM91" s="46"/>
      <c r="AN91" s="40" t="s">
        <v>1539</v>
      </c>
      <c r="AO91" s="40" t="s">
        <v>2197</v>
      </c>
      <c r="AP91" s="40" t="s">
        <v>1541</v>
      </c>
      <c r="AQ91" s="40" t="s">
        <v>80</v>
      </c>
      <c r="AR91" s="48">
        <v>100</v>
      </c>
      <c r="AS91" s="37">
        <v>0</v>
      </c>
      <c r="AT91" s="37" t="s">
        <v>386</v>
      </c>
      <c r="AU91" s="47">
        <v>30</v>
      </c>
      <c r="AV91" s="37" t="s">
        <v>219</v>
      </c>
      <c r="AW91" s="37">
        <v>10</v>
      </c>
      <c r="AX91" s="30">
        <v>249039.72</v>
      </c>
      <c r="AY91" s="40" t="s">
        <v>402</v>
      </c>
    </row>
    <row r="92" spans="1:51" ht="41.25" customHeight="1" x14ac:dyDescent="0.25">
      <c r="A92" s="35" t="s">
        <v>2198</v>
      </c>
      <c r="B92" s="36">
        <v>45337</v>
      </c>
      <c r="C92" s="40" t="s">
        <v>2052</v>
      </c>
      <c r="D92" s="35"/>
      <c r="E92" s="39" t="s">
        <v>2199</v>
      </c>
      <c r="F92" s="36">
        <v>45350</v>
      </c>
      <c r="G92" s="37" t="s">
        <v>2200</v>
      </c>
      <c r="H92" s="40" t="s">
        <v>1115</v>
      </c>
      <c r="I92" s="63" t="s">
        <v>1586</v>
      </c>
      <c r="J92" s="41">
        <v>17424</v>
      </c>
      <c r="K92" s="41">
        <v>0</v>
      </c>
      <c r="L92" s="54">
        <v>0</v>
      </c>
      <c r="M92" s="54">
        <v>0</v>
      </c>
      <c r="N92" s="42">
        <v>0</v>
      </c>
      <c r="O92" s="43">
        <v>0</v>
      </c>
      <c r="P92" s="41">
        <v>17424</v>
      </c>
      <c r="Q92" s="43">
        <v>0</v>
      </c>
      <c r="R92" s="41">
        <v>17424</v>
      </c>
      <c r="S92" s="30">
        <v>17424</v>
      </c>
      <c r="T92" s="30">
        <v>17424</v>
      </c>
      <c r="U92" s="30">
        <v>48.4</v>
      </c>
      <c r="V92" s="41">
        <v>48.4</v>
      </c>
      <c r="W92" s="41">
        <v>2904</v>
      </c>
      <c r="X92" s="41">
        <v>360</v>
      </c>
      <c r="Y92" s="41">
        <v>360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6</v>
      </c>
      <c r="AG92" s="41">
        <v>6</v>
      </c>
      <c r="AH92" s="36">
        <v>45397</v>
      </c>
      <c r="AI92" s="36"/>
      <c r="AJ92" s="36"/>
      <c r="AK92" s="36">
        <v>45427</v>
      </c>
      <c r="AL92" s="36"/>
      <c r="AM92" s="46"/>
      <c r="AN92" s="40" t="s">
        <v>2201</v>
      </c>
      <c r="AO92" s="40" t="s">
        <v>2202</v>
      </c>
      <c r="AP92" s="40" t="s">
        <v>2203</v>
      </c>
      <c r="AQ92" s="40" t="s">
        <v>80</v>
      </c>
      <c r="AR92" s="48">
        <v>100</v>
      </c>
      <c r="AS92" s="37">
        <v>0</v>
      </c>
      <c r="AT92" s="37" t="s">
        <v>386</v>
      </c>
      <c r="AU92" s="47">
        <v>60</v>
      </c>
      <c r="AV92" s="37" t="s">
        <v>219</v>
      </c>
      <c r="AW92" s="37">
        <v>10</v>
      </c>
      <c r="AX92" s="30">
        <v>1742.4</v>
      </c>
      <c r="AY92" s="40" t="s">
        <v>402</v>
      </c>
    </row>
    <row r="93" spans="1:51" ht="41.25" customHeight="1" x14ac:dyDescent="0.25">
      <c r="A93" s="35" t="s">
        <v>2210</v>
      </c>
      <c r="B93" s="36">
        <v>45337</v>
      </c>
      <c r="C93" s="40" t="s">
        <v>2052</v>
      </c>
      <c r="D93" s="35" t="s">
        <v>431</v>
      </c>
      <c r="E93" s="39" t="s">
        <v>2211</v>
      </c>
      <c r="F93" s="35" t="s">
        <v>431</v>
      </c>
      <c r="G93" s="35" t="s">
        <v>431</v>
      </c>
      <c r="H93" s="35" t="s">
        <v>431</v>
      </c>
      <c r="I93" s="63" t="s">
        <v>1667</v>
      </c>
      <c r="J93" s="41">
        <v>46909.8</v>
      </c>
      <c r="K93" s="41">
        <v>0</v>
      </c>
      <c r="L93" s="54">
        <v>0</v>
      </c>
      <c r="M93" s="54">
        <v>0</v>
      </c>
      <c r="N93" s="42">
        <v>100</v>
      </c>
      <c r="O93" s="43">
        <v>46909.8</v>
      </c>
      <c r="P93" s="41"/>
      <c r="Q93" s="43">
        <v>46909.8</v>
      </c>
      <c r="R93" s="41">
        <v>0</v>
      </c>
      <c r="S93" s="30">
        <v>0</v>
      </c>
      <c r="T93" s="30">
        <v>0</v>
      </c>
      <c r="U93" s="30" t="e">
        <v>#DIV/0!</v>
      </c>
      <c r="V93" s="41" t="e">
        <v>#DIV/0!</v>
      </c>
      <c r="W93" s="41" t="e">
        <v>#DIV/0!</v>
      </c>
      <c r="X93" s="41">
        <v>0</v>
      </c>
      <c r="Y93" s="41">
        <v>0</v>
      </c>
      <c r="Z93" s="41">
        <v>0</v>
      </c>
      <c r="AA93" s="41">
        <v>0</v>
      </c>
      <c r="AB93" s="41"/>
      <c r="AC93" s="41" t="e">
        <v>#DIV/0!</v>
      </c>
      <c r="AD93" s="41"/>
      <c r="AE93" s="41" t="e">
        <v>#DIV/0!</v>
      </c>
      <c r="AF93" s="41" t="e">
        <v>#DIV/0!</v>
      </c>
      <c r="AG93" s="41" t="e">
        <v>#DIV/0!</v>
      </c>
      <c r="AH93" s="36">
        <v>45397</v>
      </c>
      <c r="AI93" s="36"/>
      <c r="AJ93" s="36"/>
      <c r="AK93" s="36"/>
      <c r="AL93" s="36"/>
      <c r="AM93" s="46"/>
      <c r="AN93" s="40"/>
      <c r="AO93" s="40"/>
      <c r="AP93" s="40"/>
      <c r="AQ93" s="40"/>
      <c r="AR93" s="48"/>
      <c r="AS93" s="37"/>
      <c r="AT93" s="37"/>
      <c r="AU93" s="47"/>
      <c r="AV93" s="37"/>
      <c r="AW93" s="37">
        <v>10</v>
      </c>
      <c r="AX93" s="30">
        <v>4690.9799999999996</v>
      </c>
      <c r="AY93" s="40" t="s">
        <v>431</v>
      </c>
    </row>
    <row r="94" spans="1:51" ht="41.25" customHeight="1" x14ac:dyDescent="0.25">
      <c r="A94" s="35" t="s">
        <v>2212</v>
      </c>
      <c r="B94" s="36">
        <v>45337</v>
      </c>
      <c r="C94" s="40" t="s">
        <v>2052</v>
      </c>
      <c r="D94" s="35" t="s">
        <v>431</v>
      </c>
      <c r="E94" s="39" t="s">
        <v>2213</v>
      </c>
      <c r="F94" s="35" t="s">
        <v>431</v>
      </c>
      <c r="G94" s="35" t="s">
        <v>431</v>
      </c>
      <c r="H94" s="35" t="s">
        <v>431</v>
      </c>
      <c r="I94" s="63" t="s">
        <v>1514</v>
      </c>
      <c r="J94" s="41">
        <v>3838479.3</v>
      </c>
      <c r="K94" s="41">
        <v>0</v>
      </c>
      <c r="L94" s="54">
        <v>0</v>
      </c>
      <c r="M94" s="54">
        <v>0</v>
      </c>
      <c r="N94" s="42">
        <v>100</v>
      </c>
      <c r="O94" s="43">
        <v>3838479.3</v>
      </c>
      <c r="P94" s="41"/>
      <c r="Q94" s="43">
        <v>3838479.3</v>
      </c>
      <c r="R94" s="41">
        <v>0</v>
      </c>
      <c r="S94" s="30">
        <v>0</v>
      </c>
      <c r="T94" s="30">
        <v>0</v>
      </c>
      <c r="U94" s="30" t="e">
        <v>#DIV/0!</v>
      </c>
      <c r="V94" s="41" t="e">
        <v>#DIV/0!</v>
      </c>
      <c r="W94" s="41" t="e">
        <v>#DIV/0!</v>
      </c>
      <c r="X94" s="41">
        <v>0</v>
      </c>
      <c r="Y94" s="41">
        <v>0</v>
      </c>
      <c r="Z94" s="41">
        <v>0</v>
      </c>
      <c r="AA94" s="41">
        <v>0</v>
      </c>
      <c r="AB94" s="41"/>
      <c r="AC94" s="41" t="e">
        <v>#DIV/0!</v>
      </c>
      <c r="AD94" s="41"/>
      <c r="AE94" s="41" t="e">
        <v>#DIV/0!</v>
      </c>
      <c r="AF94" s="41" t="e">
        <v>#DIV/0!</v>
      </c>
      <c r="AG94" s="41" t="e">
        <v>#DIV/0!</v>
      </c>
      <c r="AH94" s="36">
        <v>45397</v>
      </c>
      <c r="AI94" s="36"/>
      <c r="AJ94" s="36"/>
      <c r="AK94" s="36"/>
      <c r="AL94" s="36"/>
      <c r="AM94" s="46"/>
      <c r="AN94" s="40"/>
      <c r="AO94" s="40"/>
      <c r="AP94" s="40"/>
      <c r="AQ94" s="40"/>
      <c r="AR94" s="48"/>
      <c r="AS94" s="37"/>
      <c r="AT94" s="37"/>
      <c r="AU94" s="47"/>
      <c r="AV94" s="37"/>
      <c r="AW94" s="37">
        <v>10</v>
      </c>
      <c r="AX94" s="30">
        <v>383847.93</v>
      </c>
      <c r="AY94" s="40" t="s">
        <v>431</v>
      </c>
    </row>
    <row r="95" spans="1:51" ht="48" customHeight="1" x14ac:dyDescent="0.25">
      <c r="A95" s="59" t="s">
        <v>2216</v>
      </c>
      <c r="B95" s="60">
        <v>45338</v>
      </c>
      <c r="C95" s="37" t="s">
        <v>432</v>
      </c>
      <c r="D95" s="35"/>
      <c r="E95" s="39" t="s">
        <v>2217</v>
      </c>
      <c r="F95" s="36"/>
      <c r="G95" s="37"/>
      <c r="H95" s="40"/>
      <c r="I95" s="64" t="s">
        <v>1927</v>
      </c>
      <c r="J95" s="61">
        <v>26264656.800000001</v>
      </c>
      <c r="K95" s="41">
        <v>0</v>
      </c>
      <c r="L95" s="54">
        <v>0</v>
      </c>
      <c r="M95" s="54">
        <v>0</v>
      </c>
      <c r="N95" s="42">
        <v>100</v>
      </c>
      <c r="O95" s="43">
        <v>26264656.800000001</v>
      </c>
      <c r="P95" s="41"/>
      <c r="Q95" s="43">
        <v>26264656.800000001</v>
      </c>
      <c r="R95" s="41">
        <v>0</v>
      </c>
      <c r="S95" s="30">
        <v>0</v>
      </c>
      <c r="T95" s="30">
        <v>0</v>
      </c>
      <c r="U95" s="30" t="e">
        <v>#DIV/0!</v>
      </c>
      <c r="V95" s="41" t="e">
        <v>#DIV/0!</v>
      </c>
      <c r="W95" s="41" t="e">
        <v>#DIV/0!</v>
      </c>
      <c r="X95" s="41">
        <v>0</v>
      </c>
      <c r="Y95" s="41">
        <v>0</v>
      </c>
      <c r="Z95" s="41">
        <v>0</v>
      </c>
      <c r="AA95" s="41">
        <v>0</v>
      </c>
      <c r="AB95" s="41"/>
      <c r="AC95" s="41" t="e">
        <v>#DIV/0!</v>
      </c>
      <c r="AD95" s="41"/>
      <c r="AE95" s="41" t="e">
        <v>#DIV/0!</v>
      </c>
      <c r="AF95" s="41" t="e">
        <v>#DIV/0!</v>
      </c>
      <c r="AG95" s="41" t="e">
        <v>#DIV/0!</v>
      </c>
      <c r="AH95" s="36">
        <v>45397</v>
      </c>
      <c r="AI95" s="36"/>
      <c r="AJ95" s="36"/>
      <c r="AK95" s="36"/>
      <c r="AL95" s="36"/>
      <c r="AM95" s="46"/>
      <c r="AN95" s="40"/>
      <c r="AO95" s="40"/>
      <c r="AP95" s="40"/>
      <c r="AQ95" s="40"/>
      <c r="AR95" s="48"/>
      <c r="AS95" s="37"/>
      <c r="AT95" s="37"/>
      <c r="AU95" s="47"/>
      <c r="AV95" s="37"/>
      <c r="AW95" s="37">
        <v>10</v>
      </c>
      <c r="AX95" s="30">
        <v>2626465.6800000002</v>
      </c>
      <c r="AY95" s="40"/>
    </row>
    <row r="96" spans="1:51" ht="48" customHeight="1" x14ac:dyDescent="0.25">
      <c r="A96" s="59" t="s">
        <v>2218</v>
      </c>
      <c r="B96" s="60">
        <v>45338</v>
      </c>
      <c r="C96" s="37" t="s">
        <v>432</v>
      </c>
      <c r="D96" s="35"/>
      <c r="E96" s="39" t="s">
        <v>2219</v>
      </c>
      <c r="F96" s="36"/>
      <c r="G96" s="37"/>
      <c r="H96" s="40"/>
      <c r="I96" s="62" t="s">
        <v>1670</v>
      </c>
      <c r="J96" s="61">
        <v>2657054.4</v>
      </c>
      <c r="K96" s="41">
        <v>0</v>
      </c>
      <c r="L96" s="54">
        <v>0</v>
      </c>
      <c r="M96" s="54">
        <v>0</v>
      </c>
      <c r="N96" s="42">
        <v>100</v>
      </c>
      <c r="O96" s="43">
        <v>2657054.4</v>
      </c>
      <c r="P96" s="41"/>
      <c r="Q96" s="43">
        <v>2657054.4</v>
      </c>
      <c r="R96" s="41">
        <v>0</v>
      </c>
      <c r="S96" s="30">
        <v>0</v>
      </c>
      <c r="T96" s="30">
        <v>0</v>
      </c>
      <c r="U96" s="30" t="e">
        <v>#DIV/0!</v>
      </c>
      <c r="V96" s="41" t="e">
        <v>#DIV/0!</v>
      </c>
      <c r="W96" s="41" t="e">
        <v>#DIV/0!</v>
      </c>
      <c r="X96" s="41">
        <v>0</v>
      </c>
      <c r="Y96" s="41">
        <v>0</v>
      </c>
      <c r="Z96" s="41">
        <v>0</v>
      </c>
      <c r="AA96" s="41">
        <v>0</v>
      </c>
      <c r="AB96" s="41"/>
      <c r="AC96" s="41" t="e">
        <v>#DIV/0!</v>
      </c>
      <c r="AD96" s="41"/>
      <c r="AE96" s="41" t="e">
        <v>#DIV/0!</v>
      </c>
      <c r="AF96" s="41" t="e">
        <v>#DIV/0!</v>
      </c>
      <c r="AG96" s="41" t="e">
        <v>#DIV/0!</v>
      </c>
      <c r="AH96" s="36">
        <v>45397</v>
      </c>
      <c r="AI96" s="36"/>
      <c r="AJ96" s="36"/>
      <c r="AK96" s="36"/>
      <c r="AL96" s="36"/>
      <c r="AM96" s="46"/>
      <c r="AN96" s="40"/>
      <c r="AO96" s="40"/>
      <c r="AP96" s="40"/>
      <c r="AQ96" s="40"/>
      <c r="AR96" s="48"/>
      <c r="AS96" s="37"/>
      <c r="AT96" s="37"/>
      <c r="AU96" s="47"/>
      <c r="AV96" s="37"/>
      <c r="AW96" s="37">
        <v>10</v>
      </c>
      <c r="AX96" s="30">
        <v>265705.44</v>
      </c>
      <c r="AY96" s="40"/>
    </row>
    <row r="97" spans="1:51" ht="48" customHeight="1" x14ac:dyDescent="0.25">
      <c r="A97" s="59" t="s">
        <v>2234</v>
      </c>
      <c r="B97" s="60">
        <v>45338</v>
      </c>
      <c r="C97" s="37" t="s">
        <v>432</v>
      </c>
      <c r="D97" s="35"/>
      <c r="E97" s="39" t="s">
        <v>2235</v>
      </c>
      <c r="F97" s="36"/>
      <c r="G97" s="37"/>
      <c r="H97" s="40"/>
      <c r="I97" s="62" t="s">
        <v>1514</v>
      </c>
      <c r="J97" s="61">
        <v>317722048.5</v>
      </c>
      <c r="K97" s="41">
        <v>0</v>
      </c>
      <c r="L97" s="54">
        <v>0</v>
      </c>
      <c r="M97" s="54">
        <v>0</v>
      </c>
      <c r="N97" s="42">
        <v>100</v>
      </c>
      <c r="O97" s="43">
        <v>317722048.5</v>
      </c>
      <c r="P97" s="41"/>
      <c r="Q97" s="43">
        <v>317722048.5</v>
      </c>
      <c r="R97" s="41">
        <v>0</v>
      </c>
      <c r="S97" s="30">
        <v>0</v>
      </c>
      <c r="T97" s="30">
        <v>0</v>
      </c>
      <c r="U97" s="30" t="e">
        <v>#DIV/0!</v>
      </c>
      <c r="V97" s="41" t="e">
        <v>#DIV/0!</v>
      </c>
      <c r="W97" s="41" t="e">
        <v>#DIV/0!</v>
      </c>
      <c r="X97" s="41">
        <v>0</v>
      </c>
      <c r="Y97" s="41">
        <v>0</v>
      </c>
      <c r="Z97" s="41">
        <v>0</v>
      </c>
      <c r="AA97" s="41">
        <v>0</v>
      </c>
      <c r="AB97" s="41"/>
      <c r="AC97" s="41" t="e">
        <v>#DIV/0!</v>
      </c>
      <c r="AD97" s="41"/>
      <c r="AE97" s="41" t="e">
        <v>#DIV/0!</v>
      </c>
      <c r="AF97" s="41" t="e">
        <v>#DIV/0!</v>
      </c>
      <c r="AG97" s="41" t="e">
        <v>#DIV/0!</v>
      </c>
      <c r="AH97" s="36">
        <v>45397</v>
      </c>
      <c r="AI97" s="36"/>
      <c r="AJ97" s="36"/>
      <c r="AK97" s="36"/>
      <c r="AL97" s="36"/>
      <c r="AM97" s="46"/>
      <c r="AN97" s="40"/>
      <c r="AO97" s="40"/>
      <c r="AP97" s="40"/>
      <c r="AQ97" s="40"/>
      <c r="AR97" s="48"/>
      <c r="AS97" s="37"/>
      <c r="AT97" s="37"/>
      <c r="AU97" s="47"/>
      <c r="AV97" s="37"/>
      <c r="AW97" s="37">
        <v>10</v>
      </c>
      <c r="AX97" s="30">
        <v>31772204.850000001</v>
      </c>
      <c r="AY97" s="40"/>
    </row>
    <row r="98" spans="1:51" ht="48" customHeight="1" x14ac:dyDescent="0.25">
      <c r="A98" s="59" t="s">
        <v>2256</v>
      </c>
      <c r="B98" s="60">
        <v>45341</v>
      </c>
      <c r="C98" s="37" t="s">
        <v>432</v>
      </c>
      <c r="D98" s="35"/>
      <c r="E98" s="39" t="s">
        <v>2257</v>
      </c>
      <c r="F98" s="36"/>
      <c r="G98" s="37"/>
      <c r="H98" s="40"/>
      <c r="I98" s="62" t="s">
        <v>1711</v>
      </c>
      <c r="J98" s="61">
        <v>799818030</v>
      </c>
      <c r="K98" s="41">
        <v>0</v>
      </c>
      <c r="L98" s="54">
        <v>0</v>
      </c>
      <c r="M98" s="54">
        <v>0</v>
      </c>
      <c r="N98" s="42">
        <v>100</v>
      </c>
      <c r="O98" s="43">
        <v>799818030</v>
      </c>
      <c r="P98" s="41"/>
      <c r="Q98" s="43">
        <v>799818030</v>
      </c>
      <c r="R98" s="41">
        <v>0</v>
      </c>
      <c r="S98" s="30">
        <v>0</v>
      </c>
      <c r="T98" s="30">
        <v>0</v>
      </c>
      <c r="U98" s="30" t="e">
        <v>#DIV/0!</v>
      </c>
      <c r="V98" s="41" t="e">
        <v>#DIV/0!</v>
      </c>
      <c r="W98" s="41" t="e">
        <v>#DIV/0!</v>
      </c>
      <c r="X98" s="41">
        <v>0</v>
      </c>
      <c r="Y98" s="41">
        <v>0</v>
      </c>
      <c r="Z98" s="41">
        <v>0</v>
      </c>
      <c r="AA98" s="41">
        <v>0</v>
      </c>
      <c r="AB98" s="41"/>
      <c r="AC98" s="41" t="e">
        <v>#DIV/0!</v>
      </c>
      <c r="AD98" s="41"/>
      <c r="AE98" s="41" t="e">
        <v>#DIV/0!</v>
      </c>
      <c r="AF98" s="41" t="e">
        <v>#DIV/0!</v>
      </c>
      <c r="AG98" s="41" t="e">
        <v>#DIV/0!</v>
      </c>
      <c r="AH98" s="36">
        <v>45397</v>
      </c>
      <c r="AI98" s="36"/>
      <c r="AJ98" s="36"/>
      <c r="AK98" s="36"/>
      <c r="AL98" s="36"/>
      <c r="AM98" s="46"/>
      <c r="AN98" s="40"/>
      <c r="AO98" s="40"/>
      <c r="AP98" s="40"/>
      <c r="AQ98" s="40"/>
      <c r="AR98" s="48"/>
      <c r="AS98" s="37"/>
      <c r="AT98" s="37"/>
      <c r="AU98" s="47"/>
      <c r="AV98" s="37"/>
      <c r="AW98" s="37">
        <v>10</v>
      </c>
      <c r="AX98" s="30">
        <v>79981803</v>
      </c>
      <c r="AY98" s="40"/>
    </row>
    <row r="99" spans="1:51" ht="48" customHeight="1" x14ac:dyDescent="0.25">
      <c r="A99" s="59" t="s">
        <v>2266</v>
      </c>
      <c r="B99" s="60">
        <v>45341</v>
      </c>
      <c r="C99" s="37" t="s">
        <v>432</v>
      </c>
      <c r="D99" s="35"/>
      <c r="E99" s="39" t="s">
        <v>2267</v>
      </c>
      <c r="F99" s="36"/>
      <c r="G99" s="37"/>
      <c r="H99" s="40"/>
      <c r="I99" s="64" t="s">
        <v>2268</v>
      </c>
      <c r="J99" s="61">
        <v>9615367.6500000004</v>
      </c>
      <c r="K99" s="41">
        <v>0</v>
      </c>
      <c r="L99" s="54">
        <v>0</v>
      </c>
      <c r="M99" s="54">
        <v>0</v>
      </c>
      <c r="N99" s="42">
        <v>100</v>
      </c>
      <c r="O99" s="43">
        <v>9615367.6500000004</v>
      </c>
      <c r="P99" s="41"/>
      <c r="Q99" s="43">
        <v>9615367.6500000004</v>
      </c>
      <c r="R99" s="41">
        <v>0</v>
      </c>
      <c r="S99" s="30">
        <v>0</v>
      </c>
      <c r="T99" s="30">
        <v>0</v>
      </c>
      <c r="U99" s="30" t="e">
        <v>#DIV/0!</v>
      </c>
      <c r="V99" s="41" t="e">
        <v>#DIV/0!</v>
      </c>
      <c r="W99" s="41" t="e">
        <v>#DIV/0!</v>
      </c>
      <c r="X99" s="41">
        <v>0</v>
      </c>
      <c r="Y99" s="41">
        <v>0</v>
      </c>
      <c r="Z99" s="41">
        <v>0</v>
      </c>
      <c r="AA99" s="41">
        <v>0</v>
      </c>
      <c r="AB99" s="41"/>
      <c r="AC99" s="41" t="e">
        <v>#DIV/0!</v>
      </c>
      <c r="AD99" s="41"/>
      <c r="AE99" s="41" t="e">
        <v>#DIV/0!</v>
      </c>
      <c r="AF99" s="41" t="e">
        <v>#DIV/0!</v>
      </c>
      <c r="AG99" s="41" t="e">
        <v>#DIV/0!</v>
      </c>
      <c r="AH99" s="36">
        <v>45397</v>
      </c>
      <c r="AI99" s="36"/>
      <c r="AJ99" s="36"/>
      <c r="AK99" s="36"/>
      <c r="AL99" s="36"/>
      <c r="AM99" s="46"/>
      <c r="AN99" s="40"/>
      <c r="AO99" s="40"/>
      <c r="AP99" s="40"/>
      <c r="AQ99" s="40"/>
      <c r="AR99" s="48"/>
      <c r="AS99" s="37"/>
      <c r="AT99" s="37"/>
      <c r="AU99" s="47"/>
      <c r="AV99" s="37"/>
      <c r="AW99" s="37">
        <v>10</v>
      </c>
      <c r="AX99" s="30">
        <v>961536.76500000001</v>
      </c>
      <c r="AY99" s="40"/>
    </row>
    <row r="100" spans="1:51" ht="48" customHeight="1" x14ac:dyDescent="0.25">
      <c r="A100" s="59" t="s">
        <v>2296</v>
      </c>
      <c r="B100" s="60">
        <v>45342</v>
      </c>
      <c r="C100" s="37" t="s">
        <v>432</v>
      </c>
      <c r="D100" s="35"/>
      <c r="E100" s="39" t="s">
        <v>2297</v>
      </c>
      <c r="F100" s="36"/>
      <c r="G100" s="37"/>
      <c r="H100" s="40"/>
      <c r="I100" s="62" t="s">
        <v>2298</v>
      </c>
      <c r="J100" s="61">
        <v>1462531.2</v>
      </c>
      <c r="K100" s="41">
        <v>0</v>
      </c>
      <c r="L100" s="54">
        <v>0</v>
      </c>
      <c r="M100" s="54">
        <v>0</v>
      </c>
      <c r="N100" s="42">
        <v>100</v>
      </c>
      <c r="O100" s="43">
        <v>1462531.2</v>
      </c>
      <c r="P100" s="41"/>
      <c r="Q100" s="43">
        <v>1462531.2</v>
      </c>
      <c r="R100" s="41">
        <v>0</v>
      </c>
      <c r="S100" s="30">
        <v>0</v>
      </c>
      <c r="T100" s="30">
        <v>0</v>
      </c>
      <c r="U100" s="30" t="e">
        <v>#DIV/0!</v>
      </c>
      <c r="V100" s="41" t="e">
        <v>#DIV/0!</v>
      </c>
      <c r="W100" s="41" t="e">
        <v>#DIV/0!</v>
      </c>
      <c r="X100" s="41">
        <v>0</v>
      </c>
      <c r="Y100" s="41">
        <v>0</v>
      </c>
      <c r="Z100" s="41">
        <v>0</v>
      </c>
      <c r="AA100" s="41">
        <v>0</v>
      </c>
      <c r="AB100" s="41"/>
      <c r="AC100" s="41" t="e">
        <v>#DIV/0!</v>
      </c>
      <c r="AD100" s="41"/>
      <c r="AE100" s="41" t="e">
        <v>#DIV/0!</v>
      </c>
      <c r="AF100" s="41" t="e">
        <v>#DIV/0!</v>
      </c>
      <c r="AG100" s="41" t="e">
        <v>#DIV/0!</v>
      </c>
      <c r="AH100" s="36">
        <v>45413</v>
      </c>
      <c r="AI100" s="36"/>
      <c r="AJ100" s="36"/>
      <c r="AK100" s="36"/>
      <c r="AL100" s="36"/>
      <c r="AM100" s="46"/>
      <c r="AN100" s="40"/>
      <c r="AO100" s="40"/>
      <c r="AP100" s="40"/>
      <c r="AQ100" s="40"/>
      <c r="AR100" s="48"/>
      <c r="AS100" s="37"/>
      <c r="AT100" s="37"/>
      <c r="AU100" s="47"/>
      <c r="AV100" s="37"/>
      <c r="AW100" s="37">
        <v>10</v>
      </c>
      <c r="AX100" s="30">
        <v>146253.12</v>
      </c>
      <c r="AY100" s="40"/>
    </row>
    <row r="101" spans="1:51" ht="42" customHeight="1" x14ac:dyDescent="0.25">
      <c r="A101" s="59" t="s">
        <v>2371</v>
      </c>
      <c r="B101" s="60">
        <v>45344</v>
      </c>
      <c r="C101" s="37" t="s">
        <v>432</v>
      </c>
      <c r="D101" s="37" t="s">
        <v>431</v>
      </c>
      <c r="E101" s="39" t="s">
        <v>2372</v>
      </c>
      <c r="F101" s="37" t="s">
        <v>431</v>
      </c>
      <c r="G101" s="37" t="s">
        <v>431</v>
      </c>
      <c r="H101" s="37" t="s">
        <v>431</v>
      </c>
      <c r="I101" s="62" t="s">
        <v>2373</v>
      </c>
      <c r="J101" s="61">
        <v>64523605.799999997</v>
      </c>
      <c r="K101" s="41">
        <v>0</v>
      </c>
      <c r="L101" s="54">
        <v>0</v>
      </c>
      <c r="M101" s="54">
        <v>0</v>
      </c>
      <c r="N101" s="42">
        <v>100</v>
      </c>
      <c r="O101" s="43">
        <v>64523605.799999997</v>
      </c>
      <c r="P101" s="41"/>
      <c r="Q101" s="43">
        <v>64523605.799999997</v>
      </c>
      <c r="R101" s="41">
        <v>0</v>
      </c>
      <c r="S101" s="30">
        <v>0</v>
      </c>
      <c r="T101" s="30">
        <v>0</v>
      </c>
      <c r="U101" s="30" t="e">
        <v>#DIV/0!</v>
      </c>
      <c r="V101" s="41" t="e">
        <v>#DIV/0!</v>
      </c>
      <c r="W101" s="41" t="e">
        <v>#DIV/0!</v>
      </c>
      <c r="X101" s="41">
        <v>0</v>
      </c>
      <c r="Y101" s="41">
        <v>0</v>
      </c>
      <c r="Z101" s="41">
        <v>0</v>
      </c>
      <c r="AA101" s="41">
        <v>0</v>
      </c>
      <c r="AB101" s="41"/>
      <c r="AC101" s="41" t="e">
        <v>#DIV/0!</v>
      </c>
      <c r="AD101" s="41"/>
      <c r="AE101" s="41" t="e">
        <v>#DIV/0!</v>
      </c>
      <c r="AF101" s="41" t="e">
        <v>#DIV/0!</v>
      </c>
      <c r="AG101" s="41" t="e">
        <v>#DIV/0!</v>
      </c>
      <c r="AH101" s="36">
        <v>45413</v>
      </c>
      <c r="AI101" s="36"/>
      <c r="AJ101" s="36"/>
      <c r="AK101" s="36"/>
      <c r="AL101" s="36"/>
      <c r="AM101" s="46"/>
      <c r="AN101" s="40"/>
      <c r="AO101" s="40"/>
      <c r="AP101" s="40"/>
      <c r="AQ101" s="40"/>
      <c r="AR101" s="48"/>
      <c r="AS101" s="37"/>
      <c r="AT101" s="37"/>
      <c r="AU101" s="47"/>
      <c r="AV101" s="37"/>
      <c r="AW101" s="37">
        <v>10</v>
      </c>
      <c r="AX101" s="30">
        <v>6452360.5800000001</v>
      </c>
      <c r="AY101" s="40" t="s">
        <v>431</v>
      </c>
    </row>
    <row r="102" spans="1:51" ht="42" customHeight="1" x14ac:dyDescent="0.25">
      <c r="A102" s="59" t="s">
        <v>2394</v>
      </c>
      <c r="B102" s="60">
        <v>45344</v>
      </c>
      <c r="C102" s="37" t="s">
        <v>432</v>
      </c>
      <c r="D102" s="35"/>
      <c r="E102" s="39" t="s">
        <v>2395</v>
      </c>
      <c r="F102" s="36"/>
      <c r="G102" s="37"/>
      <c r="H102" s="40"/>
      <c r="I102" s="62" t="s">
        <v>2396</v>
      </c>
      <c r="J102" s="61">
        <v>542628909.89999998</v>
      </c>
      <c r="K102" s="41">
        <v>0</v>
      </c>
      <c r="L102" s="54">
        <v>0</v>
      </c>
      <c r="M102" s="54">
        <v>0</v>
      </c>
      <c r="N102" s="42">
        <v>100</v>
      </c>
      <c r="O102" s="43">
        <v>542628909.89999998</v>
      </c>
      <c r="P102" s="41"/>
      <c r="Q102" s="43">
        <v>542628909.89999998</v>
      </c>
      <c r="R102" s="41">
        <v>0</v>
      </c>
      <c r="S102" s="30">
        <v>0</v>
      </c>
      <c r="T102" s="30">
        <v>0</v>
      </c>
      <c r="U102" s="30" t="e">
        <v>#DIV/0!</v>
      </c>
      <c r="V102" s="41" t="e">
        <v>#DIV/0!</v>
      </c>
      <c r="W102" s="41" t="e">
        <v>#DIV/0!</v>
      </c>
      <c r="X102" s="41">
        <v>0</v>
      </c>
      <c r="Y102" s="41">
        <v>0</v>
      </c>
      <c r="Z102" s="41">
        <v>0</v>
      </c>
      <c r="AA102" s="41">
        <v>0</v>
      </c>
      <c r="AB102" s="41"/>
      <c r="AC102" s="41" t="e">
        <v>#DIV/0!</v>
      </c>
      <c r="AD102" s="41"/>
      <c r="AE102" s="41" t="e">
        <v>#DIV/0!</v>
      </c>
      <c r="AF102" s="41" t="e">
        <v>#DIV/0!</v>
      </c>
      <c r="AG102" s="41" t="e">
        <v>#DIV/0!</v>
      </c>
      <c r="AH102" s="36">
        <v>45413</v>
      </c>
      <c r="AI102" s="36"/>
      <c r="AJ102" s="36"/>
      <c r="AK102" s="36"/>
      <c r="AL102" s="36"/>
      <c r="AM102" s="46"/>
      <c r="AN102" s="40"/>
      <c r="AO102" s="40"/>
      <c r="AP102" s="40"/>
      <c r="AQ102" s="40"/>
      <c r="AR102" s="48"/>
      <c r="AS102" s="37"/>
      <c r="AT102" s="37"/>
      <c r="AU102" s="47"/>
      <c r="AV102" s="37"/>
      <c r="AW102" s="37">
        <v>10</v>
      </c>
      <c r="AX102" s="30">
        <v>54262890.990000002</v>
      </c>
      <c r="AY102" s="40"/>
    </row>
  </sheetData>
  <autoFilter ref="A2:AY6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33699724-5D27-4C5A-B75C-C61C93201CD5}"/>
    <hyperlink ref="E4" r:id="rId2" xr:uid="{2C2F0256-825C-4870-A36E-853829136710}"/>
    <hyperlink ref="E5" r:id="rId3" xr:uid="{119A069A-17A4-4198-BBD3-FE3084922AA8}"/>
    <hyperlink ref="E6" r:id="rId4" xr:uid="{A76F0FD5-C989-41EB-9321-3DA84F0B40AC}"/>
    <hyperlink ref="E7" r:id="rId5" xr:uid="{74421270-AB09-428E-8CD1-51E5848EBECB}"/>
    <hyperlink ref="E8" r:id="rId6" xr:uid="{39B29EC4-1FA9-4DAF-A158-8A94E216FEC8}"/>
    <hyperlink ref="E9" r:id="rId7" xr:uid="{95EE166B-5A45-43A9-9306-0B2193EE3174}"/>
    <hyperlink ref="E10" r:id="rId8" xr:uid="{73E96533-85D2-49EB-9114-871D96E900D6}"/>
    <hyperlink ref="E11" r:id="rId9" xr:uid="{1E7FD32E-7C8F-451E-B48F-923968861CC8}"/>
    <hyperlink ref="E12" r:id="rId10" xr:uid="{522E8EC5-05C2-46AA-8F91-01156DEB4D05}"/>
    <hyperlink ref="E13" r:id="rId11" xr:uid="{6058B185-E222-448E-8F58-60B083E120DD}"/>
    <hyperlink ref="E14" r:id="rId12" xr:uid="{C666F9B8-3117-4417-AAC3-26B8E69F70A1}"/>
    <hyperlink ref="E15" r:id="rId13" xr:uid="{41D12934-6F5D-4EFE-ACF2-66C467BB50E7}"/>
    <hyperlink ref="E16" r:id="rId14" xr:uid="{E9994911-B0D4-4EED-8059-F7C2793018B0}"/>
    <hyperlink ref="E17" r:id="rId15" xr:uid="{4DF40F3A-75E0-43FD-A1C3-D3B54C527E09}"/>
    <hyperlink ref="E18" r:id="rId16" xr:uid="{7A7B6966-EE78-4589-AF79-B911CDC1EA6A}"/>
    <hyperlink ref="E19" r:id="rId17" xr:uid="{E81E293F-07C8-4866-BF65-F2D14F89F51A}"/>
    <hyperlink ref="E20" r:id="rId18" xr:uid="{9B30F7E0-6808-4C85-9BDB-38CB2A5BD3A6}"/>
    <hyperlink ref="E21" r:id="rId19" xr:uid="{8BEAE5CD-75B6-4C71-B6A7-78DE42E97F19}"/>
    <hyperlink ref="E22" r:id="rId20" xr:uid="{4A2ECD02-1038-4464-819C-E0B278A96E52}"/>
    <hyperlink ref="E23" r:id="rId21" xr:uid="{A3F28321-4DAA-4401-BCA1-066E6FAD62BE}"/>
    <hyperlink ref="E25" r:id="rId22" xr:uid="{3D0C02E1-95E4-4C7E-A44C-A00CDDE24EE6}"/>
    <hyperlink ref="E26" r:id="rId23" xr:uid="{6B94F71F-5E4C-4DD9-974F-D6D9279F665F}"/>
    <hyperlink ref="E27" r:id="rId24" xr:uid="{37E6D562-E49A-437D-8A87-AD62BC5B0C34}"/>
    <hyperlink ref="E28" r:id="rId25" xr:uid="{3D43B84C-2EAC-4AEB-9A8E-9717BFB49A27}"/>
    <hyperlink ref="E29" r:id="rId26" xr:uid="{018AFAF7-33DB-49AE-94D9-91AC5B22C544}"/>
    <hyperlink ref="E30" r:id="rId27" xr:uid="{0837F366-1D90-4CF7-8B39-1D6A4AA99A85}"/>
    <hyperlink ref="E31" r:id="rId28" xr:uid="{9AEDB4DA-144A-4881-A102-CF0E982C8130}"/>
    <hyperlink ref="E32" r:id="rId29" xr:uid="{C4903139-D86E-46CD-AD3E-757099F15191}"/>
    <hyperlink ref="E33" r:id="rId30" xr:uid="{A6652D8F-16DA-4E15-A5EE-008E88407DC0}"/>
    <hyperlink ref="E34" r:id="rId31" xr:uid="{54A5FE06-F25D-4A0D-B50C-8D00F0195966}"/>
    <hyperlink ref="E35" r:id="rId32" xr:uid="{44AD78AA-13D9-4904-BB16-5022684E526F}"/>
    <hyperlink ref="E36" r:id="rId33" xr:uid="{FCD9F5BB-CDBC-461D-BEA2-92EB4B6AA94A}"/>
    <hyperlink ref="E37" r:id="rId34" xr:uid="{8111EDE8-D68D-4307-9F36-ECBE1C7DC563}"/>
    <hyperlink ref="E38" r:id="rId35" xr:uid="{F52AA841-FCF6-40F5-8F38-95EFA7637237}"/>
    <hyperlink ref="E39" r:id="rId36" xr:uid="{E36F9AF2-529B-447C-AF95-2208023F12B8}"/>
    <hyperlink ref="E40" r:id="rId37" xr:uid="{59FD4609-2EF0-4B20-A255-E176B0A482E7}"/>
    <hyperlink ref="E41" r:id="rId38" xr:uid="{92015418-71E2-4E37-99BF-EB4424877106}"/>
    <hyperlink ref="E42" r:id="rId39" xr:uid="{5F72AAAE-4C58-4774-AF40-ECE6C030E00A}"/>
    <hyperlink ref="E43" r:id="rId40" xr:uid="{0E1532FA-9606-48F0-BCCB-9BBDF3D3FE04}"/>
    <hyperlink ref="E44" r:id="rId41" xr:uid="{BDD368B8-2435-4281-AB3E-7CDE364D607A}"/>
    <hyperlink ref="E45" r:id="rId42" xr:uid="{4BDACCA3-FB1A-4247-AF63-1A624652E2FA}"/>
    <hyperlink ref="E46" r:id="rId43" xr:uid="{6645DA07-E948-4DA9-8394-BB011E429C8E}"/>
    <hyperlink ref="E47" r:id="rId44" xr:uid="{0CE72EE0-B50E-4484-AC7F-A5CC5CFAF5D4}"/>
    <hyperlink ref="E48" r:id="rId45" xr:uid="{7BA12D1F-03D3-4266-A3CC-2592A47814A3}"/>
    <hyperlink ref="E49" r:id="rId46" xr:uid="{FE67154D-57D6-478C-BC3F-F6107920E6CA}"/>
    <hyperlink ref="E50" r:id="rId47" xr:uid="{49040283-9242-43E8-8B79-3BA00F1BE963}"/>
    <hyperlink ref="E51" r:id="rId48" xr:uid="{92536760-79B4-43A1-83AE-6EA18649E2D0}"/>
    <hyperlink ref="E52" r:id="rId49" xr:uid="{4A770B48-9E99-48B4-AAEE-7F112CAE703D}"/>
    <hyperlink ref="E53" r:id="rId50" xr:uid="{D66C1403-E02F-4DB3-9DE7-983741FB9E24}"/>
    <hyperlink ref="E54" r:id="rId51" xr:uid="{F7E35356-0EC8-4A82-8D19-626784D2B1D8}"/>
    <hyperlink ref="E55" r:id="rId52" xr:uid="{46A61CFF-3CEA-44C9-90B3-47152F57ECB2}"/>
    <hyperlink ref="E56" r:id="rId53" xr:uid="{AE143745-D781-4FB8-9C73-4392EE66B8FD}"/>
    <hyperlink ref="E57" r:id="rId54" xr:uid="{2FE875A8-D155-4553-AA46-8089234862A0}"/>
    <hyperlink ref="E58" r:id="rId55" xr:uid="{4CE59D59-D3E0-46B7-A03D-E2FF84E4FC22}"/>
    <hyperlink ref="E59" r:id="rId56" xr:uid="{22DD0236-0C47-473E-9CC7-BEC25DAE50D5}"/>
    <hyperlink ref="E60" r:id="rId57" xr:uid="{5152CDEC-FA07-48CD-A35A-B7397D471426}"/>
    <hyperlink ref="E61" r:id="rId58" xr:uid="{B5C62530-EFA8-4AFD-B349-D8EE70AEB5DA}"/>
    <hyperlink ref="E62" r:id="rId59" xr:uid="{A5C646D7-D1C9-432E-9929-1A2A398DF5EC}"/>
    <hyperlink ref="E63" r:id="rId60" xr:uid="{D496F0BF-5CAC-4EA8-9DC3-772350962EB7}"/>
    <hyperlink ref="E64" r:id="rId61" xr:uid="{CC4DD6A2-2605-4268-9325-D78ADD57C0AA}"/>
    <hyperlink ref="E65" r:id="rId62" xr:uid="{5AAFC770-DEF1-4C07-81A6-9449A5CC843C}"/>
    <hyperlink ref="E66" r:id="rId63" xr:uid="{AEFFA2D8-3969-4FF2-B67F-66BE0767AD9F}"/>
    <hyperlink ref="E67" r:id="rId64" xr:uid="{4565F3AD-2F3B-4C7E-8EBB-B830DD3BC3F4}"/>
    <hyperlink ref="E68" r:id="rId65" xr:uid="{1D728B75-8EAD-4785-9540-2277C1DA9480}"/>
    <hyperlink ref="E69" r:id="rId66" xr:uid="{CA8459BA-5986-4E25-8667-9E45785C046A}"/>
    <hyperlink ref="E70" r:id="rId67" xr:uid="{1E892514-A151-4DCE-99E8-81998E35B372}"/>
    <hyperlink ref="E71" r:id="rId68" xr:uid="{DA18DF35-9C88-40F5-B4F9-7A1769AAFC70}"/>
    <hyperlink ref="E72" r:id="rId69" xr:uid="{912FE097-4A91-42FE-A837-CDC05470E652}"/>
    <hyperlink ref="E73" r:id="rId70" xr:uid="{3E3DA3D4-3853-41B2-B0D2-5F1FB6F1A5B9}"/>
    <hyperlink ref="E74" r:id="rId71" xr:uid="{ACAA7586-A476-4A5C-A4EE-8C6C8FAEE137}"/>
    <hyperlink ref="E75" r:id="rId72" xr:uid="{892A5E6C-5ECE-4189-8F0F-26971341BC00}"/>
    <hyperlink ref="E76" r:id="rId73" xr:uid="{8D19CCD7-C64D-4DE9-837C-CDE4911D688C}"/>
    <hyperlink ref="E77" r:id="rId74" xr:uid="{0FAA3770-DF89-46DB-9501-D51BA3FF50A6}"/>
    <hyperlink ref="E78" r:id="rId75" xr:uid="{5FF2AF93-C1F6-4C45-8962-CAE9F49C954A}"/>
    <hyperlink ref="E79" r:id="rId76" xr:uid="{8330C8FB-D4FB-4227-87CF-2EF95229EE18}"/>
    <hyperlink ref="E80" r:id="rId77" xr:uid="{76EB3BA3-EB13-4333-B4D6-4370E74FE413}"/>
    <hyperlink ref="E81" r:id="rId78" xr:uid="{E3958BFE-FC5B-4BDC-9374-B2F569799EC6}"/>
    <hyperlink ref="E82" r:id="rId79" xr:uid="{F500FA8F-6193-4934-AFBB-5E2D5E532469}"/>
    <hyperlink ref="E83" r:id="rId80" xr:uid="{6DBC6FCA-3BA6-4713-9253-8BF0E893FA3B}"/>
    <hyperlink ref="E84" r:id="rId81" xr:uid="{9BA6AF8C-C45F-4254-AAE4-7071574DD794}"/>
    <hyperlink ref="E85" r:id="rId82" xr:uid="{102DC1EA-E740-414C-8754-61759CB16919}"/>
    <hyperlink ref="E86" r:id="rId83" xr:uid="{E568E0B1-C269-4DCF-A5CF-AD808205E5B8}"/>
    <hyperlink ref="E87" r:id="rId84" xr:uid="{7B08426A-8949-487C-91E7-18C8860089F4}"/>
    <hyperlink ref="E88" r:id="rId85" xr:uid="{444CE0D7-B95E-4E9C-9584-85B56EB37E4C}"/>
    <hyperlink ref="E89" r:id="rId86" xr:uid="{5C634C8D-369B-49EB-88A7-D574D1E166C2}"/>
    <hyperlink ref="E90" r:id="rId87" xr:uid="{22ED6433-19AF-4E4F-933E-2F7BF39A87CE}"/>
    <hyperlink ref="E91" r:id="rId88" xr:uid="{01CF3F49-88FE-476C-8F3B-3D10C1354193}"/>
    <hyperlink ref="E92" r:id="rId89" xr:uid="{3EE1E732-A7F3-4839-B186-34B2D56818C7}"/>
    <hyperlink ref="E93" r:id="rId90" xr:uid="{77C839AA-50BD-4A37-BFC2-3C47A7F711CA}"/>
    <hyperlink ref="E94" r:id="rId91" xr:uid="{D9D63C6C-E2AD-4F60-84FD-DA2D051126E7}"/>
    <hyperlink ref="E95" r:id="rId92" xr:uid="{86915874-17C1-433C-A8D8-710F67731A57}"/>
    <hyperlink ref="E96" r:id="rId93" xr:uid="{14B4900F-42AC-4205-9D68-597DEDF906B6}"/>
    <hyperlink ref="E97" r:id="rId94" xr:uid="{689229E7-A87F-4A57-9223-1E84715E0060}"/>
    <hyperlink ref="E98" r:id="rId95" xr:uid="{74AA8653-C783-4DB7-915C-412C117DC350}"/>
    <hyperlink ref="E99" r:id="rId96" xr:uid="{879D141E-8EFF-43A0-8B59-1DDEFBFAE226}"/>
    <hyperlink ref="E100" r:id="rId97" xr:uid="{1370450A-F407-488D-A2A1-3C187CA021DA}"/>
    <hyperlink ref="E101" r:id="rId98" xr:uid="{85AE5C2C-E264-43A5-9645-124761A56FC9}"/>
    <hyperlink ref="E102" r:id="rId99" xr:uid="{263DA6C6-7766-4442-8BFD-399FE5226FE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1D9D-CC5D-4DAF-938B-A6E2137D5B9F}">
  <dimension ref="A1:AY96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.75" x14ac:dyDescent="0.25"/>
  <cols>
    <col min="1" max="1" width="23.85546875" style="20" customWidth="1"/>
    <col min="2" max="2" width="15.140625" style="71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73" customWidth="1"/>
    <col min="7" max="7" width="33.42578125" style="49" customWidth="1"/>
    <col min="8" max="8" width="19.140625" style="72" customWidth="1"/>
    <col min="9" max="9" width="38.28515625" style="20" customWidth="1"/>
    <col min="10" max="13" width="22.140625" style="49" customWidth="1"/>
    <col min="14" max="14" width="19.140625" style="49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4" customWidth="1"/>
    <col min="26" max="26" width="15.5703125" style="20" customWidth="1"/>
    <col min="27" max="27" width="15.5703125" style="72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49" customWidth="1"/>
    <col min="37" max="37" width="14.85546875" style="49" customWidth="1"/>
    <col min="38" max="38" width="15.42578125" style="20" customWidth="1"/>
    <col min="39" max="39" width="14.85546875" style="74" customWidth="1"/>
    <col min="40" max="40" width="16.28515625" style="72" customWidth="1"/>
    <col min="41" max="41" width="30.42578125" style="72" customWidth="1"/>
    <col min="42" max="42" width="19" style="49" customWidth="1"/>
    <col min="43" max="43" width="16.28515625" style="49" customWidth="1"/>
    <col min="44" max="44" width="11" style="20" customWidth="1"/>
    <col min="45" max="45" width="14.7109375" style="50" customWidth="1"/>
    <col min="46" max="46" width="12.5703125" style="20" customWidth="1"/>
    <col min="47" max="47" width="13.85546875" style="72" customWidth="1"/>
    <col min="48" max="48" width="8.5703125" style="74" customWidth="1"/>
    <col min="49" max="49" width="7.7109375" style="74" customWidth="1"/>
    <col min="50" max="50" width="18.42578125" style="49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57" customHeight="1" x14ac:dyDescent="0.25">
      <c r="A3" s="44" t="s">
        <v>492</v>
      </c>
      <c r="B3" s="46">
        <v>45181</v>
      </c>
      <c r="C3" s="40" t="s">
        <v>494</v>
      </c>
      <c r="D3" s="37" t="s">
        <v>493</v>
      </c>
      <c r="E3" s="39" t="s">
        <v>495</v>
      </c>
      <c r="F3" s="37" t="s">
        <v>493</v>
      </c>
      <c r="G3" s="37" t="s">
        <v>496</v>
      </c>
      <c r="H3" s="40" t="s">
        <v>431</v>
      </c>
      <c r="I3" s="40" t="s">
        <v>497</v>
      </c>
      <c r="J3" s="54">
        <v>445239478.80000001</v>
      </c>
      <c r="K3" s="54">
        <v>445239478.80000001</v>
      </c>
      <c r="L3" s="54"/>
      <c r="M3" s="54"/>
      <c r="N3" s="42">
        <v>100</v>
      </c>
      <c r="O3" s="43">
        <v>445239478.80000001</v>
      </c>
      <c r="P3" s="41"/>
      <c r="Q3" s="43">
        <v>445239478.80000001</v>
      </c>
      <c r="R3" s="41">
        <v>0</v>
      </c>
      <c r="S3" s="30">
        <v>0</v>
      </c>
      <c r="T3" s="30">
        <v>0</v>
      </c>
      <c r="U3" s="30" t="e">
        <v>#DIV/0!</v>
      </c>
      <c r="V3" s="41" t="e">
        <v>#DIV/0!</v>
      </c>
      <c r="W3" s="41" t="e">
        <v>#DIV/0!</v>
      </c>
      <c r="X3" s="41">
        <v>0</v>
      </c>
      <c r="Y3" s="41">
        <v>0</v>
      </c>
      <c r="Z3" s="41">
        <v>0</v>
      </c>
      <c r="AA3" s="41">
        <v>0</v>
      </c>
      <c r="AB3" s="41"/>
      <c r="AC3" s="41" t="e">
        <v>#DIV/0!</v>
      </c>
      <c r="AD3" s="41"/>
      <c r="AE3" s="41" t="e">
        <v>#DIV/0!</v>
      </c>
      <c r="AF3" s="41" t="e">
        <v>#DIV/0!</v>
      </c>
      <c r="AG3" s="41" t="e">
        <v>#DIV/0!</v>
      </c>
      <c r="AH3" s="36">
        <v>45301</v>
      </c>
      <c r="AI3" s="36"/>
      <c r="AJ3" s="36"/>
      <c r="AK3" s="36">
        <v>45332</v>
      </c>
      <c r="AL3" s="36"/>
      <c r="AM3" s="46"/>
      <c r="AN3" s="40"/>
      <c r="AO3" s="40"/>
      <c r="AP3" s="40"/>
      <c r="AQ3" s="40"/>
      <c r="AR3" s="48"/>
      <c r="AS3" s="37"/>
      <c r="AT3" s="37"/>
      <c r="AU3" s="47"/>
      <c r="AV3" s="37"/>
      <c r="AW3" s="37">
        <v>10</v>
      </c>
      <c r="AX3" s="30">
        <v>44523947.880000003</v>
      </c>
      <c r="AY3" s="40" t="s">
        <v>431</v>
      </c>
    </row>
    <row r="4" spans="1:51" ht="44.25" customHeight="1" x14ac:dyDescent="0.25">
      <c r="A4" s="44" t="s">
        <v>530</v>
      </c>
      <c r="B4" s="46">
        <v>45211</v>
      </c>
      <c r="C4" s="40" t="s">
        <v>494</v>
      </c>
      <c r="D4" s="35" t="s">
        <v>531</v>
      </c>
      <c r="E4" s="39" t="s">
        <v>532</v>
      </c>
      <c r="F4" s="36">
        <v>45230</v>
      </c>
      <c r="G4" s="37" t="s">
        <v>533</v>
      </c>
      <c r="H4" s="40" t="s">
        <v>139</v>
      </c>
      <c r="I4" s="40" t="s">
        <v>497</v>
      </c>
      <c r="J4" s="54">
        <v>288944067.75</v>
      </c>
      <c r="K4" s="54">
        <v>288944067.75</v>
      </c>
      <c r="L4" s="54">
        <v>0</v>
      </c>
      <c r="M4" s="54">
        <v>0</v>
      </c>
      <c r="N4" s="42">
        <v>0</v>
      </c>
      <c r="O4" s="43">
        <v>0</v>
      </c>
      <c r="P4" s="41">
        <v>288944067.75</v>
      </c>
      <c r="Q4" s="43">
        <v>0</v>
      </c>
      <c r="R4" s="41">
        <v>288944067.75</v>
      </c>
      <c r="S4" s="30">
        <v>288944067.75</v>
      </c>
      <c r="T4" s="30">
        <v>288944067.75</v>
      </c>
      <c r="U4" s="30">
        <v>574.54999999999995</v>
      </c>
      <c r="V4" s="41">
        <v>574.54999999999995</v>
      </c>
      <c r="W4" s="41">
        <v>108015.4</v>
      </c>
      <c r="X4" s="41">
        <v>502905</v>
      </c>
      <c r="Y4" s="41">
        <v>502905</v>
      </c>
      <c r="Z4" s="41">
        <v>0</v>
      </c>
      <c r="AA4" s="41">
        <v>0</v>
      </c>
      <c r="AB4" s="41"/>
      <c r="AC4" s="41">
        <v>0</v>
      </c>
      <c r="AD4" s="41"/>
      <c r="AE4" s="41">
        <v>0</v>
      </c>
      <c r="AF4" s="41">
        <v>2675.0265957446809</v>
      </c>
      <c r="AG4" s="41">
        <v>2676</v>
      </c>
      <c r="AH4" s="36">
        <v>45301</v>
      </c>
      <c r="AI4" s="36"/>
      <c r="AJ4" s="36"/>
      <c r="AK4" s="36">
        <v>45332</v>
      </c>
      <c r="AL4" s="36"/>
      <c r="AM4" s="46"/>
      <c r="AN4" s="40" t="s">
        <v>534</v>
      </c>
      <c r="AO4" s="40" t="s">
        <v>535</v>
      </c>
      <c r="AP4" s="40" t="s">
        <v>536</v>
      </c>
      <c r="AQ4" s="40" t="s">
        <v>80</v>
      </c>
      <c r="AR4" s="48">
        <v>100</v>
      </c>
      <c r="AS4" s="37">
        <v>0</v>
      </c>
      <c r="AT4" s="37" t="s">
        <v>386</v>
      </c>
      <c r="AU4" s="47">
        <v>188</v>
      </c>
      <c r="AV4" s="37" t="s">
        <v>60</v>
      </c>
      <c r="AW4" s="37">
        <v>10</v>
      </c>
      <c r="AX4" s="30">
        <v>28894406.774999999</v>
      </c>
      <c r="AY4" s="40" t="s">
        <v>95</v>
      </c>
    </row>
    <row r="5" spans="1:51" ht="48" customHeight="1" x14ac:dyDescent="0.25">
      <c r="A5" s="59" t="s">
        <v>1974</v>
      </c>
      <c r="B5" s="60">
        <v>45324</v>
      </c>
      <c r="C5" s="40" t="s">
        <v>494</v>
      </c>
      <c r="D5" s="35"/>
      <c r="E5" s="39" t="s">
        <v>1975</v>
      </c>
      <c r="F5" s="36">
        <v>45348</v>
      </c>
      <c r="G5" s="37" t="s">
        <v>1976</v>
      </c>
      <c r="H5" s="40" t="s">
        <v>53</v>
      </c>
      <c r="I5" s="62" t="s">
        <v>1977</v>
      </c>
      <c r="J5" s="61">
        <v>247826882.88</v>
      </c>
      <c r="K5" s="41">
        <v>0</v>
      </c>
      <c r="L5" s="54">
        <v>0</v>
      </c>
      <c r="M5" s="54">
        <v>0</v>
      </c>
      <c r="N5" s="42">
        <v>0</v>
      </c>
      <c r="O5" s="43">
        <v>0</v>
      </c>
      <c r="P5" s="61">
        <v>247826882.88</v>
      </c>
      <c r="Q5" s="43">
        <v>0</v>
      </c>
      <c r="R5" s="61">
        <v>247826882.88</v>
      </c>
      <c r="S5" s="30">
        <v>247826882.88</v>
      </c>
      <c r="T5" s="30">
        <v>247826882.88</v>
      </c>
      <c r="U5" s="30">
        <v>144.66</v>
      </c>
      <c r="V5" s="41">
        <v>144.66</v>
      </c>
      <c r="W5" s="41">
        <v>6943.68</v>
      </c>
      <c r="X5" s="41">
        <v>1713168</v>
      </c>
      <c r="Y5" s="41">
        <v>576000</v>
      </c>
      <c r="Z5" s="41">
        <v>576000</v>
      </c>
      <c r="AA5" s="41">
        <v>561168</v>
      </c>
      <c r="AB5" s="41">
        <v>0</v>
      </c>
      <c r="AC5" s="41">
        <v>0</v>
      </c>
      <c r="AD5" s="41">
        <v>0</v>
      </c>
      <c r="AE5" s="41">
        <v>0</v>
      </c>
      <c r="AF5" s="41">
        <v>35691</v>
      </c>
      <c r="AG5" s="41">
        <v>35691</v>
      </c>
      <c r="AH5" s="36">
        <v>45383</v>
      </c>
      <c r="AI5" s="36">
        <v>45474</v>
      </c>
      <c r="AJ5" s="36">
        <v>45550</v>
      </c>
      <c r="AK5" s="36">
        <v>45413</v>
      </c>
      <c r="AL5" s="36">
        <v>45505</v>
      </c>
      <c r="AM5" s="46">
        <v>45580</v>
      </c>
      <c r="AN5" s="40" t="s">
        <v>1978</v>
      </c>
      <c r="AO5" s="40" t="s">
        <v>1979</v>
      </c>
      <c r="AP5" s="40" t="s">
        <v>1980</v>
      </c>
      <c r="AQ5" s="40" t="s">
        <v>264</v>
      </c>
      <c r="AR5" s="48">
        <v>0</v>
      </c>
      <c r="AS5" s="37">
        <v>100</v>
      </c>
      <c r="AT5" s="37" t="s">
        <v>386</v>
      </c>
      <c r="AU5" s="47">
        <v>48</v>
      </c>
      <c r="AV5" s="37" t="s">
        <v>60</v>
      </c>
      <c r="AW5" s="37">
        <v>10</v>
      </c>
      <c r="AX5" s="30">
        <v>24782688.288000003</v>
      </c>
      <c r="AY5" s="40" t="s">
        <v>402</v>
      </c>
    </row>
    <row r="6" spans="1:51" ht="48" customHeight="1" x14ac:dyDescent="0.25">
      <c r="A6" s="59" t="s">
        <v>1981</v>
      </c>
      <c r="B6" s="60">
        <v>45324</v>
      </c>
      <c r="C6" s="40" t="s">
        <v>494</v>
      </c>
      <c r="D6" s="35" t="s">
        <v>431</v>
      </c>
      <c r="E6" s="39" t="s">
        <v>1982</v>
      </c>
      <c r="F6" s="36" t="s">
        <v>431</v>
      </c>
      <c r="G6" s="37" t="s">
        <v>431</v>
      </c>
      <c r="H6" s="40" t="s">
        <v>431</v>
      </c>
      <c r="I6" s="62" t="s">
        <v>1983</v>
      </c>
      <c r="J6" s="61">
        <v>9795456</v>
      </c>
      <c r="K6" s="41">
        <v>0</v>
      </c>
      <c r="L6" s="54">
        <v>0</v>
      </c>
      <c r="M6" s="54">
        <v>0</v>
      </c>
      <c r="N6" s="42">
        <v>100</v>
      </c>
      <c r="O6" s="43">
        <v>9795456</v>
      </c>
      <c r="P6" s="41"/>
      <c r="Q6" s="43">
        <v>9795456</v>
      </c>
      <c r="R6" s="41">
        <v>0</v>
      </c>
      <c r="S6" s="30">
        <v>0</v>
      </c>
      <c r="T6" s="30">
        <v>0</v>
      </c>
      <c r="U6" s="30">
        <v>5.28</v>
      </c>
      <c r="V6" s="41">
        <v>0</v>
      </c>
      <c r="W6" s="41">
        <v>0</v>
      </c>
      <c r="X6" s="41">
        <v>1855200</v>
      </c>
      <c r="Y6" s="41">
        <v>1855200</v>
      </c>
      <c r="Z6" s="41">
        <v>0</v>
      </c>
      <c r="AA6" s="41">
        <v>0</v>
      </c>
      <c r="AB6" s="41"/>
      <c r="AC6" s="41">
        <v>0</v>
      </c>
      <c r="AD6" s="41"/>
      <c r="AE6" s="41">
        <v>0</v>
      </c>
      <c r="AF6" s="41" t="e">
        <v>#DIV/0!</v>
      </c>
      <c r="AG6" s="41" t="e">
        <v>#DIV/0!</v>
      </c>
      <c r="AH6" s="36">
        <v>45383</v>
      </c>
      <c r="AI6" s="36"/>
      <c r="AJ6" s="36"/>
      <c r="AK6" s="36"/>
      <c r="AL6" s="36"/>
      <c r="AM6" s="46"/>
      <c r="AN6" s="40"/>
      <c r="AO6" s="40"/>
      <c r="AP6" s="40"/>
      <c r="AQ6" s="40"/>
      <c r="AR6" s="48"/>
      <c r="AS6" s="37"/>
      <c r="AT6" s="37"/>
      <c r="AU6" s="47"/>
      <c r="AV6" s="37"/>
      <c r="AW6" s="37">
        <v>10</v>
      </c>
      <c r="AX6" s="30">
        <v>979545.59999999998</v>
      </c>
      <c r="AY6" s="40" t="s">
        <v>431</v>
      </c>
    </row>
    <row r="7" spans="1:51" ht="48" customHeight="1" x14ac:dyDescent="0.25">
      <c r="A7" s="59" t="s">
        <v>1984</v>
      </c>
      <c r="B7" s="60">
        <v>45324</v>
      </c>
      <c r="C7" s="40" t="s">
        <v>494</v>
      </c>
      <c r="D7" s="35"/>
      <c r="E7" s="39" t="s">
        <v>1985</v>
      </c>
      <c r="F7" s="36">
        <v>45348</v>
      </c>
      <c r="G7" s="37" t="s">
        <v>1986</v>
      </c>
      <c r="H7" s="40" t="s">
        <v>224</v>
      </c>
      <c r="I7" s="64" t="s">
        <v>1987</v>
      </c>
      <c r="J7" s="61">
        <v>12375990</v>
      </c>
      <c r="K7" s="41">
        <v>0</v>
      </c>
      <c r="L7" s="54">
        <v>0</v>
      </c>
      <c r="M7" s="54">
        <v>0</v>
      </c>
      <c r="N7" s="42">
        <v>0</v>
      </c>
      <c r="O7" s="43">
        <v>0</v>
      </c>
      <c r="P7" s="61">
        <v>12375990</v>
      </c>
      <c r="Q7" s="43">
        <v>0</v>
      </c>
      <c r="R7" s="61">
        <v>12375990</v>
      </c>
      <c r="S7" s="30">
        <v>12375990</v>
      </c>
      <c r="T7" s="30">
        <v>12375990</v>
      </c>
      <c r="U7" s="30">
        <v>49.5</v>
      </c>
      <c r="V7" s="41">
        <v>49.5</v>
      </c>
      <c r="W7" s="41">
        <v>4950</v>
      </c>
      <c r="X7" s="41">
        <v>250020</v>
      </c>
      <c r="Y7" s="41">
        <v>250020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2500.1999999999998</v>
      </c>
      <c r="AG7" s="41">
        <v>2501</v>
      </c>
      <c r="AH7" s="36">
        <v>45383</v>
      </c>
      <c r="AI7" s="36"/>
      <c r="AJ7" s="36"/>
      <c r="AK7" s="36">
        <v>45413</v>
      </c>
      <c r="AL7" s="36"/>
      <c r="AM7" s="46"/>
      <c r="AN7" s="40" t="s">
        <v>1988</v>
      </c>
      <c r="AO7" s="40" t="s">
        <v>1989</v>
      </c>
      <c r="AP7" s="40" t="s">
        <v>1990</v>
      </c>
      <c r="AQ7" s="40" t="s">
        <v>80</v>
      </c>
      <c r="AR7" s="48">
        <v>100</v>
      </c>
      <c r="AS7" s="37">
        <v>0</v>
      </c>
      <c r="AT7" s="37" t="s">
        <v>386</v>
      </c>
      <c r="AU7" s="47">
        <v>100</v>
      </c>
      <c r="AV7" s="37" t="s">
        <v>60</v>
      </c>
      <c r="AW7" s="37">
        <v>10</v>
      </c>
      <c r="AX7" s="30">
        <v>1237599</v>
      </c>
      <c r="AY7" s="40" t="s">
        <v>402</v>
      </c>
    </row>
    <row r="8" spans="1:51" ht="36.75" customHeight="1" x14ac:dyDescent="0.25">
      <c r="A8" s="44" t="s">
        <v>2003</v>
      </c>
      <c r="B8" s="36">
        <v>45327</v>
      </c>
      <c r="C8" s="40" t="s">
        <v>494</v>
      </c>
      <c r="D8" s="35"/>
      <c r="E8" s="39" t="s">
        <v>2004</v>
      </c>
      <c r="F8" s="36">
        <v>45356</v>
      </c>
      <c r="G8" s="37" t="s">
        <v>2005</v>
      </c>
      <c r="H8" s="40" t="s">
        <v>139</v>
      </c>
      <c r="I8" s="40" t="s">
        <v>2006</v>
      </c>
      <c r="J8" s="41">
        <v>509832688</v>
      </c>
      <c r="K8" s="41">
        <v>0</v>
      </c>
      <c r="L8" s="54">
        <v>0</v>
      </c>
      <c r="M8" s="54">
        <v>0</v>
      </c>
      <c r="N8" s="42">
        <v>0</v>
      </c>
      <c r="O8" s="43">
        <v>0</v>
      </c>
      <c r="P8" s="41">
        <v>509832688</v>
      </c>
      <c r="Q8" s="43">
        <v>0</v>
      </c>
      <c r="R8" s="41">
        <v>509832688</v>
      </c>
      <c r="S8" s="30">
        <v>509832688</v>
      </c>
      <c r="T8" s="30">
        <v>509832688</v>
      </c>
      <c r="U8" s="30">
        <v>574.54999999999995</v>
      </c>
      <c r="V8" s="41">
        <v>574.54999999999995</v>
      </c>
      <c r="W8" s="41">
        <v>108015.4</v>
      </c>
      <c r="X8" s="41">
        <v>887360</v>
      </c>
      <c r="Y8" s="41">
        <v>887360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4720</v>
      </c>
      <c r="AG8" s="41">
        <v>4720</v>
      </c>
      <c r="AH8" s="36">
        <v>45397</v>
      </c>
      <c r="AI8" s="36"/>
      <c r="AJ8" s="36"/>
      <c r="AK8" s="36">
        <v>45427</v>
      </c>
      <c r="AL8" s="36"/>
      <c r="AM8" s="46"/>
      <c r="AN8" s="40" t="s">
        <v>534</v>
      </c>
      <c r="AO8" s="40" t="s">
        <v>535</v>
      </c>
      <c r="AP8" s="40" t="s">
        <v>536</v>
      </c>
      <c r="AQ8" s="40" t="s">
        <v>80</v>
      </c>
      <c r="AR8" s="48">
        <v>100</v>
      </c>
      <c r="AS8" s="37">
        <v>0</v>
      </c>
      <c r="AT8" s="37" t="s">
        <v>386</v>
      </c>
      <c r="AU8" s="47">
        <v>188</v>
      </c>
      <c r="AV8" s="37" t="s">
        <v>60</v>
      </c>
      <c r="AW8" s="37">
        <v>10</v>
      </c>
      <c r="AX8" s="30">
        <v>50983268.799999997</v>
      </c>
      <c r="AY8" s="40" t="s">
        <v>402</v>
      </c>
    </row>
    <row r="9" spans="1:51" ht="107.25" customHeight="1" x14ac:dyDescent="0.25">
      <c r="A9" s="44" t="s">
        <v>2007</v>
      </c>
      <c r="B9" s="36">
        <v>45327</v>
      </c>
      <c r="C9" s="40" t="s">
        <v>494</v>
      </c>
      <c r="D9" s="35"/>
      <c r="E9" s="39" t="s">
        <v>2008</v>
      </c>
      <c r="F9" s="36">
        <v>45352</v>
      </c>
      <c r="G9" s="37" t="s">
        <v>2009</v>
      </c>
      <c r="H9" s="40" t="s">
        <v>224</v>
      </c>
      <c r="I9" s="40" t="s">
        <v>2010</v>
      </c>
      <c r="J9" s="41">
        <v>12153240</v>
      </c>
      <c r="K9" s="41">
        <v>0</v>
      </c>
      <c r="L9" s="54">
        <v>0</v>
      </c>
      <c r="M9" s="54">
        <v>0</v>
      </c>
      <c r="N9" s="42">
        <v>0</v>
      </c>
      <c r="O9" s="43">
        <v>0</v>
      </c>
      <c r="P9" s="41">
        <v>12153240</v>
      </c>
      <c r="Q9" s="43">
        <v>0</v>
      </c>
      <c r="R9" s="41">
        <v>12153240</v>
      </c>
      <c r="S9" s="30">
        <v>12153240</v>
      </c>
      <c r="T9" s="30">
        <v>12153240</v>
      </c>
      <c r="U9" s="30">
        <v>396</v>
      </c>
      <c r="V9" s="41">
        <v>396</v>
      </c>
      <c r="W9" s="41">
        <v>39600</v>
      </c>
      <c r="X9" s="41">
        <v>30690</v>
      </c>
      <c r="Y9" s="41">
        <v>30690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306.89999999999998</v>
      </c>
      <c r="AG9" s="41">
        <v>307</v>
      </c>
      <c r="AH9" s="36">
        <v>45383</v>
      </c>
      <c r="AI9" s="36"/>
      <c r="AJ9" s="36"/>
      <c r="AK9" s="36">
        <v>45413</v>
      </c>
      <c r="AL9" s="36"/>
      <c r="AM9" s="46"/>
      <c r="AN9" s="40" t="s">
        <v>2011</v>
      </c>
      <c r="AO9" s="40" t="s">
        <v>2012</v>
      </c>
      <c r="AP9" s="40" t="s">
        <v>2013</v>
      </c>
      <c r="AQ9" s="40" t="s">
        <v>80</v>
      </c>
      <c r="AR9" s="48">
        <v>100</v>
      </c>
      <c r="AS9" s="37">
        <v>0</v>
      </c>
      <c r="AT9" s="37" t="s">
        <v>386</v>
      </c>
      <c r="AU9" s="47">
        <v>100</v>
      </c>
      <c r="AV9" s="37" t="s">
        <v>60</v>
      </c>
      <c r="AW9" s="37">
        <v>10</v>
      </c>
      <c r="AX9" s="30">
        <v>1215324</v>
      </c>
      <c r="AY9" s="40" t="s">
        <v>402</v>
      </c>
    </row>
    <row r="10" spans="1:51" ht="39" customHeight="1" x14ac:dyDescent="0.25">
      <c r="A10" s="59" t="s">
        <v>2014</v>
      </c>
      <c r="B10" s="60">
        <v>45327</v>
      </c>
      <c r="C10" s="40" t="s">
        <v>494</v>
      </c>
      <c r="D10" s="35"/>
      <c r="E10" s="39" t="s">
        <v>2015</v>
      </c>
      <c r="F10" s="36">
        <v>45352</v>
      </c>
      <c r="G10" s="37" t="s">
        <v>2016</v>
      </c>
      <c r="H10" s="40" t="s">
        <v>2017</v>
      </c>
      <c r="I10" s="64" t="s">
        <v>2018</v>
      </c>
      <c r="J10" s="61">
        <v>54510610</v>
      </c>
      <c r="K10" s="41">
        <v>0</v>
      </c>
      <c r="L10" s="54">
        <v>0</v>
      </c>
      <c r="M10" s="54">
        <v>0</v>
      </c>
      <c r="N10" s="42">
        <v>0</v>
      </c>
      <c r="O10" s="43">
        <v>0</v>
      </c>
      <c r="P10" s="61">
        <v>54510610</v>
      </c>
      <c r="Q10" s="43">
        <v>0</v>
      </c>
      <c r="R10" s="61">
        <v>54510610</v>
      </c>
      <c r="S10" s="30">
        <v>54510610</v>
      </c>
      <c r="T10" s="30">
        <v>54510610</v>
      </c>
      <c r="U10" s="30">
        <v>77</v>
      </c>
      <c r="V10" s="41">
        <v>77</v>
      </c>
      <c r="W10" s="41" t="e">
        <v>#VALUE!</v>
      </c>
      <c r="X10" s="41">
        <v>707930</v>
      </c>
      <c r="Y10" s="41">
        <v>707930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 t="e">
        <v>#VALUE!</v>
      </c>
      <c r="AG10" s="41" t="e">
        <v>#VALUE!</v>
      </c>
      <c r="AH10" s="36">
        <v>45383</v>
      </c>
      <c r="AI10" s="36"/>
      <c r="AJ10" s="36"/>
      <c r="AK10" s="36">
        <v>45413</v>
      </c>
      <c r="AL10" s="36"/>
      <c r="AM10" s="46"/>
      <c r="AN10" s="40" t="s">
        <v>2019</v>
      </c>
      <c r="AO10" s="40" t="s">
        <v>2020</v>
      </c>
      <c r="AP10" s="40" t="s">
        <v>2021</v>
      </c>
      <c r="AQ10" s="40" t="s">
        <v>80</v>
      </c>
      <c r="AR10" s="48">
        <v>100</v>
      </c>
      <c r="AS10" s="37">
        <v>0</v>
      </c>
      <c r="AT10" s="37" t="s">
        <v>386</v>
      </c>
      <c r="AU10" s="51" t="s">
        <v>2022</v>
      </c>
      <c r="AV10" s="37" t="s">
        <v>60</v>
      </c>
      <c r="AW10" s="37">
        <v>10</v>
      </c>
      <c r="AX10" s="30">
        <v>5451061</v>
      </c>
      <c r="AY10" s="40" t="s">
        <v>402</v>
      </c>
    </row>
    <row r="11" spans="1:51" ht="39" customHeight="1" x14ac:dyDescent="0.25">
      <c r="A11" s="59" t="s">
        <v>2030</v>
      </c>
      <c r="B11" s="60">
        <v>45328</v>
      </c>
      <c r="C11" s="40" t="s">
        <v>494</v>
      </c>
      <c r="D11" s="35"/>
      <c r="E11" s="39" t="s">
        <v>2031</v>
      </c>
      <c r="F11" s="36">
        <v>45352</v>
      </c>
      <c r="G11" s="37" t="s">
        <v>2032</v>
      </c>
      <c r="H11" s="40" t="s">
        <v>224</v>
      </c>
      <c r="I11" s="62" t="s">
        <v>2033</v>
      </c>
      <c r="J11" s="61">
        <v>1729855.6</v>
      </c>
      <c r="K11" s="41">
        <v>0</v>
      </c>
      <c r="L11" s="54">
        <v>0</v>
      </c>
      <c r="M11" s="54">
        <v>0</v>
      </c>
      <c r="N11" s="42">
        <v>8.5809312638581048</v>
      </c>
      <c r="O11" s="43">
        <v>148437.7200000002</v>
      </c>
      <c r="P11" s="41">
        <v>1581417.88</v>
      </c>
      <c r="Q11" s="43">
        <v>148437.7200000002</v>
      </c>
      <c r="R11" s="41">
        <v>1581417.88</v>
      </c>
      <c r="S11" s="30">
        <v>1581417.88</v>
      </c>
      <c r="T11" s="30">
        <v>1581417.88</v>
      </c>
      <c r="U11" s="30">
        <v>164.92</v>
      </c>
      <c r="V11" s="41">
        <v>164.92</v>
      </c>
      <c r="W11" s="41">
        <v>82.46</v>
      </c>
      <c r="X11" s="41">
        <v>9589</v>
      </c>
      <c r="Y11" s="41">
        <v>9589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19178</v>
      </c>
      <c r="AG11" s="41">
        <v>19178</v>
      </c>
      <c r="AH11" s="36">
        <v>45397</v>
      </c>
      <c r="AI11" s="36"/>
      <c r="AJ11" s="36"/>
      <c r="AK11" s="36">
        <v>45427</v>
      </c>
      <c r="AL11" s="36"/>
      <c r="AM11" s="46"/>
      <c r="AN11" s="40" t="s">
        <v>2034</v>
      </c>
      <c r="AO11" s="40" t="s">
        <v>2035</v>
      </c>
      <c r="AP11" s="40" t="s">
        <v>2036</v>
      </c>
      <c r="AQ11" s="40" t="s">
        <v>80</v>
      </c>
      <c r="AR11" s="48">
        <v>100</v>
      </c>
      <c r="AS11" s="37">
        <v>0</v>
      </c>
      <c r="AT11" s="37" t="s">
        <v>343</v>
      </c>
      <c r="AU11" s="52">
        <v>0.5</v>
      </c>
      <c r="AV11" s="37" t="s">
        <v>219</v>
      </c>
      <c r="AW11" s="37">
        <v>10</v>
      </c>
      <c r="AX11" s="30">
        <v>172985.56</v>
      </c>
      <c r="AY11" s="40" t="s">
        <v>402</v>
      </c>
    </row>
    <row r="12" spans="1:51" ht="39" customHeight="1" x14ac:dyDescent="0.25">
      <c r="A12" s="59" t="s">
        <v>2037</v>
      </c>
      <c r="B12" s="60">
        <v>45328</v>
      </c>
      <c r="C12" s="40" t="s">
        <v>494</v>
      </c>
      <c r="D12" s="35"/>
      <c r="E12" s="39" t="s">
        <v>2038</v>
      </c>
      <c r="F12" s="36">
        <v>45352</v>
      </c>
      <c r="G12" s="37" t="s">
        <v>2039</v>
      </c>
      <c r="H12" s="40" t="s">
        <v>224</v>
      </c>
      <c r="I12" s="64" t="s">
        <v>2040</v>
      </c>
      <c r="J12" s="61">
        <v>145426006.90000001</v>
      </c>
      <c r="K12" s="41">
        <v>0</v>
      </c>
      <c r="L12" s="54">
        <v>0</v>
      </c>
      <c r="M12" s="54">
        <v>0</v>
      </c>
      <c r="N12" s="42">
        <v>0</v>
      </c>
      <c r="O12" s="43">
        <v>0</v>
      </c>
      <c r="P12" s="61">
        <v>145426006.90000001</v>
      </c>
      <c r="Q12" s="43">
        <v>0</v>
      </c>
      <c r="R12" s="61">
        <v>145426006.90000001</v>
      </c>
      <c r="S12" s="30">
        <v>145426006.90000001</v>
      </c>
      <c r="T12" s="30">
        <v>145426006.90000001</v>
      </c>
      <c r="U12" s="30">
        <v>83.570000000000007</v>
      </c>
      <c r="V12" s="41">
        <v>83.570000000000007</v>
      </c>
      <c r="W12" s="41">
        <v>8357</v>
      </c>
      <c r="X12" s="41">
        <v>1740170</v>
      </c>
      <c r="Y12" s="41">
        <v>1740170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17401.7</v>
      </c>
      <c r="AG12" s="41">
        <v>17402</v>
      </c>
      <c r="AH12" s="36">
        <v>45397</v>
      </c>
      <c r="AI12" s="36"/>
      <c r="AJ12" s="36"/>
      <c r="AK12" s="36">
        <v>45427</v>
      </c>
      <c r="AL12" s="36"/>
      <c r="AM12" s="46"/>
      <c r="AN12" s="40" t="s">
        <v>2041</v>
      </c>
      <c r="AO12" s="40" t="s">
        <v>2042</v>
      </c>
      <c r="AP12" s="40" t="s">
        <v>2043</v>
      </c>
      <c r="AQ12" s="40" t="s">
        <v>80</v>
      </c>
      <c r="AR12" s="48">
        <v>100</v>
      </c>
      <c r="AS12" s="37">
        <v>0</v>
      </c>
      <c r="AT12" s="37" t="s">
        <v>386</v>
      </c>
      <c r="AU12" s="47">
        <v>100</v>
      </c>
      <c r="AV12" s="37" t="s">
        <v>60</v>
      </c>
      <c r="AW12" s="37">
        <v>10</v>
      </c>
      <c r="AX12" s="30">
        <v>14542600.689999999</v>
      </c>
      <c r="AY12" s="40" t="s">
        <v>402</v>
      </c>
    </row>
    <row r="13" spans="1:51" ht="39" customHeight="1" x14ac:dyDescent="0.25">
      <c r="A13" s="59" t="s">
        <v>2044</v>
      </c>
      <c r="B13" s="60">
        <v>45328</v>
      </c>
      <c r="C13" s="40" t="s">
        <v>494</v>
      </c>
      <c r="D13" s="35"/>
      <c r="E13" s="39" t="s">
        <v>2045</v>
      </c>
      <c r="F13" s="36">
        <v>45352</v>
      </c>
      <c r="G13" s="37" t="s">
        <v>2046</v>
      </c>
      <c r="H13" s="40" t="s">
        <v>2047</v>
      </c>
      <c r="I13" s="62" t="s">
        <v>2048</v>
      </c>
      <c r="J13" s="61">
        <v>1656207.3</v>
      </c>
      <c r="K13" s="41">
        <v>0</v>
      </c>
      <c r="L13" s="54">
        <v>0</v>
      </c>
      <c r="M13" s="54">
        <v>0</v>
      </c>
      <c r="N13" s="42">
        <v>23.001245073608843</v>
      </c>
      <c r="O13" s="43">
        <v>380948.30000000005</v>
      </c>
      <c r="P13" s="41">
        <v>1275259</v>
      </c>
      <c r="Q13" s="43">
        <v>380948.30000000005</v>
      </c>
      <c r="R13" s="41">
        <v>1275259</v>
      </c>
      <c r="S13" s="30">
        <v>1275259</v>
      </c>
      <c r="T13" s="30">
        <v>1275259</v>
      </c>
      <c r="U13" s="30">
        <v>138.90575388720964</v>
      </c>
      <c r="V13" s="41">
        <v>138.90575388720964</v>
      </c>
      <c r="W13" s="41">
        <v>104.17931541540723</v>
      </c>
      <c r="X13" s="41">
        <v>9180.75</v>
      </c>
      <c r="Y13" s="41">
        <v>9180.75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12241</v>
      </c>
      <c r="AG13" s="41">
        <v>12241</v>
      </c>
      <c r="AH13" s="36">
        <v>45397</v>
      </c>
      <c r="AI13" s="36"/>
      <c r="AJ13" s="36"/>
      <c r="AK13" s="36">
        <v>45427</v>
      </c>
      <c r="AL13" s="36"/>
      <c r="AM13" s="46"/>
      <c r="AN13" s="40" t="s">
        <v>2034</v>
      </c>
      <c r="AO13" s="40" t="s">
        <v>2049</v>
      </c>
      <c r="AP13" s="40" t="s">
        <v>2050</v>
      </c>
      <c r="AQ13" s="40" t="s">
        <v>80</v>
      </c>
      <c r="AR13" s="48">
        <v>100</v>
      </c>
      <c r="AS13" s="37">
        <v>0</v>
      </c>
      <c r="AT13" s="37" t="s">
        <v>343</v>
      </c>
      <c r="AU13" s="41">
        <v>0.75</v>
      </c>
      <c r="AV13" s="37" t="s">
        <v>60</v>
      </c>
      <c r="AW13" s="37">
        <v>10</v>
      </c>
      <c r="AX13" s="30">
        <v>165620.73000000001</v>
      </c>
      <c r="AY13" s="40" t="s">
        <v>402</v>
      </c>
    </row>
    <row r="14" spans="1:51" ht="39" customHeight="1" x14ac:dyDescent="0.25">
      <c r="A14" s="59" t="s">
        <v>2059</v>
      </c>
      <c r="B14" s="60">
        <v>45329</v>
      </c>
      <c r="C14" s="40" t="s">
        <v>2060</v>
      </c>
      <c r="D14" s="37" t="s">
        <v>431</v>
      </c>
      <c r="E14" s="39" t="s">
        <v>2061</v>
      </c>
      <c r="F14" s="37" t="s">
        <v>431</v>
      </c>
      <c r="G14" s="37" t="s">
        <v>431</v>
      </c>
      <c r="H14" s="37" t="s">
        <v>431</v>
      </c>
      <c r="I14" s="62" t="s">
        <v>1977</v>
      </c>
      <c r="J14" s="61">
        <v>8860135.6799999997</v>
      </c>
      <c r="K14" s="41">
        <v>0</v>
      </c>
      <c r="L14" s="54">
        <v>0</v>
      </c>
      <c r="M14" s="54">
        <v>0</v>
      </c>
      <c r="N14" s="42">
        <v>100</v>
      </c>
      <c r="O14" s="43">
        <v>8860135.6799999997</v>
      </c>
      <c r="P14" s="41"/>
      <c r="Q14" s="43">
        <v>8860135.6799999997</v>
      </c>
      <c r="R14" s="41">
        <v>0</v>
      </c>
      <c r="S14" s="30">
        <v>0</v>
      </c>
      <c r="T14" s="30">
        <v>0</v>
      </c>
      <c r="U14" s="30" t="e">
        <v>#DIV/0!</v>
      </c>
      <c r="V14" s="41" t="e">
        <v>#DIV/0!</v>
      </c>
      <c r="W14" s="41" t="e">
        <v>#DIV/0!</v>
      </c>
      <c r="X14" s="41">
        <v>0</v>
      </c>
      <c r="Y14" s="41">
        <v>0</v>
      </c>
      <c r="Z14" s="41">
        <v>0</v>
      </c>
      <c r="AA14" s="41">
        <v>0</v>
      </c>
      <c r="AB14" s="41"/>
      <c r="AC14" s="41" t="e">
        <v>#DIV/0!</v>
      </c>
      <c r="AD14" s="41"/>
      <c r="AE14" s="41" t="e">
        <v>#DIV/0!</v>
      </c>
      <c r="AF14" s="41" t="e">
        <v>#DIV/0!</v>
      </c>
      <c r="AG14" s="41" t="e">
        <v>#DIV/0!</v>
      </c>
      <c r="AH14" s="36">
        <v>45397</v>
      </c>
      <c r="AI14" s="36"/>
      <c r="AJ14" s="36"/>
      <c r="AK14" s="36"/>
      <c r="AL14" s="36"/>
      <c r="AM14" s="46"/>
      <c r="AN14" s="40"/>
      <c r="AO14" s="40"/>
      <c r="AP14" s="40"/>
      <c r="AQ14" s="40"/>
      <c r="AR14" s="48"/>
      <c r="AS14" s="37"/>
      <c r="AT14" s="37"/>
      <c r="AU14" s="47"/>
      <c r="AV14" s="37"/>
      <c r="AW14" s="37">
        <v>10</v>
      </c>
      <c r="AX14" s="30">
        <v>886013.56799999997</v>
      </c>
      <c r="AY14" s="40" t="s">
        <v>431</v>
      </c>
    </row>
    <row r="15" spans="1:51" ht="39" customHeight="1" x14ac:dyDescent="0.25">
      <c r="A15" s="59" t="s">
        <v>2072</v>
      </c>
      <c r="B15" s="60">
        <v>45329</v>
      </c>
      <c r="C15" s="40" t="s">
        <v>2060</v>
      </c>
      <c r="D15" s="35" t="s">
        <v>2073</v>
      </c>
      <c r="E15" s="39" t="s">
        <v>2074</v>
      </c>
      <c r="F15" s="36">
        <v>45341</v>
      </c>
      <c r="G15" s="37" t="s">
        <v>2075</v>
      </c>
      <c r="H15" s="40" t="s">
        <v>1115</v>
      </c>
      <c r="I15" s="64" t="s">
        <v>2018</v>
      </c>
      <c r="J15" s="61">
        <v>3873870</v>
      </c>
      <c r="K15" s="41">
        <v>0</v>
      </c>
      <c r="L15" s="54">
        <v>0</v>
      </c>
      <c r="M15" s="54">
        <v>0</v>
      </c>
      <c r="N15" s="42">
        <v>0</v>
      </c>
      <c r="O15" s="43">
        <v>0</v>
      </c>
      <c r="P15" s="61">
        <v>3873870</v>
      </c>
      <c r="Q15" s="43">
        <v>0</v>
      </c>
      <c r="R15" s="61">
        <v>3873870</v>
      </c>
      <c r="S15" s="30">
        <v>3873870</v>
      </c>
      <c r="T15" s="30">
        <v>3873870</v>
      </c>
      <c r="U15" s="30">
        <v>77</v>
      </c>
      <c r="V15" s="41">
        <v>77</v>
      </c>
      <c r="W15" s="41">
        <v>7700</v>
      </c>
      <c r="X15" s="41">
        <v>50310</v>
      </c>
      <c r="Y15" s="41">
        <v>50310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503.1</v>
      </c>
      <c r="AG15" s="41">
        <v>504</v>
      </c>
      <c r="AH15" s="36">
        <v>45397</v>
      </c>
      <c r="AI15" s="36"/>
      <c r="AJ15" s="36"/>
      <c r="AK15" s="36">
        <v>45427</v>
      </c>
      <c r="AL15" s="36"/>
      <c r="AM15" s="46"/>
      <c r="AN15" s="40" t="s">
        <v>2076</v>
      </c>
      <c r="AO15" s="40" t="s">
        <v>2077</v>
      </c>
      <c r="AP15" s="40" t="s">
        <v>2078</v>
      </c>
      <c r="AQ15" s="40" t="s">
        <v>80</v>
      </c>
      <c r="AR15" s="48">
        <v>100</v>
      </c>
      <c r="AS15" s="37">
        <v>0</v>
      </c>
      <c r="AT15" s="37" t="s">
        <v>386</v>
      </c>
      <c r="AU15" s="47">
        <v>100</v>
      </c>
      <c r="AV15" s="37" t="s">
        <v>219</v>
      </c>
      <c r="AW15" s="37">
        <v>10</v>
      </c>
      <c r="AX15" s="30">
        <v>387387</v>
      </c>
      <c r="AY15" s="40" t="s">
        <v>402</v>
      </c>
    </row>
    <row r="16" spans="1:51" ht="39" customHeight="1" x14ac:dyDescent="0.25">
      <c r="A16" s="59" t="s">
        <v>2079</v>
      </c>
      <c r="B16" s="60">
        <v>45329</v>
      </c>
      <c r="C16" s="40" t="s">
        <v>2060</v>
      </c>
      <c r="D16" s="35" t="s">
        <v>2080</v>
      </c>
      <c r="E16" s="39" t="s">
        <v>2081</v>
      </c>
      <c r="F16" s="36">
        <v>45341</v>
      </c>
      <c r="G16" s="37" t="s">
        <v>2082</v>
      </c>
      <c r="H16" s="40" t="s">
        <v>1115</v>
      </c>
      <c r="I16" s="62" t="s">
        <v>2033</v>
      </c>
      <c r="J16" s="61">
        <v>18761.599999999999</v>
      </c>
      <c r="K16" s="41">
        <v>0</v>
      </c>
      <c r="L16" s="54">
        <v>0</v>
      </c>
      <c r="M16" s="54">
        <v>0</v>
      </c>
      <c r="N16" s="42">
        <v>0</v>
      </c>
      <c r="O16" s="43">
        <v>0</v>
      </c>
      <c r="P16" s="41">
        <v>18761.599999999999</v>
      </c>
      <c r="Q16" s="43">
        <v>0</v>
      </c>
      <c r="R16" s="41">
        <v>18761.599999999999</v>
      </c>
      <c r="S16" s="30">
        <v>18761.599999999999</v>
      </c>
      <c r="T16" s="30">
        <v>18761.599999999999</v>
      </c>
      <c r="U16" s="30">
        <v>180.39999999999998</v>
      </c>
      <c r="V16" s="41">
        <v>180.39999999999998</v>
      </c>
      <c r="W16" s="41">
        <v>90.199999999999989</v>
      </c>
      <c r="X16" s="41">
        <v>104</v>
      </c>
      <c r="Y16" s="41">
        <v>104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208</v>
      </c>
      <c r="AG16" s="41">
        <v>208</v>
      </c>
      <c r="AH16" s="36">
        <v>45397</v>
      </c>
      <c r="AI16" s="36"/>
      <c r="AJ16" s="36"/>
      <c r="AK16" s="36">
        <v>45427</v>
      </c>
      <c r="AL16" s="36"/>
      <c r="AM16" s="46"/>
      <c r="AN16" s="40" t="s">
        <v>2034</v>
      </c>
      <c r="AO16" s="40" t="s">
        <v>2035</v>
      </c>
      <c r="AP16" s="40" t="s">
        <v>2036</v>
      </c>
      <c r="AQ16" s="40" t="s">
        <v>80</v>
      </c>
      <c r="AR16" s="48">
        <v>100</v>
      </c>
      <c r="AS16" s="37">
        <v>0</v>
      </c>
      <c r="AT16" s="37" t="s">
        <v>343</v>
      </c>
      <c r="AU16" s="52">
        <v>0.5</v>
      </c>
      <c r="AV16" s="37" t="s">
        <v>219</v>
      </c>
      <c r="AW16" s="37">
        <v>10</v>
      </c>
      <c r="AX16" s="30">
        <v>1876.16</v>
      </c>
      <c r="AY16" s="40" t="s">
        <v>402</v>
      </c>
    </row>
    <row r="17" spans="1:51" ht="39" customHeight="1" x14ac:dyDescent="0.25">
      <c r="A17" s="59" t="s">
        <v>2085</v>
      </c>
      <c r="B17" s="60">
        <v>45329</v>
      </c>
      <c r="C17" s="40" t="s">
        <v>2060</v>
      </c>
      <c r="D17" s="37" t="s">
        <v>431</v>
      </c>
      <c r="E17" s="39" t="s">
        <v>2086</v>
      </c>
      <c r="F17" s="37" t="s">
        <v>431</v>
      </c>
      <c r="G17" s="37" t="s">
        <v>431</v>
      </c>
      <c r="H17" s="37" t="s">
        <v>431</v>
      </c>
      <c r="I17" s="62" t="s">
        <v>2087</v>
      </c>
      <c r="J17" s="61">
        <v>336050</v>
      </c>
      <c r="K17" s="41">
        <v>0</v>
      </c>
      <c r="L17" s="54">
        <v>0</v>
      </c>
      <c r="M17" s="54">
        <v>0</v>
      </c>
      <c r="N17" s="42">
        <v>100</v>
      </c>
      <c r="O17" s="43">
        <v>336050</v>
      </c>
      <c r="P17" s="41"/>
      <c r="Q17" s="43">
        <v>336050</v>
      </c>
      <c r="R17" s="41">
        <v>0</v>
      </c>
      <c r="S17" s="30">
        <v>0</v>
      </c>
      <c r="T17" s="30">
        <v>0</v>
      </c>
      <c r="U17" s="30" t="e">
        <v>#DIV/0!</v>
      </c>
      <c r="V17" s="41" t="e">
        <v>#DIV/0!</v>
      </c>
      <c r="W17" s="41" t="e">
        <v>#DIV/0!</v>
      </c>
      <c r="X17" s="41">
        <v>0</v>
      </c>
      <c r="Y17" s="41">
        <v>0</v>
      </c>
      <c r="Z17" s="41">
        <v>0</v>
      </c>
      <c r="AA17" s="41">
        <v>0</v>
      </c>
      <c r="AB17" s="41"/>
      <c r="AC17" s="41" t="e">
        <v>#DIV/0!</v>
      </c>
      <c r="AD17" s="41"/>
      <c r="AE17" s="41" t="e">
        <v>#DIV/0!</v>
      </c>
      <c r="AF17" s="41" t="e">
        <v>#DIV/0!</v>
      </c>
      <c r="AG17" s="41" t="e">
        <v>#DIV/0!</v>
      </c>
      <c r="AH17" s="36">
        <v>45397</v>
      </c>
      <c r="AI17" s="36"/>
      <c r="AJ17" s="36"/>
      <c r="AK17" s="36"/>
      <c r="AL17" s="36"/>
      <c r="AM17" s="46"/>
      <c r="AN17" s="40"/>
      <c r="AO17" s="40"/>
      <c r="AP17" s="40"/>
      <c r="AQ17" s="40"/>
      <c r="AR17" s="48"/>
      <c r="AS17" s="37"/>
      <c r="AT17" s="37"/>
      <c r="AU17" s="47"/>
      <c r="AV17" s="37"/>
      <c r="AW17" s="37">
        <v>10</v>
      </c>
      <c r="AX17" s="30">
        <v>33605</v>
      </c>
      <c r="AY17" s="40" t="s">
        <v>431</v>
      </c>
    </row>
    <row r="18" spans="1:51" ht="39" customHeight="1" x14ac:dyDescent="0.25">
      <c r="A18" s="59" t="s">
        <v>2092</v>
      </c>
      <c r="B18" s="60">
        <v>45330</v>
      </c>
      <c r="C18" s="40" t="s">
        <v>2060</v>
      </c>
      <c r="D18" s="35" t="s">
        <v>2093</v>
      </c>
      <c r="E18" s="39" t="s">
        <v>2094</v>
      </c>
      <c r="F18" s="36">
        <v>45342</v>
      </c>
      <c r="G18" s="37" t="s">
        <v>2095</v>
      </c>
      <c r="H18" s="40" t="s">
        <v>1115</v>
      </c>
      <c r="I18" s="62" t="s">
        <v>2096</v>
      </c>
      <c r="J18" s="61">
        <v>363739.7</v>
      </c>
      <c r="K18" s="41">
        <v>0</v>
      </c>
      <c r="L18" s="54">
        <v>0</v>
      </c>
      <c r="M18" s="54">
        <v>0</v>
      </c>
      <c r="N18" s="42">
        <v>0</v>
      </c>
      <c r="O18" s="43">
        <v>0</v>
      </c>
      <c r="P18" s="41">
        <v>363739.7</v>
      </c>
      <c r="Q18" s="43">
        <v>0</v>
      </c>
      <c r="R18" s="61">
        <v>363739.7</v>
      </c>
      <c r="S18" s="30">
        <v>363739.7</v>
      </c>
      <c r="T18" s="30">
        <v>363739.7</v>
      </c>
      <c r="U18" s="30">
        <v>32.39</v>
      </c>
      <c r="V18" s="41">
        <v>32.39</v>
      </c>
      <c r="W18" s="41">
        <v>226.73000000000002</v>
      </c>
      <c r="X18" s="41">
        <v>11230</v>
      </c>
      <c r="Y18" s="41">
        <v>11230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1604.2857142857142</v>
      </c>
      <c r="AG18" s="41">
        <v>1605</v>
      </c>
      <c r="AH18" s="36">
        <v>45397</v>
      </c>
      <c r="AI18" s="36"/>
      <c r="AJ18" s="36"/>
      <c r="AK18" s="36">
        <v>45427</v>
      </c>
      <c r="AL18" s="36"/>
      <c r="AM18" s="46"/>
      <c r="AN18" s="40" t="s">
        <v>2097</v>
      </c>
      <c r="AO18" s="40" t="s">
        <v>2098</v>
      </c>
      <c r="AP18" s="40" t="s">
        <v>2099</v>
      </c>
      <c r="AQ18" s="40" t="s">
        <v>80</v>
      </c>
      <c r="AR18" s="48">
        <v>100</v>
      </c>
      <c r="AS18" s="37">
        <v>0</v>
      </c>
      <c r="AT18" s="37" t="s">
        <v>386</v>
      </c>
      <c r="AU18" s="47">
        <v>7</v>
      </c>
      <c r="AV18" s="37" t="s">
        <v>219</v>
      </c>
      <c r="AW18" s="37">
        <v>10</v>
      </c>
      <c r="AX18" s="30">
        <v>36373.97</v>
      </c>
      <c r="AY18" s="40" t="s">
        <v>402</v>
      </c>
    </row>
    <row r="19" spans="1:51" ht="39" customHeight="1" x14ac:dyDescent="0.25">
      <c r="A19" s="59" t="s">
        <v>2100</v>
      </c>
      <c r="B19" s="60">
        <v>45330</v>
      </c>
      <c r="C19" s="40" t="s">
        <v>2060</v>
      </c>
      <c r="D19" s="35" t="s">
        <v>2101</v>
      </c>
      <c r="E19" s="39" t="s">
        <v>2102</v>
      </c>
      <c r="F19" s="36">
        <v>45342</v>
      </c>
      <c r="G19" s="37" t="s">
        <v>2103</v>
      </c>
      <c r="H19" s="40" t="s">
        <v>1115</v>
      </c>
      <c r="I19" s="64" t="s">
        <v>1987</v>
      </c>
      <c r="J19" s="61">
        <v>133650</v>
      </c>
      <c r="K19" s="41">
        <v>0</v>
      </c>
      <c r="L19" s="54">
        <v>0</v>
      </c>
      <c r="M19" s="54">
        <v>0</v>
      </c>
      <c r="N19" s="42">
        <v>0</v>
      </c>
      <c r="O19" s="43">
        <v>0</v>
      </c>
      <c r="P19" s="61">
        <v>133650</v>
      </c>
      <c r="Q19" s="43">
        <v>0</v>
      </c>
      <c r="R19" s="61">
        <v>133650</v>
      </c>
      <c r="S19" s="30">
        <v>133650</v>
      </c>
      <c r="T19" s="30">
        <v>133650</v>
      </c>
      <c r="U19" s="30">
        <v>49.5</v>
      </c>
      <c r="V19" s="41">
        <v>49.5</v>
      </c>
      <c r="W19" s="41">
        <v>4950</v>
      </c>
      <c r="X19" s="41">
        <v>2700</v>
      </c>
      <c r="Y19" s="41">
        <v>2700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27</v>
      </c>
      <c r="AG19" s="41">
        <v>27</v>
      </c>
      <c r="AH19" s="36">
        <v>45397</v>
      </c>
      <c r="AI19" s="36"/>
      <c r="AJ19" s="36"/>
      <c r="AK19" s="36">
        <v>45427</v>
      </c>
      <c r="AL19" s="36"/>
      <c r="AM19" s="46"/>
      <c r="AN19" s="40" t="s">
        <v>2104</v>
      </c>
      <c r="AO19" s="40" t="s">
        <v>2105</v>
      </c>
      <c r="AP19" s="40" t="s">
        <v>2106</v>
      </c>
      <c r="AQ19" s="40" t="s">
        <v>80</v>
      </c>
      <c r="AR19" s="48">
        <v>100</v>
      </c>
      <c r="AS19" s="37">
        <v>0</v>
      </c>
      <c r="AT19" s="37" t="s">
        <v>386</v>
      </c>
      <c r="AU19" s="47">
        <v>100</v>
      </c>
      <c r="AV19" s="37" t="s">
        <v>219</v>
      </c>
      <c r="AW19" s="37">
        <v>10</v>
      </c>
      <c r="AX19" s="30">
        <v>13365</v>
      </c>
      <c r="AY19" s="40" t="s">
        <v>402</v>
      </c>
    </row>
    <row r="20" spans="1:51" ht="39" customHeight="1" x14ac:dyDescent="0.25">
      <c r="A20" s="59" t="s">
        <v>2109</v>
      </c>
      <c r="B20" s="60">
        <v>45330</v>
      </c>
      <c r="C20" s="40" t="s">
        <v>494</v>
      </c>
      <c r="D20" s="35"/>
      <c r="E20" s="39" t="s">
        <v>2110</v>
      </c>
      <c r="F20" s="36">
        <v>45352</v>
      </c>
      <c r="G20" s="37" t="s">
        <v>2111</v>
      </c>
      <c r="H20" s="40" t="s">
        <v>1830</v>
      </c>
      <c r="I20" s="38" t="s">
        <v>497</v>
      </c>
      <c r="J20" s="61">
        <v>24734665.559999999</v>
      </c>
      <c r="K20" s="41">
        <v>0</v>
      </c>
      <c r="L20" s="54">
        <v>0</v>
      </c>
      <c r="M20" s="54">
        <v>0</v>
      </c>
      <c r="N20" s="42">
        <v>0</v>
      </c>
      <c r="O20" s="43">
        <v>0</v>
      </c>
      <c r="P20" s="61">
        <v>24734665.559999999</v>
      </c>
      <c r="Q20" s="43">
        <v>0</v>
      </c>
      <c r="R20" s="61">
        <v>24734665.559999999</v>
      </c>
      <c r="S20" s="30">
        <v>24734665.559999999</v>
      </c>
      <c r="T20" s="30">
        <v>24734665.559999999</v>
      </c>
      <c r="U20" s="30">
        <v>574.53</v>
      </c>
      <c r="V20" s="41">
        <v>574.53</v>
      </c>
      <c r="W20" s="41">
        <v>108011.64</v>
      </c>
      <c r="X20" s="41">
        <v>43052</v>
      </c>
      <c r="Y20" s="41">
        <v>43052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229</v>
      </c>
      <c r="AG20" s="41">
        <v>229</v>
      </c>
      <c r="AH20" s="36">
        <v>45397</v>
      </c>
      <c r="AI20" s="36"/>
      <c r="AJ20" s="36"/>
      <c r="AK20" s="36">
        <v>45427</v>
      </c>
      <c r="AL20" s="36"/>
      <c r="AM20" s="46"/>
      <c r="AN20" s="40" t="s">
        <v>534</v>
      </c>
      <c r="AO20" s="40" t="s">
        <v>535</v>
      </c>
      <c r="AP20" s="40" t="s">
        <v>536</v>
      </c>
      <c r="AQ20" s="40" t="s">
        <v>80</v>
      </c>
      <c r="AR20" s="48">
        <v>100</v>
      </c>
      <c r="AS20" s="37">
        <v>0</v>
      </c>
      <c r="AT20" s="37" t="s">
        <v>386</v>
      </c>
      <c r="AU20" s="47">
        <v>188</v>
      </c>
      <c r="AV20" s="37" t="s">
        <v>60</v>
      </c>
      <c r="AW20" s="37">
        <v>10</v>
      </c>
      <c r="AX20" s="30">
        <v>2473466.5559999999</v>
      </c>
      <c r="AY20" s="40" t="s">
        <v>402</v>
      </c>
    </row>
    <row r="21" spans="1:51" ht="39" customHeight="1" x14ac:dyDescent="0.25">
      <c r="A21" s="59" t="s">
        <v>2116</v>
      </c>
      <c r="B21" s="60">
        <v>45330</v>
      </c>
      <c r="C21" s="40" t="s">
        <v>494</v>
      </c>
      <c r="D21" s="35"/>
      <c r="E21" s="39" t="s">
        <v>2117</v>
      </c>
      <c r="F21" s="36">
        <v>45352</v>
      </c>
      <c r="G21" s="37" t="s">
        <v>2118</v>
      </c>
      <c r="H21" s="40" t="s">
        <v>2047</v>
      </c>
      <c r="I21" s="62" t="s">
        <v>2119</v>
      </c>
      <c r="J21" s="61">
        <v>20244060</v>
      </c>
      <c r="K21" s="41">
        <v>0</v>
      </c>
      <c r="L21" s="54">
        <v>0</v>
      </c>
      <c r="M21" s="54">
        <v>0</v>
      </c>
      <c r="N21" s="42">
        <v>29.00005730075884</v>
      </c>
      <c r="O21" s="43">
        <v>5870789</v>
      </c>
      <c r="P21" s="41">
        <v>14373271</v>
      </c>
      <c r="Q21" s="43">
        <v>5870789</v>
      </c>
      <c r="R21" s="41">
        <v>14373271</v>
      </c>
      <c r="S21" s="30">
        <v>14373271</v>
      </c>
      <c r="T21" s="30">
        <v>14373271</v>
      </c>
      <c r="U21" s="30">
        <v>127.79989685863409</v>
      </c>
      <c r="V21" s="41">
        <v>127.79989685863409</v>
      </c>
      <c r="W21" s="41">
        <v>127.79989685863409</v>
      </c>
      <c r="X21" s="41">
        <v>112467</v>
      </c>
      <c r="Y21" s="41">
        <v>112467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112467</v>
      </c>
      <c r="AG21" s="41">
        <v>112467</v>
      </c>
      <c r="AH21" s="36">
        <v>45397</v>
      </c>
      <c r="AI21" s="36"/>
      <c r="AJ21" s="36"/>
      <c r="AK21" s="36">
        <v>45427</v>
      </c>
      <c r="AL21" s="36"/>
      <c r="AM21" s="46"/>
      <c r="AN21" s="40" t="s">
        <v>2034</v>
      </c>
      <c r="AO21" s="40" t="s">
        <v>2120</v>
      </c>
      <c r="AP21" s="40" t="s">
        <v>2121</v>
      </c>
      <c r="AQ21" s="40" t="s">
        <v>80</v>
      </c>
      <c r="AR21" s="48">
        <v>100</v>
      </c>
      <c r="AS21" s="37">
        <v>0</v>
      </c>
      <c r="AT21" s="37" t="s">
        <v>343</v>
      </c>
      <c r="AU21" s="47">
        <v>1</v>
      </c>
      <c r="AV21" s="37" t="s">
        <v>60</v>
      </c>
      <c r="AW21" s="37">
        <v>10</v>
      </c>
      <c r="AX21" s="30">
        <v>2024406</v>
      </c>
      <c r="AY21" s="40" t="s">
        <v>402</v>
      </c>
    </row>
    <row r="22" spans="1:51" ht="41.25" customHeight="1" x14ac:dyDescent="0.25">
      <c r="A22" s="59" t="s">
        <v>2128</v>
      </c>
      <c r="B22" s="60">
        <v>45330</v>
      </c>
      <c r="C22" s="40" t="s">
        <v>2060</v>
      </c>
      <c r="D22" s="35" t="s">
        <v>2129</v>
      </c>
      <c r="E22" s="39" t="s">
        <v>2130</v>
      </c>
      <c r="F22" s="36">
        <v>45342</v>
      </c>
      <c r="G22" s="37" t="s">
        <v>2131</v>
      </c>
      <c r="H22" s="40" t="s">
        <v>1115</v>
      </c>
      <c r="I22" s="62" t="s">
        <v>2132</v>
      </c>
      <c r="J22" s="61">
        <v>198000</v>
      </c>
      <c r="K22" s="41">
        <v>0</v>
      </c>
      <c r="L22" s="54">
        <v>0</v>
      </c>
      <c r="M22" s="54">
        <v>0</v>
      </c>
      <c r="N22" s="42">
        <v>0</v>
      </c>
      <c r="O22" s="43">
        <v>0</v>
      </c>
      <c r="P22" s="61">
        <v>198000</v>
      </c>
      <c r="Q22" s="43">
        <v>0</v>
      </c>
      <c r="R22" s="61">
        <v>198000</v>
      </c>
      <c r="S22" s="30">
        <v>198000</v>
      </c>
      <c r="T22" s="30">
        <v>198000</v>
      </c>
      <c r="U22" s="30">
        <v>396</v>
      </c>
      <c r="V22" s="41">
        <v>396</v>
      </c>
      <c r="W22" s="41">
        <v>39600</v>
      </c>
      <c r="X22" s="41">
        <v>500</v>
      </c>
      <c r="Y22" s="41">
        <v>500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5</v>
      </c>
      <c r="AG22" s="41">
        <v>5</v>
      </c>
      <c r="AH22" s="36">
        <v>45397</v>
      </c>
      <c r="AI22" s="36"/>
      <c r="AJ22" s="36"/>
      <c r="AK22" s="36">
        <v>45427</v>
      </c>
      <c r="AL22" s="36"/>
      <c r="AM22" s="46"/>
      <c r="AN22" s="40" t="s">
        <v>2011</v>
      </c>
      <c r="AO22" s="40" t="s">
        <v>2012</v>
      </c>
      <c r="AP22" s="40" t="s">
        <v>2013</v>
      </c>
      <c r="AQ22" s="40" t="s">
        <v>80</v>
      </c>
      <c r="AR22" s="48">
        <v>100</v>
      </c>
      <c r="AS22" s="37">
        <v>0</v>
      </c>
      <c r="AT22" s="37" t="s">
        <v>386</v>
      </c>
      <c r="AU22" s="47">
        <v>100</v>
      </c>
      <c r="AV22" s="37" t="s">
        <v>219</v>
      </c>
      <c r="AW22" s="37">
        <v>10</v>
      </c>
      <c r="AX22" s="30">
        <v>19800</v>
      </c>
      <c r="AY22" s="40" t="s">
        <v>402</v>
      </c>
    </row>
    <row r="23" spans="1:51" ht="41.25" customHeight="1" x14ac:dyDescent="0.25">
      <c r="A23" s="35" t="s">
        <v>2133</v>
      </c>
      <c r="B23" s="36">
        <v>45331</v>
      </c>
      <c r="C23" s="40" t="s">
        <v>2060</v>
      </c>
      <c r="D23" s="35"/>
      <c r="E23" s="39" t="s">
        <v>2134</v>
      </c>
      <c r="F23" s="36">
        <v>45343</v>
      </c>
      <c r="G23" s="37" t="s">
        <v>2135</v>
      </c>
      <c r="H23" s="40" t="s">
        <v>1115</v>
      </c>
      <c r="I23" s="63" t="s">
        <v>2048</v>
      </c>
      <c r="J23" s="41">
        <v>148830</v>
      </c>
      <c r="K23" s="41">
        <v>0</v>
      </c>
      <c r="L23" s="54">
        <v>0</v>
      </c>
      <c r="M23" s="54">
        <v>0</v>
      </c>
      <c r="N23" s="42">
        <v>0</v>
      </c>
      <c r="O23" s="43">
        <v>0</v>
      </c>
      <c r="P23" s="41">
        <v>148830</v>
      </c>
      <c r="Q23" s="43">
        <v>0</v>
      </c>
      <c r="R23" s="41">
        <v>148830</v>
      </c>
      <c r="S23" s="30">
        <v>148830</v>
      </c>
      <c r="T23" s="30">
        <v>148830</v>
      </c>
      <c r="U23" s="30">
        <v>180.4</v>
      </c>
      <c r="V23" s="41">
        <v>180.4</v>
      </c>
      <c r="W23" s="41">
        <v>135.30000000000001</v>
      </c>
      <c r="X23" s="41">
        <v>825</v>
      </c>
      <c r="Y23" s="41">
        <v>825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1100</v>
      </c>
      <c r="AG23" s="41">
        <v>1100</v>
      </c>
      <c r="AH23" s="36">
        <v>45397</v>
      </c>
      <c r="AI23" s="36"/>
      <c r="AJ23" s="36"/>
      <c r="AK23" s="36">
        <v>45427</v>
      </c>
      <c r="AL23" s="36"/>
      <c r="AM23" s="46"/>
      <c r="AN23" s="40" t="s">
        <v>2034</v>
      </c>
      <c r="AO23" s="40" t="s">
        <v>2049</v>
      </c>
      <c r="AP23" s="40" t="s">
        <v>2036</v>
      </c>
      <c r="AQ23" s="40" t="s">
        <v>80</v>
      </c>
      <c r="AR23" s="48">
        <v>100</v>
      </c>
      <c r="AS23" s="37">
        <v>0</v>
      </c>
      <c r="AT23" s="37" t="s">
        <v>343</v>
      </c>
      <c r="AU23" s="41">
        <v>0.75</v>
      </c>
      <c r="AV23" s="37" t="s">
        <v>219</v>
      </c>
      <c r="AW23" s="37">
        <v>10</v>
      </c>
      <c r="AX23" s="30">
        <v>14883</v>
      </c>
      <c r="AY23" s="40" t="s">
        <v>402</v>
      </c>
    </row>
    <row r="24" spans="1:51" ht="41.25" customHeight="1" x14ac:dyDescent="0.25">
      <c r="A24" s="35" t="s">
        <v>2141</v>
      </c>
      <c r="B24" s="36">
        <v>45331</v>
      </c>
      <c r="C24" s="40" t="s">
        <v>2060</v>
      </c>
      <c r="D24" s="37" t="s">
        <v>431</v>
      </c>
      <c r="E24" s="39" t="s">
        <v>2142</v>
      </c>
      <c r="F24" s="37" t="s">
        <v>431</v>
      </c>
      <c r="G24" s="37" t="s">
        <v>431</v>
      </c>
      <c r="H24" s="37" t="s">
        <v>431</v>
      </c>
      <c r="I24" s="63" t="s">
        <v>2119</v>
      </c>
      <c r="J24" s="41">
        <v>524851.19999999995</v>
      </c>
      <c r="K24" s="41">
        <v>0</v>
      </c>
      <c r="L24" s="54">
        <v>0</v>
      </c>
      <c r="M24" s="54">
        <v>0</v>
      </c>
      <c r="N24" s="42">
        <v>100</v>
      </c>
      <c r="O24" s="43">
        <v>524851.19999999995</v>
      </c>
      <c r="P24" s="41"/>
      <c r="Q24" s="43">
        <v>524851.19999999995</v>
      </c>
      <c r="R24" s="41">
        <v>0</v>
      </c>
      <c r="S24" s="30">
        <v>0</v>
      </c>
      <c r="T24" s="30">
        <v>0</v>
      </c>
      <c r="U24" s="30" t="e">
        <v>#DIV/0!</v>
      </c>
      <c r="V24" s="41" t="e">
        <v>#DIV/0!</v>
      </c>
      <c r="W24" s="41" t="e">
        <v>#DIV/0!</v>
      </c>
      <c r="X24" s="41">
        <v>0</v>
      </c>
      <c r="Y24" s="41">
        <v>0</v>
      </c>
      <c r="Z24" s="41">
        <v>0</v>
      </c>
      <c r="AA24" s="41">
        <v>0</v>
      </c>
      <c r="AB24" s="41"/>
      <c r="AC24" s="41" t="e">
        <v>#DIV/0!</v>
      </c>
      <c r="AD24" s="41"/>
      <c r="AE24" s="41" t="e">
        <v>#DIV/0!</v>
      </c>
      <c r="AF24" s="41" t="e">
        <v>#DIV/0!</v>
      </c>
      <c r="AG24" s="41" t="e">
        <v>#DIV/0!</v>
      </c>
      <c r="AH24" s="36">
        <v>45397</v>
      </c>
      <c r="AI24" s="36"/>
      <c r="AJ24" s="36"/>
      <c r="AK24" s="36"/>
      <c r="AL24" s="36"/>
      <c r="AM24" s="46"/>
      <c r="AN24" s="40"/>
      <c r="AO24" s="40"/>
      <c r="AP24" s="40"/>
      <c r="AQ24" s="40"/>
      <c r="AR24" s="48"/>
      <c r="AS24" s="37"/>
      <c r="AT24" s="37"/>
      <c r="AU24" s="47"/>
      <c r="AV24" s="37"/>
      <c r="AW24" s="37">
        <v>10</v>
      </c>
      <c r="AX24" s="30">
        <v>52485.120000000003</v>
      </c>
      <c r="AY24" s="40" t="s">
        <v>431</v>
      </c>
    </row>
    <row r="25" spans="1:51" ht="48" customHeight="1" x14ac:dyDescent="0.25">
      <c r="A25" s="59" t="s">
        <v>2220</v>
      </c>
      <c r="B25" s="60">
        <v>45338</v>
      </c>
      <c r="C25" s="40" t="s">
        <v>2060</v>
      </c>
      <c r="D25" s="35"/>
      <c r="E25" s="39" t="s">
        <v>2221</v>
      </c>
      <c r="F25" s="36">
        <v>45351</v>
      </c>
      <c r="G25" s="59" t="s">
        <v>2222</v>
      </c>
      <c r="H25" s="40" t="s">
        <v>1115</v>
      </c>
      <c r="I25" s="62" t="s">
        <v>2223</v>
      </c>
      <c r="J25" s="61">
        <v>201371.5</v>
      </c>
      <c r="K25" s="41">
        <v>0</v>
      </c>
      <c r="L25" s="54">
        <v>0</v>
      </c>
      <c r="M25" s="54">
        <v>0</v>
      </c>
      <c r="N25" s="42">
        <v>11.308203991130821</v>
      </c>
      <c r="O25" s="43">
        <v>22771.5</v>
      </c>
      <c r="P25" s="41">
        <v>178600</v>
      </c>
      <c r="Q25" s="43">
        <v>22771.5</v>
      </c>
      <c r="R25" s="41">
        <v>178600</v>
      </c>
      <c r="S25" s="30">
        <v>178600</v>
      </c>
      <c r="T25" s="30">
        <v>178600</v>
      </c>
      <c r="U25" s="30">
        <v>20</v>
      </c>
      <c r="V25" s="41">
        <v>20</v>
      </c>
      <c r="W25" s="41">
        <v>100</v>
      </c>
      <c r="X25" s="41">
        <v>8930</v>
      </c>
      <c r="Y25" s="41">
        <v>8930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1786</v>
      </c>
      <c r="AG25" s="41">
        <v>1786</v>
      </c>
      <c r="AH25" s="36">
        <v>45397</v>
      </c>
      <c r="AI25" s="36"/>
      <c r="AJ25" s="36"/>
      <c r="AK25" s="36">
        <v>45427</v>
      </c>
      <c r="AL25" s="36"/>
      <c r="AM25" s="46"/>
      <c r="AN25" s="40" t="s">
        <v>2224</v>
      </c>
      <c r="AO25" s="40" t="s">
        <v>2225</v>
      </c>
      <c r="AP25" s="40" t="s">
        <v>2226</v>
      </c>
      <c r="AQ25" s="40" t="s">
        <v>80</v>
      </c>
      <c r="AR25" s="48">
        <v>100</v>
      </c>
      <c r="AS25" s="37">
        <v>0</v>
      </c>
      <c r="AT25" s="37" t="s">
        <v>386</v>
      </c>
      <c r="AU25" s="47">
        <v>5</v>
      </c>
      <c r="AV25" s="37" t="s">
        <v>219</v>
      </c>
      <c r="AW25" s="37">
        <v>10</v>
      </c>
      <c r="AX25" s="30">
        <v>20137.150000000001</v>
      </c>
      <c r="AY25" s="40" t="s">
        <v>402</v>
      </c>
    </row>
    <row r="26" spans="1:51" ht="48" customHeight="1" x14ac:dyDescent="0.25">
      <c r="A26" s="59" t="s">
        <v>2227</v>
      </c>
      <c r="B26" s="60">
        <v>45338</v>
      </c>
      <c r="C26" s="40" t="s">
        <v>2060</v>
      </c>
      <c r="D26" s="35"/>
      <c r="E26" s="39" t="s">
        <v>2228</v>
      </c>
      <c r="F26" s="36">
        <v>45351</v>
      </c>
      <c r="G26" s="59" t="s">
        <v>2229</v>
      </c>
      <c r="H26" s="40" t="s">
        <v>224</v>
      </c>
      <c r="I26" s="62" t="s">
        <v>2096</v>
      </c>
      <c r="J26" s="61">
        <v>9343867.1999999993</v>
      </c>
      <c r="K26" s="41">
        <v>0</v>
      </c>
      <c r="L26" s="54">
        <v>0</v>
      </c>
      <c r="M26" s="54">
        <v>0</v>
      </c>
      <c r="N26" s="42">
        <v>0</v>
      </c>
      <c r="O26" s="43">
        <v>0</v>
      </c>
      <c r="P26" s="61">
        <v>9343867.1999999993</v>
      </c>
      <c r="Q26" s="43">
        <v>0</v>
      </c>
      <c r="R26" s="61">
        <v>9343867.1999999993</v>
      </c>
      <c r="S26" s="30">
        <v>9343867.1999999993</v>
      </c>
      <c r="T26" s="30">
        <v>9343867.1999999993</v>
      </c>
      <c r="U26" s="30">
        <v>32.39</v>
      </c>
      <c r="V26" s="41">
        <v>32.39</v>
      </c>
      <c r="W26" s="41" t="e">
        <v>#VALUE!</v>
      </c>
      <c r="X26" s="41">
        <v>288480</v>
      </c>
      <c r="Y26" s="41">
        <v>288480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 t="e">
        <v>#VALUE!</v>
      </c>
      <c r="AG26" s="41" t="e">
        <v>#VALUE!</v>
      </c>
      <c r="AH26" s="36">
        <v>45397</v>
      </c>
      <c r="AI26" s="36"/>
      <c r="AJ26" s="36"/>
      <c r="AK26" s="36">
        <v>45427</v>
      </c>
      <c r="AL26" s="36"/>
      <c r="AM26" s="46"/>
      <c r="AN26" s="40" t="s">
        <v>2230</v>
      </c>
      <c r="AO26" s="40" t="s">
        <v>2231</v>
      </c>
      <c r="AP26" s="40" t="s">
        <v>2232</v>
      </c>
      <c r="AQ26" s="40" t="s">
        <v>80</v>
      </c>
      <c r="AR26" s="48">
        <v>100</v>
      </c>
      <c r="AS26" s="37">
        <v>0</v>
      </c>
      <c r="AT26" s="37" t="s">
        <v>386</v>
      </c>
      <c r="AU26" s="51" t="s">
        <v>2233</v>
      </c>
      <c r="AV26" s="37" t="s">
        <v>219</v>
      </c>
      <c r="AW26" s="37">
        <v>10</v>
      </c>
      <c r="AX26" s="30">
        <v>934386.72</v>
      </c>
      <c r="AY26" s="40" t="s">
        <v>402</v>
      </c>
    </row>
    <row r="27" spans="1:51" ht="48" customHeight="1" x14ac:dyDescent="0.25">
      <c r="A27" s="59" t="s">
        <v>2246</v>
      </c>
      <c r="B27" s="60">
        <v>45341</v>
      </c>
      <c r="C27" s="40" t="s">
        <v>2060</v>
      </c>
      <c r="D27" s="35"/>
      <c r="E27" s="39" t="s">
        <v>2247</v>
      </c>
      <c r="F27" s="36">
        <v>45352</v>
      </c>
      <c r="G27" s="37" t="s">
        <v>2248</v>
      </c>
      <c r="H27" s="40" t="s">
        <v>2047</v>
      </c>
      <c r="I27" s="64" t="s">
        <v>2249</v>
      </c>
      <c r="J27" s="61">
        <v>3580357.4</v>
      </c>
      <c r="K27" s="41">
        <v>0</v>
      </c>
      <c r="L27" s="54">
        <v>0</v>
      </c>
      <c r="M27" s="54">
        <v>0</v>
      </c>
      <c r="N27" s="42">
        <v>24.916573971078975</v>
      </c>
      <c r="O27" s="43">
        <v>892102.39999999991</v>
      </c>
      <c r="P27" s="41">
        <v>2688255</v>
      </c>
      <c r="Q27" s="43">
        <v>892102.39999999991</v>
      </c>
      <c r="R27" s="41">
        <v>2688255</v>
      </c>
      <c r="S27" s="30">
        <v>2688255</v>
      </c>
      <c r="T27" s="30">
        <v>2688255</v>
      </c>
      <c r="U27" s="30">
        <v>13.5</v>
      </c>
      <c r="V27" s="41">
        <v>13.5</v>
      </c>
      <c r="W27" s="41">
        <v>1350</v>
      </c>
      <c r="X27" s="41">
        <v>199130</v>
      </c>
      <c r="Y27" s="41">
        <v>199130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1991.3</v>
      </c>
      <c r="AG27" s="41">
        <v>1992</v>
      </c>
      <c r="AH27" s="36">
        <v>45397</v>
      </c>
      <c r="AI27" s="36"/>
      <c r="AJ27" s="36"/>
      <c r="AK27" s="36">
        <v>45427</v>
      </c>
      <c r="AL27" s="36"/>
      <c r="AM27" s="46"/>
      <c r="AN27" s="40" t="s">
        <v>2250</v>
      </c>
      <c r="AO27" s="40" t="s">
        <v>2251</v>
      </c>
      <c r="AP27" s="40" t="s">
        <v>2252</v>
      </c>
      <c r="AQ27" s="40" t="s">
        <v>80</v>
      </c>
      <c r="AR27" s="48">
        <v>100</v>
      </c>
      <c r="AS27" s="37">
        <v>0</v>
      </c>
      <c r="AT27" s="37" t="s">
        <v>386</v>
      </c>
      <c r="AU27" s="47">
        <v>100</v>
      </c>
      <c r="AV27" s="37" t="s">
        <v>219</v>
      </c>
      <c r="AW27" s="37">
        <v>10</v>
      </c>
      <c r="AX27" s="30">
        <v>358035.74</v>
      </c>
      <c r="AY27" s="40" t="s">
        <v>402</v>
      </c>
    </row>
    <row r="28" spans="1:51" ht="48" customHeight="1" x14ac:dyDescent="0.25">
      <c r="A28" s="59" t="s">
        <v>2253</v>
      </c>
      <c r="B28" s="60">
        <v>45341</v>
      </c>
      <c r="C28" s="40" t="s">
        <v>2060</v>
      </c>
      <c r="D28" s="35" t="s">
        <v>431</v>
      </c>
      <c r="E28" s="39" t="s">
        <v>2254</v>
      </c>
      <c r="F28" s="35" t="s">
        <v>431</v>
      </c>
      <c r="G28" s="35" t="s">
        <v>431</v>
      </c>
      <c r="H28" s="35" t="s">
        <v>431</v>
      </c>
      <c r="I28" s="62" t="s">
        <v>2255</v>
      </c>
      <c r="J28" s="61">
        <v>27390</v>
      </c>
      <c r="K28" s="41">
        <v>0</v>
      </c>
      <c r="L28" s="54">
        <v>0</v>
      </c>
      <c r="M28" s="54">
        <v>0</v>
      </c>
      <c r="N28" s="42">
        <v>100</v>
      </c>
      <c r="O28" s="43">
        <v>27390</v>
      </c>
      <c r="P28" s="41"/>
      <c r="Q28" s="43">
        <v>27390</v>
      </c>
      <c r="R28" s="41">
        <v>0</v>
      </c>
      <c r="S28" s="30">
        <v>0</v>
      </c>
      <c r="T28" s="30">
        <v>0</v>
      </c>
      <c r="U28" s="30" t="e">
        <v>#DIV/0!</v>
      </c>
      <c r="V28" s="41" t="e">
        <v>#DIV/0!</v>
      </c>
      <c r="W28" s="41" t="e">
        <v>#DIV/0!</v>
      </c>
      <c r="X28" s="41">
        <v>0</v>
      </c>
      <c r="Y28" s="41">
        <v>0</v>
      </c>
      <c r="Z28" s="41">
        <v>0</v>
      </c>
      <c r="AA28" s="41">
        <v>0</v>
      </c>
      <c r="AB28" s="41"/>
      <c r="AC28" s="41" t="e">
        <v>#DIV/0!</v>
      </c>
      <c r="AD28" s="41"/>
      <c r="AE28" s="41" t="e">
        <v>#DIV/0!</v>
      </c>
      <c r="AF28" s="41" t="e">
        <v>#DIV/0!</v>
      </c>
      <c r="AG28" s="41" t="e">
        <v>#DIV/0!</v>
      </c>
      <c r="AH28" s="36">
        <v>45397</v>
      </c>
      <c r="AI28" s="36"/>
      <c r="AJ28" s="36"/>
      <c r="AK28" s="36"/>
      <c r="AL28" s="36"/>
      <c r="AM28" s="46"/>
      <c r="AN28" s="40"/>
      <c r="AO28" s="40"/>
      <c r="AP28" s="40"/>
      <c r="AQ28" s="40"/>
      <c r="AR28" s="48"/>
      <c r="AS28" s="37"/>
      <c r="AT28" s="37"/>
      <c r="AU28" s="47"/>
      <c r="AV28" s="37"/>
      <c r="AW28" s="37">
        <v>10</v>
      </c>
      <c r="AX28" s="30">
        <v>2739</v>
      </c>
      <c r="AY28" s="40" t="s">
        <v>431</v>
      </c>
    </row>
    <row r="29" spans="1:51" ht="48" customHeight="1" x14ac:dyDescent="0.25">
      <c r="A29" s="59" t="s">
        <v>2290</v>
      </c>
      <c r="B29" s="60">
        <v>45342</v>
      </c>
      <c r="C29" s="37" t="s">
        <v>494</v>
      </c>
      <c r="D29" s="35"/>
      <c r="E29" s="39" t="s">
        <v>2291</v>
      </c>
      <c r="F29" s="36"/>
      <c r="G29" s="37"/>
      <c r="H29" s="40"/>
      <c r="I29" s="64" t="s">
        <v>2292</v>
      </c>
      <c r="J29" s="61">
        <v>8316339</v>
      </c>
      <c r="K29" s="41">
        <v>0</v>
      </c>
      <c r="L29" s="54">
        <v>0</v>
      </c>
      <c r="M29" s="54">
        <v>0</v>
      </c>
      <c r="N29" s="42">
        <v>100</v>
      </c>
      <c r="O29" s="43">
        <v>8316339</v>
      </c>
      <c r="P29" s="41"/>
      <c r="Q29" s="43">
        <v>8316339</v>
      </c>
      <c r="R29" s="41">
        <v>0</v>
      </c>
      <c r="S29" s="30">
        <v>0</v>
      </c>
      <c r="T29" s="30">
        <v>0</v>
      </c>
      <c r="U29" s="30" t="e">
        <v>#DIV/0!</v>
      </c>
      <c r="V29" s="41" t="e">
        <v>#DIV/0!</v>
      </c>
      <c r="W29" s="41" t="e">
        <v>#DIV/0!</v>
      </c>
      <c r="X29" s="41">
        <v>0</v>
      </c>
      <c r="Y29" s="41">
        <v>0</v>
      </c>
      <c r="Z29" s="41">
        <v>0</v>
      </c>
      <c r="AA29" s="41">
        <v>0</v>
      </c>
      <c r="AB29" s="41"/>
      <c r="AC29" s="41" t="e">
        <v>#DIV/0!</v>
      </c>
      <c r="AD29" s="41"/>
      <c r="AE29" s="41" t="e">
        <v>#DIV/0!</v>
      </c>
      <c r="AF29" s="41" t="e">
        <v>#DIV/0!</v>
      </c>
      <c r="AG29" s="41" t="e">
        <v>#DIV/0!</v>
      </c>
      <c r="AH29" s="36">
        <v>45397</v>
      </c>
      <c r="AI29" s="36"/>
      <c r="AJ29" s="36"/>
      <c r="AK29" s="36"/>
      <c r="AL29" s="36"/>
      <c r="AM29" s="46"/>
      <c r="AN29" s="40"/>
      <c r="AO29" s="40"/>
      <c r="AP29" s="40"/>
      <c r="AQ29" s="40"/>
      <c r="AR29" s="48"/>
      <c r="AS29" s="37"/>
      <c r="AT29" s="37"/>
      <c r="AU29" s="47"/>
      <c r="AV29" s="37"/>
      <c r="AW29" s="37">
        <v>10</v>
      </c>
      <c r="AX29" s="30">
        <v>831633.9</v>
      </c>
      <c r="AY29" s="40"/>
    </row>
    <row r="30" spans="1:51" ht="48" customHeight="1" x14ac:dyDescent="0.25">
      <c r="A30" s="59" t="s">
        <v>2293</v>
      </c>
      <c r="B30" s="60">
        <v>45342</v>
      </c>
      <c r="C30" s="37" t="s">
        <v>494</v>
      </c>
      <c r="D30" s="37" t="s">
        <v>431</v>
      </c>
      <c r="E30" s="39" t="s">
        <v>2294</v>
      </c>
      <c r="F30" s="37" t="s">
        <v>431</v>
      </c>
      <c r="G30" s="37" t="s">
        <v>431</v>
      </c>
      <c r="H30" s="37" t="s">
        <v>431</v>
      </c>
      <c r="I30" s="62" t="s">
        <v>2295</v>
      </c>
      <c r="J30" s="61">
        <v>17131455</v>
      </c>
      <c r="K30" s="41">
        <v>0</v>
      </c>
      <c r="L30" s="54">
        <v>0</v>
      </c>
      <c r="M30" s="54">
        <v>0</v>
      </c>
      <c r="N30" s="42">
        <v>100</v>
      </c>
      <c r="O30" s="43">
        <v>17131455</v>
      </c>
      <c r="P30" s="41"/>
      <c r="Q30" s="43">
        <v>17131455</v>
      </c>
      <c r="R30" s="41">
        <v>0</v>
      </c>
      <c r="S30" s="30">
        <v>0</v>
      </c>
      <c r="T30" s="30">
        <v>0</v>
      </c>
      <c r="U30" s="30" t="e">
        <v>#DIV/0!</v>
      </c>
      <c r="V30" s="41" t="e">
        <v>#DIV/0!</v>
      </c>
      <c r="W30" s="41" t="e">
        <v>#DIV/0!</v>
      </c>
      <c r="X30" s="41">
        <v>0</v>
      </c>
      <c r="Y30" s="41">
        <v>0</v>
      </c>
      <c r="Z30" s="41">
        <v>0</v>
      </c>
      <c r="AA30" s="41">
        <v>0</v>
      </c>
      <c r="AB30" s="41"/>
      <c r="AC30" s="41" t="e">
        <v>#DIV/0!</v>
      </c>
      <c r="AD30" s="41"/>
      <c r="AE30" s="41" t="e">
        <v>#DIV/0!</v>
      </c>
      <c r="AF30" s="41" t="e">
        <v>#DIV/0!</v>
      </c>
      <c r="AG30" s="41" t="e">
        <v>#DIV/0!</v>
      </c>
      <c r="AH30" s="36">
        <v>45397</v>
      </c>
      <c r="AI30" s="36"/>
      <c r="AJ30" s="36"/>
      <c r="AK30" s="36"/>
      <c r="AL30" s="36"/>
      <c r="AM30" s="46"/>
      <c r="AN30" s="40"/>
      <c r="AO30" s="40"/>
      <c r="AP30" s="40"/>
      <c r="AQ30" s="40"/>
      <c r="AR30" s="48"/>
      <c r="AS30" s="37"/>
      <c r="AT30" s="37"/>
      <c r="AU30" s="47"/>
      <c r="AV30" s="37"/>
      <c r="AW30" s="37">
        <v>10</v>
      </c>
      <c r="AX30" s="30">
        <v>1713145.5</v>
      </c>
      <c r="AY30" s="40" t="s">
        <v>431</v>
      </c>
    </row>
    <row r="31" spans="1:51" ht="48" customHeight="1" x14ac:dyDescent="0.25">
      <c r="A31" s="59" t="s">
        <v>2299</v>
      </c>
      <c r="B31" s="60">
        <v>45342</v>
      </c>
      <c r="C31" s="37" t="s">
        <v>494</v>
      </c>
      <c r="D31" s="35"/>
      <c r="E31" s="39" t="s">
        <v>2300</v>
      </c>
      <c r="F31" s="36"/>
      <c r="G31" s="37"/>
      <c r="H31" s="40"/>
      <c r="I31" s="64" t="s">
        <v>2301</v>
      </c>
      <c r="J31" s="61">
        <v>2756167</v>
      </c>
      <c r="K31" s="41">
        <v>0</v>
      </c>
      <c r="L31" s="54">
        <v>0</v>
      </c>
      <c r="M31" s="54">
        <v>0</v>
      </c>
      <c r="N31" s="42">
        <v>100</v>
      </c>
      <c r="O31" s="43">
        <v>2756167</v>
      </c>
      <c r="P31" s="41"/>
      <c r="Q31" s="43">
        <v>2756167</v>
      </c>
      <c r="R31" s="41">
        <v>0</v>
      </c>
      <c r="S31" s="30">
        <v>0</v>
      </c>
      <c r="T31" s="30">
        <v>0</v>
      </c>
      <c r="U31" s="30" t="e">
        <v>#DIV/0!</v>
      </c>
      <c r="V31" s="41" t="e">
        <v>#DIV/0!</v>
      </c>
      <c r="W31" s="41" t="e">
        <v>#DIV/0!</v>
      </c>
      <c r="X31" s="41">
        <v>0</v>
      </c>
      <c r="Y31" s="41">
        <v>0</v>
      </c>
      <c r="Z31" s="41">
        <v>0</v>
      </c>
      <c r="AA31" s="41">
        <v>0</v>
      </c>
      <c r="AB31" s="41"/>
      <c r="AC31" s="41" t="e">
        <v>#DIV/0!</v>
      </c>
      <c r="AD31" s="41"/>
      <c r="AE31" s="41" t="e">
        <v>#DIV/0!</v>
      </c>
      <c r="AF31" s="41" t="e">
        <v>#DIV/0!</v>
      </c>
      <c r="AG31" s="41" t="e">
        <v>#DIV/0!</v>
      </c>
      <c r="AH31" s="36">
        <v>45397</v>
      </c>
      <c r="AI31" s="36"/>
      <c r="AJ31" s="36"/>
      <c r="AK31" s="36"/>
      <c r="AL31" s="36"/>
      <c r="AM31" s="46"/>
      <c r="AN31" s="40"/>
      <c r="AO31" s="40"/>
      <c r="AP31" s="40"/>
      <c r="AQ31" s="40"/>
      <c r="AR31" s="48"/>
      <c r="AS31" s="37"/>
      <c r="AT31" s="37"/>
      <c r="AU31" s="47"/>
      <c r="AV31" s="37"/>
      <c r="AW31" s="37">
        <v>10</v>
      </c>
      <c r="AX31" s="30">
        <v>275616.7</v>
      </c>
      <c r="AY31" s="40"/>
    </row>
    <row r="32" spans="1:51" ht="48" customHeight="1" x14ac:dyDescent="0.25">
      <c r="A32" s="59" t="s">
        <v>2302</v>
      </c>
      <c r="B32" s="60">
        <v>45342</v>
      </c>
      <c r="C32" s="40" t="s">
        <v>2060</v>
      </c>
      <c r="D32" s="35"/>
      <c r="E32" s="39" t="s">
        <v>2303</v>
      </c>
      <c r="F32" s="36">
        <v>45355</v>
      </c>
      <c r="G32" s="37" t="s">
        <v>2304</v>
      </c>
      <c r="H32" s="40" t="s">
        <v>2047</v>
      </c>
      <c r="I32" s="64" t="s">
        <v>2301</v>
      </c>
      <c r="J32" s="61">
        <v>55909</v>
      </c>
      <c r="K32" s="41">
        <v>0</v>
      </c>
      <c r="L32" s="54">
        <v>0</v>
      </c>
      <c r="M32" s="54">
        <v>0</v>
      </c>
      <c r="N32" s="42">
        <v>0</v>
      </c>
      <c r="O32" s="43">
        <v>0</v>
      </c>
      <c r="P32" s="61">
        <v>55909</v>
      </c>
      <c r="Q32" s="43">
        <v>0</v>
      </c>
      <c r="R32" s="61">
        <v>55909</v>
      </c>
      <c r="S32" s="30">
        <v>55909</v>
      </c>
      <c r="T32" s="30">
        <v>55909</v>
      </c>
      <c r="U32" s="30">
        <v>16.3</v>
      </c>
      <c r="V32" s="41">
        <v>16.3</v>
      </c>
      <c r="W32" s="41">
        <v>1630</v>
      </c>
      <c r="X32" s="41">
        <v>3430</v>
      </c>
      <c r="Y32" s="41">
        <v>3430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34.299999999999997</v>
      </c>
      <c r="AG32" s="41">
        <v>35</v>
      </c>
      <c r="AH32" s="36">
        <v>45397</v>
      </c>
      <c r="AI32" s="36"/>
      <c r="AJ32" s="36"/>
      <c r="AK32" s="36">
        <v>45427</v>
      </c>
      <c r="AL32" s="36"/>
      <c r="AM32" s="46"/>
      <c r="AN32" s="40" t="s">
        <v>2250</v>
      </c>
      <c r="AO32" s="40" t="s">
        <v>2305</v>
      </c>
      <c r="AP32" s="40" t="s">
        <v>2252</v>
      </c>
      <c r="AQ32" s="40" t="s">
        <v>80</v>
      </c>
      <c r="AR32" s="48">
        <v>100</v>
      </c>
      <c r="AS32" s="37">
        <v>0</v>
      </c>
      <c r="AT32" s="37" t="s">
        <v>386</v>
      </c>
      <c r="AU32" s="47">
        <v>100</v>
      </c>
      <c r="AV32" s="37" t="s">
        <v>219</v>
      </c>
      <c r="AW32" s="37">
        <v>10</v>
      </c>
      <c r="AX32" s="30">
        <v>5590.9</v>
      </c>
      <c r="AY32" s="40" t="s">
        <v>402</v>
      </c>
    </row>
    <row r="33" spans="1:51" ht="48" customHeight="1" x14ac:dyDescent="0.25">
      <c r="A33" s="59" t="s">
        <v>2309</v>
      </c>
      <c r="B33" s="60">
        <v>45342</v>
      </c>
      <c r="C33" s="40" t="s">
        <v>2060</v>
      </c>
      <c r="D33" s="35"/>
      <c r="E33" s="39" t="s">
        <v>2310</v>
      </c>
      <c r="F33" s="36"/>
      <c r="G33" s="37"/>
      <c r="H33" s="40"/>
      <c r="I33" s="62" t="s">
        <v>2311</v>
      </c>
      <c r="J33" s="61">
        <v>399637</v>
      </c>
      <c r="K33" s="41">
        <v>0</v>
      </c>
      <c r="L33" s="54">
        <v>0</v>
      </c>
      <c r="M33" s="54">
        <v>0</v>
      </c>
      <c r="N33" s="42">
        <v>100</v>
      </c>
      <c r="O33" s="43">
        <v>399637</v>
      </c>
      <c r="P33" s="41"/>
      <c r="Q33" s="43">
        <v>399637</v>
      </c>
      <c r="R33" s="41">
        <v>0</v>
      </c>
      <c r="S33" s="30">
        <v>0</v>
      </c>
      <c r="T33" s="30">
        <v>0</v>
      </c>
      <c r="U33" s="30" t="e">
        <v>#DIV/0!</v>
      </c>
      <c r="V33" s="41" t="e">
        <v>#DIV/0!</v>
      </c>
      <c r="W33" s="41" t="e">
        <v>#DIV/0!</v>
      </c>
      <c r="X33" s="41">
        <v>0</v>
      </c>
      <c r="Y33" s="41">
        <v>0</v>
      </c>
      <c r="Z33" s="41">
        <v>0</v>
      </c>
      <c r="AA33" s="41">
        <v>0</v>
      </c>
      <c r="AB33" s="41"/>
      <c r="AC33" s="41" t="e">
        <v>#DIV/0!</v>
      </c>
      <c r="AD33" s="41"/>
      <c r="AE33" s="41" t="e">
        <v>#DIV/0!</v>
      </c>
      <c r="AF33" s="41" t="e">
        <v>#DIV/0!</v>
      </c>
      <c r="AG33" s="41" t="e">
        <v>#DIV/0!</v>
      </c>
      <c r="AH33" s="36">
        <v>45397</v>
      </c>
      <c r="AI33" s="36"/>
      <c r="AJ33" s="36"/>
      <c r="AK33" s="36"/>
      <c r="AL33" s="36"/>
      <c r="AM33" s="46"/>
      <c r="AN33" s="40"/>
      <c r="AO33" s="40"/>
      <c r="AP33" s="40"/>
      <c r="AQ33" s="40"/>
      <c r="AR33" s="48"/>
      <c r="AS33" s="37"/>
      <c r="AT33" s="37"/>
      <c r="AU33" s="47"/>
      <c r="AV33" s="37"/>
      <c r="AW33" s="37">
        <v>10</v>
      </c>
      <c r="AX33" s="30">
        <v>39963.699999999997</v>
      </c>
      <c r="AY33" s="40"/>
    </row>
    <row r="34" spans="1:51" ht="48" customHeight="1" x14ac:dyDescent="0.25">
      <c r="A34" s="59" t="s">
        <v>2312</v>
      </c>
      <c r="B34" s="60">
        <v>45342</v>
      </c>
      <c r="C34" s="40" t="s">
        <v>2060</v>
      </c>
      <c r="D34" s="35"/>
      <c r="E34" s="39" t="s">
        <v>2313</v>
      </c>
      <c r="F34" s="36">
        <v>45355</v>
      </c>
      <c r="G34" s="37" t="s">
        <v>2314</v>
      </c>
      <c r="H34" s="40" t="s">
        <v>2315</v>
      </c>
      <c r="I34" s="62" t="s">
        <v>2316</v>
      </c>
      <c r="J34" s="67">
        <v>146655.6</v>
      </c>
      <c r="K34" s="41">
        <v>0</v>
      </c>
      <c r="L34" s="54">
        <v>0</v>
      </c>
      <c r="M34" s="54">
        <v>0</v>
      </c>
      <c r="N34" s="42">
        <v>0</v>
      </c>
      <c r="O34" s="43">
        <v>0</v>
      </c>
      <c r="P34" s="68">
        <v>146655.6</v>
      </c>
      <c r="Q34" s="43">
        <v>0</v>
      </c>
      <c r="R34" s="67">
        <v>146655.6</v>
      </c>
      <c r="S34" s="30">
        <v>146655.6</v>
      </c>
      <c r="T34" s="30">
        <v>146655.6</v>
      </c>
      <c r="U34" s="30">
        <v>3.5700000000000003</v>
      </c>
      <c r="V34" s="41">
        <v>3.5700000000000003</v>
      </c>
      <c r="W34" s="41">
        <v>35.700000000000003</v>
      </c>
      <c r="X34" s="41">
        <v>41080</v>
      </c>
      <c r="Y34" s="41">
        <v>41080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4108</v>
      </c>
      <c r="AG34" s="41">
        <v>4108</v>
      </c>
      <c r="AH34" s="36">
        <v>45397</v>
      </c>
      <c r="AI34" s="36"/>
      <c r="AJ34" s="36"/>
      <c r="AK34" s="36">
        <v>45427</v>
      </c>
      <c r="AL34" s="36"/>
      <c r="AM34" s="46"/>
      <c r="AN34" s="40" t="s">
        <v>2317</v>
      </c>
      <c r="AO34" s="40" t="s">
        <v>2318</v>
      </c>
      <c r="AP34" s="40" t="s">
        <v>2319</v>
      </c>
      <c r="AQ34" s="40" t="s">
        <v>80</v>
      </c>
      <c r="AR34" s="48">
        <v>100</v>
      </c>
      <c r="AS34" s="37">
        <v>0</v>
      </c>
      <c r="AT34" s="37" t="s">
        <v>386</v>
      </c>
      <c r="AU34" s="47">
        <v>10</v>
      </c>
      <c r="AV34" s="37" t="s">
        <v>219</v>
      </c>
      <c r="AW34" s="37">
        <v>10</v>
      </c>
      <c r="AX34" s="30">
        <v>14665.56</v>
      </c>
      <c r="AY34" s="40" t="s">
        <v>402</v>
      </c>
    </row>
    <row r="35" spans="1:51" ht="39" customHeight="1" x14ac:dyDescent="0.25">
      <c r="A35" s="59" t="s">
        <v>2323</v>
      </c>
      <c r="B35" s="60">
        <v>45343</v>
      </c>
      <c r="C35" s="37" t="s">
        <v>494</v>
      </c>
      <c r="D35" s="35"/>
      <c r="E35" s="39" t="s">
        <v>2324</v>
      </c>
      <c r="F35" s="36"/>
      <c r="G35" s="37"/>
      <c r="H35" s="40"/>
      <c r="I35" s="64" t="s">
        <v>2249</v>
      </c>
      <c r="J35" s="61">
        <v>61618718.600000001</v>
      </c>
      <c r="K35" s="41">
        <v>0</v>
      </c>
      <c r="L35" s="54">
        <v>0</v>
      </c>
      <c r="M35" s="54">
        <v>0</v>
      </c>
      <c r="N35" s="42">
        <v>100</v>
      </c>
      <c r="O35" s="43">
        <v>61618718.600000001</v>
      </c>
      <c r="P35" s="41"/>
      <c r="Q35" s="43">
        <v>61618718.600000001</v>
      </c>
      <c r="R35" s="41">
        <v>0</v>
      </c>
      <c r="S35" s="30">
        <v>0</v>
      </c>
      <c r="T35" s="30">
        <v>0</v>
      </c>
      <c r="U35" s="30" t="e">
        <v>#DIV/0!</v>
      </c>
      <c r="V35" s="41" t="e">
        <v>#DIV/0!</v>
      </c>
      <c r="W35" s="41" t="e">
        <v>#DIV/0!</v>
      </c>
      <c r="X35" s="41">
        <v>0</v>
      </c>
      <c r="Y35" s="41">
        <v>0</v>
      </c>
      <c r="Z35" s="41">
        <v>0</v>
      </c>
      <c r="AA35" s="41">
        <v>0</v>
      </c>
      <c r="AB35" s="41"/>
      <c r="AC35" s="41" t="e">
        <v>#DIV/0!</v>
      </c>
      <c r="AD35" s="41"/>
      <c r="AE35" s="41" t="e">
        <v>#DIV/0!</v>
      </c>
      <c r="AF35" s="41" t="e">
        <v>#DIV/0!</v>
      </c>
      <c r="AG35" s="41" t="e">
        <v>#DIV/0!</v>
      </c>
      <c r="AH35" s="36">
        <v>45397</v>
      </c>
      <c r="AI35" s="36"/>
      <c r="AJ35" s="36"/>
      <c r="AK35" s="36"/>
      <c r="AL35" s="36"/>
      <c r="AM35" s="46"/>
      <c r="AN35" s="40"/>
      <c r="AO35" s="40"/>
      <c r="AP35" s="40"/>
      <c r="AQ35" s="40"/>
      <c r="AR35" s="48"/>
      <c r="AS35" s="37"/>
      <c r="AT35" s="37"/>
      <c r="AU35" s="47"/>
      <c r="AV35" s="37"/>
      <c r="AW35" s="37">
        <v>10</v>
      </c>
      <c r="AX35" s="30">
        <v>6161871.8600000003</v>
      </c>
      <c r="AY35" s="40"/>
    </row>
    <row r="36" spans="1:51" ht="39" customHeight="1" x14ac:dyDescent="0.25">
      <c r="A36" s="59" t="s">
        <v>2333</v>
      </c>
      <c r="B36" s="60">
        <v>45343</v>
      </c>
      <c r="C36" s="37" t="s">
        <v>494</v>
      </c>
      <c r="D36" s="35"/>
      <c r="E36" s="39" t="s">
        <v>2334</v>
      </c>
      <c r="F36" s="36"/>
      <c r="G36" s="37"/>
      <c r="H36" s="40"/>
      <c r="I36" s="62" t="s">
        <v>2335</v>
      </c>
      <c r="J36" s="61">
        <v>6719892.2999999998</v>
      </c>
      <c r="K36" s="41">
        <v>0</v>
      </c>
      <c r="L36" s="54">
        <v>0</v>
      </c>
      <c r="M36" s="54">
        <v>0</v>
      </c>
      <c r="N36" s="42">
        <v>100</v>
      </c>
      <c r="O36" s="43">
        <v>6719892.2999999998</v>
      </c>
      <c r="P36" s="41"/>
      <c r="Q36" s="43">
        <v>6719892.2999999998</v>
      </c>
      <c r="R36" s="41">
        <v>0</v>
      </c>
      <c r="S36" s="30">
        <v>0</v>
      </c>
      <c r="T36" s="30">
        <v>0</v>
      </c>
      <c r="U36" s="30" t="e">
        <v>#DIV/0!</v>
      </c>
      <c r="V36" s="41" t="e">
        <v>#DIV/0!</v>
      </c>
      <c r="W36" s="41" t="e">
        <v>#DIV/0!</v>
      </c>
      <c r="X36" s="41">
        <v>0</v>
      </c>
      <c r="Y36" s="41">
        <v>0</v>
      </c>
      <c r="Z36" s="41">
        <v>0</v>
      </c>
      <c r="AA36" s="41">
        <v>0</v>
      </c>
      <c r="AB36" s="41"/>
      <c r="AC36" s="41" t="e">
        <v>#DIV/0!</v>
      </c>
      <c r="AD36" s="41"/>
      <c r="AE36" s="41" t="e">
        <v>#DIV/0!</v>
      </c>
      <c r="AF36" s="41" t="e">
        <v>#DIV/0!</v>
      </c>
      <c r="AG36" s="41" t="e">
        <v>#DIV/0!</v>
      </c>
      <c r="AH36" s="36">
        <v>45397</v>
      </c>
      <c r="AI36" s="36"/>
      <c r="AJ36" s="36"/>
      <c r="AK36" s="36"/>
      <c r="AL36" s="36"/>
      <c r="AM36" s="46"/>
      <c r="AN36" s="40"/>
      <c r="AO36" s="40"/>
      <c r="AP36" s="40"/>
      <c r="AQ36" s="40"/>
      <c r="AR36" s="48"/>
      <c r="AS36" s="37"/>
      <c r="AT36" s="37"/>
      <c r="AU36" s="47"/>
      <c r="AV36" s="37"/>
      <c r="AW36" s="37">
        <v>10</v>
      </c>
      <c r="AX36" s="30">
        <v>671989.23</v>
      </c>
      <c r="AY36" s="40"/>
    </row>
    <row r="37" spans="1:51" ht="39" customHeight="1" x14ac:dyDescent="0.25">
      <c r="A37" s="59" t="s">
        <v>2343</v>
      </c>
      <c r="B37" s="60">
        <v>45343</v>
      </c>
      <c r="C37" s="37" t="s">
        <v>494</v>
      </c>
      <c r="D37" s="35"/>
      <c r="E37" s="39" t="s">
        <v>2344</v>
      </c>
      <c r="F37" s="36"/>
      <c r="G37" s="37"/>
      <c r="H37" s="40"/>
      <c r="I37" s="62" t="s">
        <v>2345</v>
      </c>
      <c r="J37" s="61">
        <v>6320413</v>
      </c>
      <c r="K37" s="41">
        <v>0</v>
      </c>
      <c r="L37" s="54">
        <v>0</v>
      </c>
      <c r="M37" s="54">
        <v>0</v>
      </c>
      <c r="N37" s="42">
        <v>100</v>
      </c>
      <c r="O37" s="43">
        <v>6320413</v>
      </c>
      <c r="P37" s="41"/>
      <c r="Q37" s="43">
        <v>6320413</v>
      </c>
      <c r="R37" s="41">
        <v>0</v>
      </c>
      <c r="S37" s="30">
        <v>0</v>
      </c>
      <c r="T37" s="30">
        <v>0</v>
      </c>
      <c r="U37" s="30" t="e">
        <v>#DIV/0!</v>
      </c>
      <c r="V37" s="41" t="e">
        <v>#DIV/0!</v>
      </c>
      <c r="W37" s="41" t="e">
        <v>#DIV/0!</v>
      </c>
      <c r="X37" s="41">
        <v>0</v>
      </c>
      <c r="Y37" s="41">
        <v>0</v>
      </c>
      <c r="Z37" s="41">
        <v>0</v>
      </c>
      <c r="AA37" s="41">
        <v>0</v>
      </c>
      <c r="AB37" s="41"/>
      <c r="AC37" s="41" t="e">
        <v>#DIV/0!</v>
      </c>
      <c r="AD37" s="41"/>
      <c r="AE37" s="41" t="e">
        <v>#DIV/0!</v>
      </c>
      <c r="AF37" s="41" t="e">
        <v>#DIV/0!</v>
      </c>
      <c r="AG37" s="41" t="e">
        <v>#DIV/0!</v>
      </c>
      <c r="AH37" s="36">
        <v>45397</v>
      </c>
      <c r="AI37" s="36"/>
      <c r="AJ37" s="36"/>
      <c r="AK37" s="36"/>
      <c r="AL37" s="36"/>
      <c r="AM37" s="46"/>
      <c r="AN37" s="40"/>
      <c r="AO37" s="40"/>
      <c r="AP37" s="40"/>
      <c r="AQ37" s="40"/>
      <c r="AR37" s="48"/>
      <c r="AS37" s="37"/>
      <c r="AT37" s="37"/>
      <c r="AU37" s="47"/>
      <c r="AV37" s="37"/>
      <c r="AW37" s="37">
        <v>10</v>
      </c>
      <c r="AX37" s="30">
        <v>632041.30000000005</v>
      </c>
      <c r="AY37" s="40"/>
    </row>
    <row r="38" spans="1:51" ht="39" customHeight="1" x14ac:dyDescent="0.25">
      <c r="A38" s="59" t="s">
        <v>2346</v>
      </c>
      <c r="B38" s="60">
        <v>45343</v>
      </c>
      <c r="C38" s="37" t="s">
        <v>494</v>
      </c>
      <c r="D38" s="37" t="s">
        <v>431</v>
      </c>
      <c r="E38" s="39" t="s">
        <v>2347</v>
      </c>
      <c r="F38" s="37" t="s">
        <v>431</v>
      </c>
      <c r="G38" s="37" t="s">
        <v>431</v>
      </c>
      <c r="H38" s="37" t="s">
        <v>431</v>
      </c>
      <c r="I38" s="62" t="s">
        <v>2348</v>
      </c>
      <c r="J38" s="61">
        <v>3552037</v>
      </c>
      <c r="K38" s="41">
        <v>0</v>
      </c>
      <c r="L38" s="54">
        <v>0</v>
      </c>
      <c r="M38" s="54">
        <v>0</v>
      </c>
      <c r="N38" s="42">
        <v>100</v>
      </c>
      <c r="O38" s="43">
        <v>3552037</v>
      </c>
      <c r="P38" s="41"/>
      <c r="Q38" s="43">
        <v>3552037</v>
      </c>
      <c r="R38" s="41">
        <v>0</v>
      </c>
      <c r="S38" s="30">
        <v>0</v>
      </c>
      <c r="T38" s="30">
        <v>0</v>
      </c>
      <c r="U38" s="30" t="e">
        <v>#DIV/0!</v>
      </c>
      <c r="V38" s="41" t="e">
        <v>#DIV/0!</v>
      </c>
      <c r="W38" s="41" t="e">
        <v>#DIV/0!</v>
      </c>
      <c r="X38" s="41">
        <v>0</v>
      </c>
      <c r="Y38" s="41">
        <v>0</v>
      </c>
      <c r="Z38" s="41">
        <v>0</v>
      </c>
      <c r="AA38" s="41">
        <v>0</v>
      </c>
      <c r="AB38" s="41"/>
      <c r="AC38" s="41" t="e">
        <v>#DIV/0!</v>
      </c>
      <c r="AD38" s="41"/>
      <c r="AE38" s="41" t="e">
        <v>#DIV/0!</v>
      </c>
      <c r="AF38" s="41" t="e">
        <v>#DIV/0!</v>
      </c>
      <c r="AG38" s="41" t="e">
        <v>#DIV/0!</v>
      </c>
      <c r="AH38" s="36">
        <v>45397</v>
      </c>
      <c r="AI38" s="36"/>
      <c r="AJ38" s="36"/>
      <c r="AK38" s="36"/>
      <c r="AL38" s="36"/>
      <c r="AM38" s="46"/>
      <c r="AN38" s="40"/>
      <c r="AO38" s="40"/>
      <c r="AP38" s="40"/>
      <c r="AQ38" s="40"/>
      <c r="AR38" s="48"/>
      <c r="AS38" s="37"/>
      <c r="AT38" s="37"/>
      <c r="AU38" s="47"/>
      <c r="AV38" s="37"/>
      <c r="AW38" s="37">
        <v>10</v>
      </c>
      <c r="AX38" s="30">
        <v>355203.7</v>
      </c>
      <c r="AY38" s="40" t="s">
        <v>431</v>
      </c>
    </row>
    <row r="39" spans="1:51" ht="39" customHeight="1" x14ac:dyDescent="0.25">
      <c r="A39" s="59" t="s">
        <v>2349</v>
      </c>
      <c r="B39" s="60">
        <v>45343</v>
      </c>
      <c r="C39" s="37" t="s">
        <v>494</v>
      </c>
      <c r="D39" s="35"/>
      <c r="E39" s="39" t="s">
        <v>2350</v>
      </c>
      <c r="F39" s="36"/>
      <c r="G39" s="37"/>
      <c r="H39" s="40"/>
      <c r="I39" s="62" t="s">
        <v>2351</v>
      </c>
      <c r="J39" s="61">
        <v>2941323</v>
      </c>
      <c r="K39" s="41">
        <v>0</v>
      </c>
      <c r="L39" s="54">
        <v>0</v>
      </c>
      <c r="M39" s="54">
        <v>0</v>
      </c>
      <c r="N39" s="42">
        <v>100</v>
      </c>
      <c r="O39" s="43">
        <v>2941323</v>
      </c>
      <c r="P39" s="41"/>
      <c r="Q39" s="43">
        <v>2941323</v>
      </c>
      <c r="R39" s="41">
        <v>0</v>
      </c>
      <c r="S39" s="30">
        <v>0</v>
      </c>
      <c r="T39" s="30">
        <v>0</v>
      </c>
      <c r="U39" s="30" t="e">
        <v>#DIV/0!</v>
      </c>
      <c r="V39" s="41" t="e">
        <v>#DIV/0!</v>
      </c>
      <c r="W39" s="41" t="e">
        <v>#DIV/0!</v>
      </c>
      <c r="X39" s="41">
        <v>0</v>
      </c>
      <c r="Y39" s="41">
        <v>0</v>
      </c>
      <c r="Z39" s="41">
        <v>0</v>
      </c>
      <c r="AA39" s="41">
        <v>0</v>
      </c>
      <c r="AB39" s="41"/>
      <c r="AC39" s="41" t="e">
        <v>#DIV/0!</v>
      </c>
      <c r="AD39" s="41"/>
      <c r="AE39" s="41" t="e">
        <v>#DIV/0!</v>
      </c>
      <c r="AF39" s="41" t="e">
        <v>#DIV/0!</v>
      </c>
      <c r="AG39" s="41" t="e">
        <v>#DIV/0!</v>
      </c>
      <c r="AH39" s="36">
        <v>45397</v>
      </c>
      <c r="AI39" s="36"/>
      <c r="AJ39" s="36"/>
      <c r="AK39" s="36"/>
      <c r="AL39" s="36"/>
      <c r="AM39" s="46"/>
      <c r="AN39" s="40"/>
      <c r="AO39" s="40"/>
      <c r="AP39" s="40"/>
      <c r="AQ39" s="40"/>
      <c r="AR39" s="48"/>
      <c r="AS39" s="37"/>
      <c r="AT39" s="37"/>
      <c r="AU39" s="47"/>
      <c r="AV39" s="37"/>
      <c r="AW39" s="37">
        <v>10</v>
      </c>
      <c r="AX39" s="30">
        <v>294132.3</v>
      </c>
      <c r="AY39" s="40"/>
    </row>
    <row r="40" spans="1:51" ht="39" customHeight="1" x14ac:dyDescent="0.25">
      <c r="A40" s="59" t="s">
        <v>2352</v>
      </c>
      <c r="B40" s="60">
        <v>45343</v>
      </c>
      <c r="C40" s="37" t="s">
        <v>494</v>
      </c>
      <c r="D40" s="37" t="s">
        <v>431</v>
      </c>
      <c r="E40" s="39" t="s">
        <v>2353</v>
      </c>
      <c r="F40" s="37" t="s">
        <v>431</v>
      </c>
      <c r="G40" s="37" t="s">
        <v>431</v>
      </c>
      <c r="H40" s="37" t="s">
        <v>431</v>
      </c>
      <c r="I40" s="62" t="s">
        <v>2354</v>
      </c>
      <c r="J40" s="61">
        <v>376852.5</v>
      </c>
      <c r="K40" s="41">
        <v>0</v>
      </c>
      <c r="L40" s="54">
        <v>0</v>
      </c>
      <c r="M40" s="54">
        <v>0</v>
      </c>
      <c r="N40" s="42">
        <v>100</v>
      </c>
      <c r="O40" s="43">
        <v>376852.5</v>
      </c>
      <c r="P40" s="41"/>
      <c r="Q40" s="43">
        <v>376852.5</v>
      </c>
      <c r="R40" s="41">
        <v>0</v>
      </c>
      <c r="S40" s="30">
        <v>0</v>
      </c>
      <c r="T40" s="30">
        <v>0</v>
      </c>
      <c r="U40" s="30" t="e">
        <v>#DIV/0!</v>
      </c>
      <c r="V40" s="41" t="e">
        <v>#DIV/0!</v>
      </c>
      <c r="W40" s="41" t="e">
        <v>#DIV/0!</v>
      </c>
      <c r="X40" s="41">
        <v>0</v>
      </c>
      <c r="Y40" s="41">
        <v>0</v>
      </c>
      <c r="Z40" s="41">
        <v>0</v>
      </c>
      <c r="AA40" s="41">
        <v>0</v>
      </c>
      <c r="AB40" s="41"/>
      <c r="AC40" s="41" t="e">
        <v>#DIV/0!</v>
      </c>
      <c r="AD40" s="41"/>
      <c r="AE40" s="41" t="e">
        <v>#DIV/0!</v>
      </c>
      <c r="AF40" s="41" t="e">
        <v>#DIV/0!</v>
      </c>
      <c r="AG40" s="41" t="e">
        <v>#DIV/0!</v>
      </c>
      <c r="AH40" s="36">
        <v>45397</v>
      </c>
      <c r="AI40" s="36"/>
      <c r="AJ40" s="36"/>
      <c r="AK40" s="36"/>
      <c r="AL40" s="36"/>
      <c r="AM40" s="46"/>
      <c r="AN40" s="40"/>
      <c r="AO40" s="40"/>
      <c r="AP40" s="40"/>
      <c r="AQ40" s="40"/>
      <c r="AR40" s="48"/>
      <c r="AS40" s="37"/>
      <c r="AT40" s="37"/>
      <c r="AU40" s="47"/>
      <c r="AV40" s="37"/>
      <c r="AW40" s="37">
        <v>10</v>
      </c>
      <c r="AX40" s="30">
        <v>37685.25</v>
      </c>
      <c r="AY40" s="40" t="s">
        <v>431</v>
      </c>
    </row>
    <row r="41" spans="1:51" ht="39" customHeight="1" x14ac:dyDescent="0.25">
      <c r="A41" s="59" t="s">
        <v>2355</v>
      </c>
      <c r="B41" s="60">
        <v>45343</v>
      </c>
      <c r="C41" s="37" t="s">
        <v>494</v>
      </c>
      <c r="D41" s="35"/>
      <c r="E41" s="39" t="s">
        <v>2356</v>
      </c>
      <c r="F41" s="36"/>
      <c r="G41" s="37"/>
      <c r="H41" s="40"/>
      <c r="I41" s="62" t="s">
        <v>2223</v>
      </c>
      <c r="J41" s="61">
        <v>2216439.5</v>
      </c>
      <c r="K41" s="41">
        <v>0</v>
      </c>
      <c r="L41" s="54">
        <v>0</v>
      </c>
      <c r="M41" s="54">
        <v>0</v>
      </c>
      <c r="N41" s="42">
        <v>100</v>
      </c>
      <c r="O41" s="43">
        <v>2216439.5</v>
      </c>
      <c r="P41" s="41"/>
      <c r="Q41" s="43">
        <v>2216439.5</v>
      </c>
      <c r="R41" s="41">
        <v>0</v>
      </c>
      <c r="S41" s="30">
        <v>0</v>
      </c>
      <c r="T41" s="30">
        <v>0</v>
      </c>
      <c r="U41" s="30" t="e">
        <v>#DIV/0!</v>
      </c>
      <c r="V41" s="41" t="e">
        <v>#DIV/0!</v>
      </c>
      <c r="W41" s="41" t="e">
        <v>#DIV/0!</v>
      </c>
      <c r="X41" s="41">
        <v>0</v>
      </c>
      <c r="Y41" s="41">
        <v>0</v>
      </c>
      <c r="Z41" s="41">
        <v>0</v>
      </c>
      <c r="AA41" s="41">
        <v>0</v>
      </c>
      <c r="AB41" s="41"/>
      <c r="AC41" s="41" t="e">
        <v>#DIV/0!</v>
      </c>
      <c r="AD41" s="41"/>
      <c r="AE41" s="41" t="e">
        <v>#DIV/0!</v>
      </c>
      <c r="AF41" s="41" t="e">
        <v>#DIV/0!</v>
      </c>
      <c r="AG41" s="41" t="e">
        <v>#DIV/0!</v>
      </c>
      <c r="AH41" s="36">
        <v>45397</v>
      </c>
      <c r="AI41" s="36"/>
      <c r="AJ41" s="36"/>
      <c r="AK41" s="36"/>
      <c r="AL41" s="36"/>
      <c r="AM41" s="46"/>
      <c r="AN41" s="40"/>
      <c r="AO41" s="40"/>
      <c r="AP41" s="40"/>
      <c r="AQ41" s="40"/>
      <c r="AR41" s="48"/>
      <c r="AS41" s="37"/>
      <c r="AT41" s="37"/>
      <c r="AU41" s="47"/>
      <c r="AV41" s="37"/>
      <c r="AW41" s="37">
        <v>10</v>
      </c>
      <c r="AX41" s="30">
        <v>221643.95</v>
      </c>
      <c r="AY41" s="40"/>
    </row>
    <row r="42" spans="1:51" ht="42" customHeight="1" x14ac:dyDescent="0.25">
      <c r="A42" s="59" t="s">
        <v>2366</v>
      </c>
      <c r="B42" s="60">
        <v>45344</v>
      </c>
      <c r="C42" s="40" t="s">
        <v>2060</v>
      </c>
      <c r="D42" s="37" t="s">
        <v>431</v>
      </c>
      <c r="E42" s="39" t="s">
        <v>2367</v>
      </c>
      <c r="F42" s="37" t="s">
        <v>431</v>
      </c>
      <c r="G42" s="37" t="s">
        <v>431</v>
      </c>
      <c r="H42" s="37" t="s">
        <v>431</v>
      </c>
      <c r="I42" s="62" t="s">
        <v>2368</v>
      </c>
      <c r="J42" s="61">
        <v>256453.29</v>
      </c>
      <c r="K42" s="41">
        <v>0</v>
      </c>
      <c r="L42" s="54">
        <v>0</v>
      </c>
      <c r="M42" s="54">
        <v>0</v>
      </c>
      <c r="N42" s="42">
        <v>100</v>
      </c>
      <c r="O42" s="43">
        <v>256453.29</v>
      </c>
      <c r="P42" s="41"/>
      <c r="Q42" s="43">
        <v>256453.29</v>
      </c>
      <c r="R42" s="41">
        <v>0</v>
      </c>
      <c r="S42" s="30">
        <v>0</v>
      </c>
      <c r="T42" s="30">
        <v>0</v>
      </c>
      <c r="U42" s="30" t="e">
        <v>#DIV/0!</v>
      </c>
      <c r="V42" s="41" t="e">
        <v>#DIV/0!</v>
      </c>
      <c r="W42" s="41" t="e">
        <v>#DIV/0!</v>
      </c>
      <c r="X42" s="41">
        <v>0</v>
      </c>
      <c r="Y42" s="41">
        <v>0</v>
      </c>
      <c r="Z42" s="41">
        <v>0</v>
      </c>
      <c r="AA42" s="41">
        <v>0</v>
      </c>
      <c r="AB42" s="41"/>
      <c r="AC42" s="41" t="e">
        <v>#DIV/0!</v>
      </c>
      <c r="AD42" s="41"/>
      <c r="AE42" s="41" t="e">
        <v>#DIV/0!</v>
      </c>
      <c r="AF42" s="41" t="e">
        <v>#DIV/0!</v>
      </c>
      <c r="AG42" s="41" t="e">
        <v>#DIV/0!</v>
      </c>
      <c r="AH42" s="36">
        <v>45413</v>
      </c>
      <c r="AI42" s="36"/>
      <c r="AJ42" s="36"/>
      <c r="AK42" s="36"/>
      <c r="AL42" s="36"/>
      <c r="AM42" s="46"/>
      <c r="AN42" s="40"/>
      <c r="AO42" s="40"/>
      <c r="AP42" s="40"/>
      <c r="AQ42" s="40"/>
      <c r="AR42" s="48"/>
      <c r="AS42" s="37"/>
      <c r="AT42" s="37"/>
      <c r="AU42" s="47"/>
      <c r="AV42" s="37"/>
      <c r="AW42" s="37">
        <v>10</v>
      </c>
      <c r="AX42" s="30">
        <v>25645.328999999998</v>
      </c>
      <c r="AY42" s="40" t="s">
        <v>431</v>
      </c>
    </row>
    <row r="43" spans="1:51" ht="42" customHeight="1" x14ac:dyDescent="0.25">
      <c r="A43" s="59" t="s">
        <v>2377</v>
      </c>
      <c r="B43" s="60">
        <v>45344</v>
      </c>
      <c r="C43" s="37" t="s">
        <v>494</v>
      </c>
      <c r="D43" s="35"/>
      <c r="E43" s="39" t="s">
        <v>2378</v>
      </c>
      <c r="F43" s="36"/>
      <c r="G43" s="37"/>
      <c r="H43" s="40"/>
      <c r="I43" s="62" t="s">
        <v>2379</v>
      </c>
      <c r="J43" s="61">
        <v>6269270.1299999999</v>
      </c>
      <c r="K43" s="41">
        <v>0</v>
      </c>
      <c r="L43" s="54">
        <v>0</v>
      </c>
      <c r="M43" s="54">
        <v>0</v>
      </c>
      <c r="N43" s="42">
        <v>100</v>
      </c>
      <c r="O43" s="43">
        <v>6269270.1299999999</v>
      </c>
      <c r="P43" s="41"/>
      <c r="Q43" s="43">
        <v>6269270.1299999999</v>
      </c>
      <c r="R43" s="41">
        <v>0</v>
      </c>
      <c r="S43" s="30">
        <v>0</v>
      </c>
      <c r="T43" s="30">
        <v>0</v>
      </c>
      <c r="U43" s="30" t="e">
        <v>#DIV/0!</v>
      </c>
      <c r="V43" s="41" t="e">
        <v>#DIV/0!</v>
      </c>
      <c r="W43" s="41" t="e">
        <v>#DIV/0!</v>
      </c>
      <c r="X43" s="41">
        <v>0</v>
      </c>
      <c r="Y43" s="41">
        <v>0</v>
      </c>
      <c r="Z43" s="41">
        <v>0</v>
      </c>
      <c r="AA43" s="41">
        <v>0</v>
      </c>
      <c r="AB43" s="41"/>
      <c r="AC43" s="41" t="e">
        <v>#DIV/0!</v>
      </c>
      <c r="AD43" s="41"/>
      <c r="AE43" s="41" t="e">
        <v>#DIV/0!</v>
      </c>
      <c r="AF43" s="41" t="e">
        <v>#DIV/0!</v>
      </c>
      <c r="AG43" s="41" t="e">
        <v>#DIV/0!</v>
      </c>
      <c r="AH43" s="36">
        <v>45413</v>
      </c>
      <c r="AI43" s="36"/>
      <c r="AJ43" s="36"/>
      <c r="AK43" s="36"/>
      <c r="AL43" s="36"/>
      <c r="AM43" s="46"/>
      <c r="AN43" s="40"/>
      <c r="AO43" s="40"/>
      <c r="AP43" s="40"/>
      <c r="AQ43" s="40"/>
      <c r="AR43" s="48"/>
      <c r="AS43" s="37"/>
      <c r="AT43" s="37"/>
      <c r="AU43" s="47"/>
      <c r="AV43" s="37"/>
      <c r="AW43" s="37">
        <v>10</v>
      </c>
      <c r="AX43" s="30">
        <v>626927.01299999992</v>
      </c>
      <c r="AY43" s="40"/>
    </row>
    <row r="44" spans="1:51" ht="42" customHeight="1" x14ac:dyDescent="0.25">
      <c r="A44" s="59" t="s">
        <v>2383</v>
      </c>
      <c r="B44" s="60">
        <v>45344</v>
      </c>
      <c r="C44" s="37" t="s">
        <v>494</v>
      </c>
      <c r="D44" s="37" t="s">
        <v>431</v>
      </c>
      <c r="E44" s="39" t="s">
        <v>2384</v>
      </c>
      <c r="F44" s="37" t="s">
        <v>431</v>
      </c>
      <c r="G44" s="37" t="s">
        <v>431</v>
      </c>
      <c r="H44" s="37" t="s">
        <v>431</v>
      </c>
      <c r="I44" s="62" t="s">
        <v>2385</v>
      </c>
      <c r="J44" s="61">
        <v>9144960</v>
      </c>
      <c r="K44" s="41">
        <v>0</v>
      </c>
      <c r="L44" s="54">
        <v>0</v>
      </c>
      <c r="M44" s="54">
        <v>0</v>
      </c>
      <c r="N44" s="42">
        <v>100</v>
      </c>
      <c r="O44" s="43">
        <v>9144960</v>
      </c>
      <c r="P44" s="41"/>
      <c r="Q44" s="43">
        <v>9144960</v>
      </c>
      <c r="R44" s="41">
        <v>0</v>
      </c>
      <c r="S44" s="30">
        <v>0</v>
      </c>
      <c r="T44" s="30">
        <v>0</v>
      </c>
      <c r="U44" s="30" t="e">
        <v>#DIV/0!</v>
      </c>
      <c r="V44" s="41" t="e">
        <v>#DIV/0!</v>
      </c>
      <c r="W44" s="41" t="e">
        <v>#DIV/0!</v>
      </c>
      <c r="X44" s="41">
        <v>0</v>
      </c>
      <c r="Y44" s="41">
        <v>0</v>
      </c>
      <c r="Z44" s="41">
        <v>0</v>
      </c>
      <c r="AA44" s="41">
        <v>0</v>
      </c>
      <c r="AB44" s="41"/>
      <c r="AC44" s="41" t="e">
        <v>#DIV/0!</v>
      </c>
      <c r="AD44" s="41"/>
      <c r="AE44" s="41" t="e">
        <v>#DIV/0!</v>
      </c>
      <c r="AF44" s="41" t="e">
        <v>#DIV/0!</v>
      </c>
      <c r="AG44" s="41" t="e">
        <v>#DIV/0!</v>
      </c>
      <c r="AH44" s="36">
        <v>45397</v>
      </c>
      <c r="AI44" s="36"/>
      <c r="AJ44" s="36"/>
      <c r="AK44" s="36"/>
      <c r="AL44" s="36"/>
      <c r="AM44" s="46"/>
      <c r="AN44" s="40"/>
      <c r="AO44" s="40"/>
      <c r="AP44" s="40"/>
      <c r="AQ44" s="40"/>
      <c r="AR44" s="48"/>
      <c r="AS44" s="37"/>
      <c r="AT44" s="37"/>
      <c r="AU44" s="47"/>
      <c r="AV44" s="37"/>
      <c r="AW44" s="37">
        <v>10</v>
      </c>
      <c r="AX44" s="30">
        <v>914496</v>
      </c>
      <c r="AY44" s="40" t="s">
        <v>431</v>
      </c>
    </row>
    <row r="45" spans="1:51" ht="42" customHeight="1" x14ac:dyDescent="0.25">
      <c r="A45" s="59" t="s">
        <v>2388</v>
      </c>
      <c r="B45" s="60">
        <v>45344</v>
      </c>
      <c r="C45" s="40" t="s">
        <v>2060</v>
      </c>
      <c r="D45" s="37" t="s">
        <v>431</v>
      </c>
      <c r="E45" s="39" t="s">
        <v>2389</v>
      </c>
      <c r="F45" s="37" t="s">
        <v>431</v>
      </c>
      <c r="G45" s="37" t="s">
        <v>431</v>
      </c>
      <c r="H45" s="37" t="s">
        <v>431</v>
      </c>
      <c r="I45" s="62" t="s">
        <v>2390</v>
      </c>
      <c r="J45" s="61">
        <v>9525545.0999999996</v>
      </c>
      <c r="K45" s="41">
        <v>0</v>
      </c>
      <c r="L45" s="54">
        <v>0</v>
      </c>
      <c r="M45" s="54">
        <v>0</v>
      </c>
      <c r="N45" s="42">
        <v>100</v>
      </c>
      <c r="O45" s="43">
        <v>9525545.0999999996</v>
      </c>
      <c r="P45" s="41"/>
      <c r="Q45" s="43">
        <v>9525545.0999999996</v>
      </c>
      <c r="R45" s="41">
        <v>0</v>
      </c>
      <c r="S45" s="30">
        <v>0</v>
      </c>
      <c r="T45" s="30">
        <v>0</v>
      </c>
      <c r="U45" s="30" t="e">
        <v>#DIV/0!</v>
      </c>
      <c r="V45" s="41" t="e">
        <v>#DIV/0!</v>
      </c>
      <c r="W45" s="41" t="e">
        <v>#DIV/0!</v>
      </c>
      <c r="X45" s="41">
        <v>0</v>
      </c>
      <c r="Y45" s="41">
        <v>0</v>
      </c>
      <c r="Z45" s="41">
        <v>0</v>
      </c>
      <c r="AA45" s="41">
        <v>0</v>
      </c>
      <c r="AB45" s="41"/>
      <c r="AC45" s="41" t="e">
        <v>#DIV/0!</v>
      </c>
      <c r="AD45" s="41"/>
      <c r="AE45" s="41" t="e">
        <v>#DIV/0!</v>
      </c>
      <c r="AF45" s="41" t="e">
        <v>#DIV/0!</v>
      </c>
      <c r="AG45" s="41" t="e">
        <v>#DIV/0!</v>
      </c>
      <c r="AH45" s="36">
        <v>45397</v>
      </c>
      <c r="AI45" s="36"/>
      <c r="AJ45" s="36"/>
      <c r="AK45" s="36"/>
      <c r="AL45" s="36"/>
      <c r="AM45" s="46"/>
      <c r="AN45" s="40"/>
      <c r="AO45" s="40"/>
      <c r="AP45" s="40"/>
      <c r="AQ45" s="40"/>
      <c r="AR45" s="48"/>
      <c r="AS45" s="37"/>
      <c r="AT45" s="37"/>
      <c r="AU45" s="47"/>
      <c r="AV45" s="37"/>
      <c r="AW45" s="37">
        <v>10</v>
      </c>
      <c r="AX45" s="30">
        <v>952554.51</v>
      </c>
      <c r="AY45" s="40" t="s">
        <v>431</v>
      </c>
    </row>
    <row r="46" spans="1:51" ht="42" customHeight="1" x14ac:dyDescent="0.25">
      <c r="A46" s="59" t="s">
        <v>2397</v>
      </c>
      <c r="B46" s="60">
        <v>45344</v>
      </c>
      <c r="C46" s="37" t="s">
        <v>494</v>
      </c>
      <c r="D46" s="35"/>
      <c r="E46" s="39" t="s">
        <v>2398</v>
      </c>
      <c r="F46" s="36"/>
      <c r="G46" s="37"/>
      <c r="H46" s="40"/>
      <c r="I46" s="62" t="s">
        <v>2390</v>
      </c>
      <c r="J46" s="61">
        <v>145567236.30000001</v>
      </c>
      <c r="K46" s="41">
        <v>0</v>
      </c>
      <c r="L46" s="54">
        <v>0</v>
      </c>
      <c r="M46" s="54">
        <v>0</v>
      </c>
      <c r="N46" s="42">
        <v>100</v>
      </c>
      <c r="O46" s="43">
        <v>145567236.30000001</v>
      </c>
      <c r="P46" s="41"/>
      <c r="Q46" s="43">
        <v>145567236.30000001</v>
      </c>
      <c r="R46" s="41">
        <v>0</v>
      </c>
      <c r="S46" s="30">
        <v>0</v>
      </c>
      <c r="T46" s="30">
        <v>0</v>
      </c>
      <c r="U46" s="30" t="e">
        <v>#DIV/0!</v>
      </c>
      <c r="V46" s="41" t="e">
        <v>#DIV/0!</v>
      </c>
      <c r="W46" s="41" t="e">
        <v>#DIV/0!</v>
      </c>
      <c r="X46" s="41">
        <v>0</v>
      </c>
      <c r="Y46" s="41">
        <v>0</v>
      </c>
      <c r="Z46" s="41">
        <v>0</v>
      </c>
      <c r="AA46" s="41">
        <v>0</v>
      </c>
      <c r="AB46" s="41"/>
      <c r="AC46" s="41" t="e">
        <v>#DIV/0!</v>
      </c>
      <c r="AD46" s="41"/>
      <c r="AE46" s="41" t="e">
        <v>#DIV/0!</v>
      </c>
      <c r="AF46" s="41" t="e">
        <v>#DIV/0!</v>
      </c>
      <c r="AG46" s="41" t="e">
        <v>#DIV/0!</v>
      </c>
      <c r="AH46" s="36">
        <v>45397</v>
      </c>
      <c r="AI46" s="36"/>
      <c r="AJ46" s="36"/>
      <c r="AK46" s="36"/>
      <c r="AL46" s="36"/>
      <c r="AM46" s="46"/>
      <c r="AN46" s="40"/>
      <c r="AO46" s="40"/>
      <c r="AP46" s="40"/>
      <c r="AQ46" s="40"/>
      <c r="AR46" s="48"/>
      <c r="AS46" s="37"/>
      <c r="AT46" s="37"/>
      <c r="AU46" s="47"/>
      <c r="AV46" s="37"/>
      <c r="AW46" s="37">
        <v>10</v>
      </c>
      <c r="AX46" s="30">
        <v>14556723.630000001</v>
      </c>
      <c r="AY46" s="40"/>
    </row>
    <row r="47" spans="1:51" ht="42" customHeight="1" x14ac:dyDescent="0.25">
      <c r="A47" s="59" t="s">
        <v>2402</v>
      </c>
      <c r="B47" s="60">
        <v>45348</v>
      </c>
      <c r="C47" s="37" t="s">
        <v>2060</v>
      </c>
      <c r="D47" s="35"/>
      <c r="E47" s="39" t="s">
        <v>2403</v>
      </c>
      <c r="F47" s="36">
        <v>45358</v>
      </c>
      <c r="G47" s="37" t="s">
        <v>2404</v>
      </c>
      <c r="H47" s="40" t="s">
        <v>2066</v>
      </c>
      <c r="I47" s="62" t="s">
        <v>2405</v>
      </c>
      <c r="J47" s="61">
        <v>820080</v>
      </c>
      <c r="K47" s="41">
        <v>0</v>
      </c>
      <c r="L47" s="54">
        <v>0</v>
      </c>
      <c r="M47" s="54">
        <v>0</v>
      </c>
      <c r="N47" s="42">
        <v>25.555555555555554</v>
      </c>
      <c r="O47" s="43">
        <v>209576</v>
      </c>
      <c r="P47" s="41">
        <v>610504</v>
      </c>
      <c r="Q47" s="43">
        <v>209576</v>
      </c>
      <c r="R47" s="41">
        <v>610504</v>
      </c>
      <c r="S47" s="30">
        <v>610504</v>
      </c>
      <c r="T47" s="30">
        <v>610504</v>
      </c>
      <c r="U47" s="30">
        <v>134</v>
      </c>
      <c r="V47" s="41">
        <v>134</v>
      </c>
      <c r="W47" s="41" t="e">
        <v>#VALUE!</v>
      </c>
      <c r="X47" s="41">
        <v>4556</v>
      </c>
      <c r="Y47" s="41">
        <v>4556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 t="e">
        <v>#VALUE!</v>
      </c>
      <c r="AG47" s="41" t="e">
        <v>#VALUE!</v>
      </c>
      <c r="AH47" s="36">
        <v>45413</v>
      </c>
      <c r="AI47" s="36"/>
      <c r="AJ47" s="36"/>
      <c r="AK47" s="36">
        <v>45444</v>
      </c>
      <c r="AL47" s="36"/>
      <c r="AM47" s="46"/>
      <c r="AN47" s="40" t="s">
        <v>2406</v>
      </c>
      <c r="AO47" s="40" t="s">
        <v>2407</v>
      </c>
      <c r="AP47" s="40" t="s">
        <v>2408</v>
      </c>
      <c r="AQ47" s="40" t="s">
        <v>80</v>
      </c>
      <c r="AR47" s="48">
        <v>100</v>
      </c>
      <c r="AS47" s="37">
        <v>0</v>
      </c>
      <c r="AT47" s="37" t="s">
        <v>343</v>
      </c>
      <c r="AU47" s="51" t="s">
        <v>2409</v>
      </c>
      <c r="AV47" s="37" t="s">
        <v>219</v>
      </c>
      <c r="AW47" s="37">
        <v>10</v>
      </c>
      <c r="AX47" s="30">
        <v>82008</v>
      </c>
      <c r="AY47" s="40" t="s">
        <v>402</v>
      </c>
    </row>
    <row r="48" spans="1:51" ht="42" customHeight="1" x14ac:dyDescent="0.25">
      <c r="A48" s="59" t="s">
        <v>2410</v>
      </c>
      <c r="B48" s="60">
        <v>45348</v>
      </c>
      <c r="C48" s="37" t="s">
        <v>494</v>
      </c>
      <c r="D48" s="35"/>
      <c r="E48" s="39" t="s">
        <v>2411</v>
      </c>
      <c r="F48" s="36"/>
      <c r="G48" s="37"/>
      <c r="H48" s="40"/>
      <c r="I48" s="62" t="s">
        <v>2412</v>
      </c>
      <c r="J48" s="61">
        <v>1289346.3</v>
      </c>
      <c r="K48" s="41">
        <v>0</v>
      </c>
      <c r="L48" s="54">
        <v>0</v>
      </c>
      <c r="M48" s="54">
        <v>0</v>
      </c>
      <c r="N48" s="42">
        <v>100</v>
      </c>
      <c r="O48" s="43">
        <v>1289346.3</v>
      </c>
      <c r="P48" s="41"/>
      <c r="Q48" s="43">
        <v>1289346.3</v>
      </c>
      <c r="R48" s="41">
        <v>0</v>
      </c>
      <c r="S48" s="30">
        <v>0</v>
      </c>
      <c r="T48" s="30">
        <v>0</v>
      </c>
      <c r="U48" s="30" t="e">
        <v>#DIV/0!</v>
      </c>
      <c r="V48" s="41" t="e">
        <v>#DIV/0!</v>
      </c>
      <c r="W48" s="41" t="e">
        <v>#DIV/0!</v>
      </c>
      <c r="X48" s="41">
        <v>0</v>
      </c>
      <c r="Y48" s="41">
        <v>0</v>
      </c>
      <c r="Z48" s="41">
        <v>0</v>
      </c>
      <c r="AA48" s="41">
        <v>0</v>
      </c>
      <c r="AB48" s="41"/>
      <c r="AC48" s="41" t="e">
        <v>#DIV/0!</v>
      </c>
      <c r="AD48" s="41"/>
      <c r="AE48" s="41" t="e">
        <v>#DIV/0!</v>
      </c>
      <c r="AF48" s="41" t="e">
        <v>#DIV/0!</v>
      </c>
      <c r="AG48" s="41" t="e">
        <v>#DIV/0!</v>
      </c>
      <c r="AH48" s="36">
        <v>45413</v>
      </c>
      <c r="AI48" s="36"/>
      <c r="AJ48" s="36"/>
      <c r="AK48" s="36"/>
      <c r="AL48" s="36"/>
      <c r="AM48" s="46"/>
      <c r="AN48" s="40"/>
      <c r="AO48" s="40"/>
      <c r="AP48" s="40"/>
      <c r="AQ48" s="40"/>
      <c r="AR48" s="48"/>
      <c r="AS48" s="37"/>
      <c r="AT48" s="37"/>
      <c r="AU48" s="47"/>
      <c r="AV48" s="37"/>
      <c r="AW48" s="37">
        <v>10</v>
      </c>
      <c r="AX48" s="30">
        <v>128934.63</v>
      </c>
      <c r="AY48" s="40"/>
    </row>
    <row r="49" spans="1:51" ht="42" customHeight="1" x14ac:dyDescent="0.25">
      <c r="A49" s="59" t="s">
        <v>2422</v>
      </c>
      <c r="B49" s="60">
        <v>45348</v>
      </c>
      <c r="C49" s="37" t="s">
        <v>2060</v>
      </c>
      <c r="D49" s="35"/>
      <c r="E49" s="39" t="s">
        <v>2423</v>
      </c>
      <c r="F49" s="36"/>
      <c r="G49" s="37"/>
      <c r="H49" s="40"/>
      <c r="I49" s="62" t="s">
        <v>2424</v>
      </c>
      <c r="J49" s="61">
        <v>20767.32</v>
      </c>
      <c r="K49" s="41">
        <v>0</v>
      </c>
      <c r="L49" s="54">
        <v>0</v>
      </c>
      <c r="M49" s="54">
        <v>0</v>
      </c>
      <c r="N49" s="42">
        <v>100</v>
      </c>
      <c r="O49" s="43">
        <v>20767.32</v>
      </c>
      <c r="P49" s="41"/>
      <c r="Q49" s="43">
        <v>20767.32</v>
      </c>
      <c r="R49" s="41">
        <v>0</v>
      </c>
      <c r="S49" s="30">
        <v>0</v>
      </c>
      <c r="T49" s="30">
        <v>0</v>
      </c>
      <c r="U49" s="30" t="e">
        <v>#DIV/0!</v>
      </c>
      <c r="V49" s="41" t="e">
        <v>#DIV/0!</v>
      </c>
      <c r="W49" s="41" t="e">
        <v>#DIV/0!</v>
      </c>
      <c r="X49" s="41">
        <v>0</v>
      </c>
      <c r="Y49" s="41">
        <v>0</v>
      </c>
      <c r="Z49" s="41">
        <v>0</v>
      </c>
      <c r="AA49" s="41">
        <v>0</v>
      </c>
      <c r="AB49" s="41"/>
      <c r="AC49" s="41" t="e">
        <v>#DIV/0!</v>
      </c>
      <c r="AD49" s="41"/>
      <c r="AE49" s="41" t="e">
        <v>#DIV/0!</v>
      </c>
      <c r="AF49" s="41" t="e">
        <v>#DIV/0!</v>
      </c>
      <c r="AG49" s="41" t="e">
        <v>#DIV/0!</v>
      </c>
      <c r="AH49" s="36">
        <v>45413</v>
      </c>
      <c r="AI49" s="36"/>
      <c r="AJ49" s="36"/>
      <c r="AK49" s="36"/>
      <c r="AL49" s="36"/>
      <c r="AM49" s="46"/>
      <c r="AN49" s="40"/>
      <c r="AO49" s="40"/>
      <c r="AP49" s="40"/>
      <c r="AQ49" s="40"/>
      <c r="AR49" s="48"/>
      <c r="AS49" s="37"/>
      <c r="AT49" s="37"/>
      <c r="AU49" s="47"/>
      <c r="AV49" s="37"/>
      <c r="AW49" s="37">
        <v>10</v>
      </c>
      <c r="AX49" s="30">
        <v>2076.732</v>
      </c>
      <c r="AY49" s="40"/>
    </row>
    <row r="50" spans="1:51" x14ac:dyDescent="0.25">
      <c r="AE50" s="41">
        <f t="shared" ref="AE3:AE66" si="0">AD50*V50</f>
        <v>0</v>
      </c>
    </row>
    <row r="51" spans="1:51" x14ac:dyDescent="0.25">
      <c r="AE51" s="41">
        <f t="shared" si="0"/>
        <v>0</v>
      </c>
    </row>
    <row r="52" spans="1:51" x14ac:dyDescent="0.25">
      <c r="AE52" s="41">
        <f t="shared" si="0"/>
        <v>0</v>
      </c>
    </row>
    <row r="53" spans="1:51" x14ac:dyDescent="0.25">
      <c r="AE53" s="41">
        <f t="shared" si="0"/>
        <v>0</v>
      </c>
    </row>
    <row r="54" spans="1:51" x14ac:dyDescent="0.25">
      <c r="AE54" s="41">
        <f t="shared" si="0"/>
        <v>0</v>
      </c>
    </row>
    <row r="55" spans="1:51" x14ac:dyDescent="0.25">
      <c r="AE55" s="41">
        <f t="shared" si="0"/>
        <v>0</v>
      </c>
    </row>
    <row r="56" spans="1:51" x14ac:dyDescent="0.25">
      <c r="AE56" s="41">
        <f t="shared" si="0"/>
        <v>0</v>
      </c>
    </row>
    <row r="57" spans="1:51" x14ac:dyDescent="0.25">
      <c r="AE57" s="41">
        <f t="shared" si="0"/>
        <v>0</v>
      </c>
    </row>
    <row r="58" spans="1:51" x14ac:dyDescent="0.25">
      <c r="AE58" s="41">
        <f t="shared" si="0"/>
        <v>0</v>
      </c>
    </row>
    <row r="59" spans="1:51" x14ac:dyDescent="0.25">
      <c r="AE59" s="41">
        <f t="shared" si="0"/>
        <v>0</v>
      </c>
    </row>
    <row r="60" spans="1:51" x14ac:dyDescent="0.25">
      <c r="AE60" s="41">
        <f t="shared" si="0"/>
        <v>0</v>
      </c>
    </row>
    <row r="61" spans="1:51" x14ac:dyDescent="0.25">
      <c r="AE61" s="41">
        <f t="shared" si="0"/>
        <v>0</v>
      </c>
    </row>
    <row r="62" spans="1:51" x14ac:dyDescent="0.25">
      <c r="AE62" s="41">
        <f t="shared" si="0"/>
        <v>0</v>
      </c>
    </row>
    <row r="63" spans="1:51" x14ac:dyDescent="0.25">
      <c r="AE63" s="41">
        <f t="shared" si="0"/>
        <v>0</v>
      </c>
    </row>
    <row r="64" spans="1:51" x14ac:dyDescent="0.25">
      <c r="AE64" s="41">
        <f t="shared" si="0"/>
        <v>0</v>
      </c>
    </row>
    <row r="65" spans="31:31" x14ac:dyDescent="0.25">
      <c r="AE65" s="41">
        <f t="shared" si="0"/>
        <v>0</v>
      </c>
    </row>
    <row r="66" spans="31:31" x14ac:dyDescent="0.25">
      <c r="AE66" s="41">
        <f t="shared" si="0"/>
        <v>0</v>
      </c>
    </row>
    <row r="67" spans="31:31" x14ac:dyDescent="0.25">
      <c r="AE67" s="41">
        <f t="shared" ref="AE67:AE104" si="1">AD67*V67</f>
        <v>0</v>
      </c>
    </row>
    <row r="68" spans="31:31" x14ac:dyDescent="0.25">
      <c r="AE68" s="41">
        <f t="shared" si="1"/>
        <v>0</v>
      </c>
    </row>
    <row r="69" spans="31:31" x14ac:dyDescent="0.25">
      <c r="AE69" s="41">
        <f t="shared" si="1"/>
        <v>0</v>
      </c>
    </row>
    <row r="70" spans="31:31" x14ac:dyDescent="0.25">
      <c r="AE70" s="41">
        <f t="shared" si="1"/>
        <v>0</v>
      </c>
    </row>
    <row r="71" spans="31:31" x14ac:dyDescent="0.25">
      <c r="AE71" s="41">
        <f t="shared" si="1"/>
        <v>0</v>
      </c>
    </row>
    <row r="72" spans="31:31" x14ac:dyDescent="0.25">
      <c r="AE72" s="41">
        <f t="shared" si="1"/>
        <v>0</v>
      </c>
    </row>
    <row r="73" spans="31:31" x14ac:dyDescent="0.25">
      <c r="AE73" s="41">
        <f t="shared" si="1"/>
        <v>0</v>
      </c>
    </row>
    <row r="74" spans="31:31" x14ac:dyDescent="0.25">
      <c r="AE74" s="41">
        <f t="shared" si="1"/>
        <v>0</v>
      </c>
    </row>
    <row r="75" spans="31:31" x14ac:dyDescent="0.25">
      <c r="AE75" s="41">
        <f t="shared" si="1"/>
        <v>0</v>
      </c>
    </row>
    <row r="76" spans="31:31" x14ac:dyDescent="0.25">
      <c r="AE76" s="41">
        <f t="shared" si="1"/>
        <v>0</v>
      </c>
    </row>
    <row r="77" spans="31:31" x14ac:dyDescent="0.25">
      <c r="AE77" s="41">
        <f t="shared" si="1"/>
        <v>0</v>
      </c>
    </row>
    <row r="78" spans="31:31" x14ac:dyDescent="0.25">
      <c r="AE78" s="41">
        <f t="shared" si="1"/>
        <v>0</v>
      </c>
    </row>
    <row r="79" spans="31:31" x14ac:dyDescent="0.25">
      <c r="AE79" s="41">
        <f t="shared" si="1"/>
        <v>0</v>
      </c>
    </row>
    <row r="80" spans="31:31" x14ac:dyDescent="0.25">
      <c r="AE80" s="41">
        <f t="shared" si="1"/>
        <v>0</v>
      </c>
    </row>
    <row r="81" spans="31:31" x14ac:dyDescent="0.25">
      <c r="AE81" s="41">
        <f t="shared" si="1"/>
        <v>0</v>
      </c>
    </row>
    <row r="82" spans="31:31" x14ac:dyDescent="0.25">
      <c r="AE82" s="41">
        <f t="shared" si="1"/>
        <v>0</v>
      </c>
    </row>
    <row r="83" spans="31:31" x14ac:dyDescent="0.25">
      <c r="AE83" s="41">
        <f t="shared" si="1"/>
        <v>0</v>
      </c>
    </row>
    <row r="84" spans="31:31" x14ac:dyDescent="0.25">
      <c r="AE84" s="41">
        <f t="shared" si="1"/>
        <v>0</v>
      </c>
    </row>
    <row r="85" spans="31:31" x14ac:dyDescent="0.25">
      <c r="AE85" s="41">
        <f t="shared" si="1"/>
        <v>0</v>
      </c>
    </row>
    <row r="86" spans="31:31" x14ac:dyDescent="0.25">
      <c r="AE86" s="41">
        <f t="shared" si="1"/>
        <v>0</v>
      </c>
    </row>
    <row r="87" spans="31:31" x14ac:dyDescent="0.25">
      <c r="AE87" s="41">
        <f t="shared" si="1"/>
        <v>0</v>
      </c>
    </row>
    <row r="88" spans="31:31" x14ac:dyDescent="0.25">
      <c r="AE88" s="41">
        <f t="shared" si="1"/>
        <v>0</v>
      </c>
    </row>
    <row r="89" spans="31:31" x14ac:dyDescent="0.25">
      <c r="AE89" s="41">
        <f t="shared" si="1"/>
        <v>0</v>
      </c>
    </row>
    <row r="90" spans="31:31" x14ac:dyDescent="0.25">
      <c r="AE90" s="41">
        <f t="shared" si="1"/>
        <v>0</v>
      </c>
    </row>
    <row r="91" spans="31:31" x14ac:dyDescent="0.25">
      <c r="AE91" s="41">
        <f t="shared" si="1"/>
        <v>0</v>
      </c>
    </row>
    <row r="92" spans="31:31" x14ac:dyDescent="0.25">
      <c r="AE92" s="41">
        <f t="shared" si="1"/>
        <v>0</v>
      </c>
    </row>
    <row r="93" spans="31:31" x14ac:dyDescent="0.25">
      <c r="AE93" s="41">
        <f t="shared" si="1"/>
        <v>0</v>
      </c>
    </row>
    <row r="94" spans="31:31" x14ac:dyDescent="0.25">
      <c r="AE94" s="41">
        <f t="shared" si="1"/>
        <v>0</v>
      </c>
    </row>
    <row r="95" spans="31:31" x14ac:dyDescent="0.25">
      <c r="AE95" s="41">
        <f t="shared" si="1"/>
        <v>0</v>
      </c>
    </row>
    <row r="96" spans="31:31" x14ac:dyDescent="0.25">
      <c r="AE96" s="41">
        <f t="shared" si="1"/>
        <v>0</v>
      </c>
    </row>
  </sheetData>
  <autoFilter ref="A2:AY6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0D2CB734-9E68-4C65-94A5-E297DA0C1947}"/>
    <hyperlink ref="E4" r:id="rId2" xr:uid="{36EF121B-A153-448D-A986-6322C29472B8}"/>
    <hyperlink ref="E5" r:id="rId3" xr:uid="{826E4CC4-3EFB-4A36-AE4E-5E0C2C458060}"/>
    <hyperlink ref="E6" r:id="rId4" xr:uid="{9035EEF2-6AD6-4140-B9A9-26678F934AD9}"/>
    <hyperlink ref="E7" r:id="rId5" xr:uid="{7B7217BC-68D9-436A-979D-D65C5C867805}"/>
    <hyperlink ref="E8" r:id="rId6" xr:uid="{79309D1C-A24F-42BF-A230-A18A9BBF107E}"/>
    <hyperlink ref="E9" r:id="rId7" xr:uid="{22CCAC3F-8D8B-4FD8-B295-87506135C19D}"/>
    <hyperlink ref="E10" r:id="rId8" xr:uid="{92A8E57F-BDE2-45B0-9D8E-4BBFFB90A7A9}"/>
    <hyperlink ref="E11" r:id="rId9" xr:uid="{7B97E70E-25D2-40D8-8715-DE43FC9626CA}"/>
    <hyperlink ref="E12" r:id="rId10" xr:uid="{9E49DB44-0065-4E19-99C7-EA1AADC10905}"/>
    <hyperlink ref="E13" r:id="rId11" xr:uid="{8BBE8AD0-68CD-4B6E-8891-E6A4C0065F4C}"/>
    <hyperlink ref="E14" r:id="rId12" xr:uid="{969FEAC5-3D77-4B29-A0EE-9A43DE857282}"/>
    <hyperlink ref="E15" r:id="rId13" xr:uid="{F7C0B5EE-1259-4B34-9820-F3421A4508F1}"/>
    <hyperlink ref="E16" r:id="rId14" xr:uid="{06F9BC04-A4CA-4796-81A4-7A860FC8CFEB}"/>
    <hyperlink ref="E17" r:id="rId15" xr:uid="{7EED7149-BB3D-4EE6-953D-042137ED65B9}"/>
    <hyperlink ref="E18" r:id="rId16" xr:uid="{104816A7-66D9-4891-B1C0-468E86006960}"/>
    <hyperlink ref="E19" r:id="rId17" xr:uid="{E788090E-27CD-424A-9C53-6754D5762DB0}"/>
    <hyperlink ref="E20" r:id="rId18" xr:uid="{88F16C10-BBA8-4FA0-B0FC-B7975D1C2AAC}"/>
    <hyperlink ref="E21" r:id="rId19" xr:uid="{92298EC5-5E32-4795-9DC9-48F771DEDE16}"/>
    <hyperlink ref="E22" r:id="rId20" xr:uid="{7DD68750-FF4C-4D7F-8473-6A110128DAAF}"/>
    <hyperlink ref="E23" r:id="rId21" xr:uid="{360299E2-E309-4220-B143-A769B44643E3}"/>
    <hyperlink ref="E24" r:id="rId22" xr:uid="{B59FB84F-2B54-45AE-AB99-D9971097BD65}"/>
    <hyperlink ref="E25" r:id="rId23" xr:uid="{B826F7B9-861F-4966-9D81-BA3D4ED6A4F6}"/>
    <hyperlink ref="E26" r:id="rId24" xr:uid="{415A9A2E-75D1-420B-9060-244B13E5D9B2}"/>
    <hyperlink ref="E27" r:id="rId25" xr:uid="{0E0DD857-7595-4FFA-82B7-D556D3E48B22}"/>
    <hyperlink ref="E28" r:id="rId26" xr:uid="{B7EE77E6-9ADB-44BB-9BCF-E4BB7E66874F}"/>
    <hyperlink ref="E29" r:id="rId27" xr:uid="{6363CBF1-6D61-44CF-A6E9-43575A1CAD6E}"/>
    <hyperlink ref="E30" r:id="rId28" xr:uid="{50C505CA-9F59-43D8-B0E7-2773B171E291}"/>
    <hyperlink ref="E31" r:id="rId29" xr:uid="{DCBB91DB-7CF3-4DC7-A175-329438CB9ED9}"/>
    <hyperlink ref="E32" r:id="rId30" xr:uid="{5B52EDA8-9B64-48CB-A164-53624304F25B}"/>
    <hyperlink ref="E33" r:id="rId31" xr:uid="{66F66CDB-C623-4FC7-99B8-5C7229E5424E}"/>
    <hyperlink ref="E34" r:id="rId32" xr:uid="{320C636A-4A0E-4D0B-BF0A-B9B02CF18E08}"/>
    <hyperlink ref="E35" r:id="rId33" xr:uid="{BF2E9FF0-0F9F-48D4-9202-A433AA9C8F53}"/>
    <hyperlink ref="E36" r:id="rId34" xr:uid="{FF105465-B36F-4553-B84B-ED89FB587B17}"/>
    <hyperlink ref="E37" r:id="rId35" xr:uid="{227D19AF-9F7D-41F2-9943-845EB864AC96}"/>
    <hyperlink ref="E38" r:id="rId36" xr:uid="{15FD5710-CC72-486C-9826-C73D170E94C6}"/>
    <hyperlink ref="E39" r:id="rId37" xr:uid="{C96B10C7-2272-4C19-8BCE-4DA581C6BAC7}"/>
    <hyperlink ref="E40" r:id="rId38" xr:uid="{E063C3F1-F9D7-49E8-B690-D9BE7D170775}"/>
    <hyperlink ref="E41" r:id="rId39" xr:uid="{436B3F5C-BF91-44D5-895F-21F52821DC85}"/>
    <hyperlink ref="E42" r:id="rId40" xr:uid="{0D3287C9-D599-4C36-B127-D96EE0CC3D55}"/>
    <hyperlink ref="E43" r:id="rId41" xr:uid="{235EEF96-BBB9-45C1-BF13-5B7D63E9EC8F}"/>
    <hyperlink ref="E44" r:id="rId42" xr:uid="{92807C57-C4EC-4F0E-A453-EBD8B707DB7E}"/>
    <hyperlink ref="E45" r:id="rId43" xr:uid="{B2AE8BEF-1590-413C-99C8-627E9EE3567C}"/>
    <hyperlink ref="E46" r:id="rId44" xr:uid="{8DBE3D80-7BC5-45D9-BD3E-674CD5C9FE10}"/>
    <hyperlink ref="E47" r:id="rId45" xr:uid="{D4E3758E-6115-4AF2-9BE4-5FA38628679C}"/>
    <hyperlink ref="E48" r:id="rId46" xr:uid="{B8E375A5-0C1D-4311-960E-1C7CE2AFE9B1}"/>
    <hyperlink ref="E49" r:id="rId47" xr:uid="{E484D6DF-CBDF-4C9C-B496-8772E0825A8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187C-DF8D-4ACA-A377-B0D82FD7013B}">
  <dimension ref="A1:AY96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20" customWidth="1"/>
    <col min="2" max="2" width="15.140625" style="71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73" customWidth="1"/>
    <col min="7" max="7" width="33.42578125" style="49" customWidth="1"/>
    <col min="8" max="8" width="19.140625" style="72" customWidth="1"/>
    <col min="9" max="9" width="38.28515625" style="20" customWidth="1"/>
    <col min="10" max="13" width="22.140625" style="49" customWidth="1"/>
    <col min="14" max="14" width="19.140625" style="49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4" customWidth="1"/>
    <col min="26" max="26" width="15.5703125" style="20" customWidth="1"/>
    <col min="27" max="27" width="15.5703125" style="72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49" customWidth="1"/>
    <col min="37" max="37" width="14.85546875" style="49" customWidth="1"/>
    <col min="38" max="38" width="15.42578125" style="20" customWidth="1"/>
    <col min="39" max="39" width="14.85546875" style="74" customWidth="1"/>
    <col min="40" max="40" width="16.28515625" style="72" customWidth="1"/>
    <col min="41" max="41" width="30.42578125" style="72" customWidth="1"/>
    <col min="42" max="42" width="19" style="49" customWidth="1"/>
    <col min="43" max="43" width="16.28515625" style="49" customWidth="1"/>
    <col min="44" max="44" width="11" style="20" customWidth="1"/>
    <col min="45" max="45" width="14.7109375" style="50" customWidth="1"/>
    <col min="46" max="46" width="12.5703125" style="20" customWidth="1"/>
    <col min="47" max="47" width="13.85546875" style="72" customWidth="1"/>
    <col min="48" max="48" width="8.5703125" style="74" customWidth="1"/>
    <col min="49" max="49" width="7.7109375" style="74" customWidth="1"/>
    <col min="50" max="50" width="18.42578125" style="49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49.5" customHeight="1" x14ac:dyDescent="0.25">
      <c r="A3" s="44" t="s">
        <v>303</v>
      </c>
      <c r="B3" s="36">
        <v>45044</v>
      </c>
      <c r="C3" s="37">
        <v>1688</v>
      </c>
      <c r="D3" s="35" t="s">
        <v>304</v>
      </c>
      <c r="E3" s="39" t="s">
        <v>305</v>
      </c>
      <c r="F3" s="36">
        <v>45072</v>
      </c>
      <c r="G3" s="37" t="s">
        <v>306</v>
      </c>
      <c r="H3" s="40" t="s">
        <v>307</v>
      </c>
      <c r="I3" s="40" t="s">
        <v>308</v>
      </c>
      <c r="J3" s="41">
        <v>6205835185.9200001</v>
      </c>
      <c r="K3" s="41" t="s">
        <v>309</v>
      </c>
      <c r="L3" s="41" t="s">
        <v>309</v>
      </c>
      <c r="M3" s="41">
        <v>0</v>
      </c>
      <c r="N3" s="42">
        <v>0</v>
      </c>
      <c r="O3" s="43">
        <v>0</v>
      </c>
      <c r="P3" s="41">
        <v>6205835185.9200001</v>
      </c>
      <c r="Q3" s="43">
        <v>3102917592.96</v>
      </c>
      <c r="R3" s="41">
        <v>3102917592.96</v>
      </c>
      <c r="S3" s="30">
        <v>3102917592.96</v>
      </c>
      <c r="T3" s="30">
        <v>6205835185.9200001</v>
      </c>
      <c r="U3" s="30">
        <v>1137.6600000000001</v>
      </c>
      <c r="V3" s="41">
        <v>1137.6600000000001</v>
      </c>
      <c r="W3" s="41">
        <v>1137.6600000000001</v>
      </c>
      <c r="X3" s="41">
        <v>5454912</v>
      </c>
      <c r="Y3" s="41"/>
      <c r="Z3" s="41"/>
      <c r="AA3" s="41">
        <v>2727456</v>
      </c>
      <c r="AB3" s="41">
        <v>0</v>
      </c>
      <c r="AC3" s="41">
        <v>0</v>
      </c>
      <c r="AD3" s="41">
        <v>0</v>
      </c>
      <c r="AE3" s="41">
        <v>0</v>
      </c>
      <c r="AF3" s="41">
        <v>5454912</v>
      </c>
      <c r="AG3" s="41">
        <v>5454912</v>
      </c>
      <c r="AH3" s="36">
        <v>45107</v>
      </c>
      <c r="AI3" s="36">
        <v>45214</v>
      </c>
      <c r="AJ3" s="36">
        <v>45323</v>
      </c>
      <c r="AK3" s="36">
        <v>45122</v>
      </c>
      <c r="AL3" s="36">
        <v>45229</v>
      </c>
      <c r="AM3" s="46">
        <v>45352</v>
      </c>
      <c r="AN3" s="40" t="s">
        <v>310</v>
      </c>
      <c r="AO3" s="40" t="s">
        <v>311</v>
      </c>
      <c r="AP3" s="40" t="s">
        <v>312</v>
      </c>
      <c r="AQ3" s="40" t="s">
        <v>313</v>
      </c>
      <c r="AR3" s="48">
        <v>0</v>
      </c>
      <c r="AS3" s="37">
        <v>100</v>
      </c>
      <c r="AT3" s="37" t="s">
        <v>314</v>
      </c>
      <c r="AU3" s="47">
        <v>1</v>
      </c>
      <c r="AV3" s="37" t="s">
        <v>60</v>
      </c>
      <c r="AW3" s="37">
        <v>10</v>
      </c>
      <c r="AX3" s="30">
        <v>620583518.59200001</v>
      </c>
      <c r="AY3" s="40" t="s">
        <v>61</v>
      </c>
    </row>
    <row r="4" spans="1:51" ht="58.5" customHeight="1" x14ac:dyDescent="0.25">
      <c r="A4" s="44" t="s">
        <v>1439</v>
      </c>
      <c r="B4" s="46">
        <v>45289</v>
      </c>
      <c r="C4" s="40">
        <v>1688</v>
      </c>
      <c r="D4" s="35" t="s">
        <v>431</v>
      </c>
      <c r="E4" s="39" t="s">
        <v>1440</v>
      </c>
      <c r="F4" s="36" t="s">
        <v>431</v>
      </c>
      <c r="G4" s="37" t="s">
        <v>431</v>
      </c>
      <c r="H4" s="40" t="s">
        <v>431</v>
      </c>
      <c r="I4" s="40" t="s">
        <v>1441</v>
      </c>
      <c r="J4" s="54">
        <v>2263398</v>
      </c>
      <c r="K4" s="54">
        <v>2263398</v>
      </c>
      <c r="L4" s="54">
        <v>0</v>
      </c>
      <c r="M4" s="54">
        <v>0</v>
      </c>
      <c r="N4" s="42">
        <v>100</v>
      </c>
      <c r="O4" s="43">
        <v>2263398</v>
      </c>
      <c r="P4" s="41"/>
      <c r="Q4" s="43">
        <v>2263398</v>
      </c>
      <c r="R4" s="41">
        <v>0</v>
      </c>
      <c r="S4" s="30">
        <v>0</v>
      </c>
      <c r="T4" s="30">
        <v>0</v>
      </c>
      <c r="U4" s="30" t="e">
        <v>#DIV/0!</v>
      </c>
      <c r="V4" s="41" t="e">
        <v>#DIV/0!</v>
      </c>
      <c r="W4" s="41" t="e">
        <v>#DIV/0!</v>
      </c>
      <c r="X4" s="41">
        <v>0</v>
      </c>
      <c r="Y4" s="41">
        <v>0</v>
      </c>
      <c r="Z4" s="41">
        <v>0</v>
      </c>
      <c r="AA4" s="41">
        <v>0</v>
      </c>
      <c r="AB4" s="41"/>
      <c r="AC4" s="41" t="e">
        <v>#DIV/0!</v>
      </c>
      <c r="AD4" s="41"/>
      <c r="AE4" s="41" t="e">
        <v>#DIV/0!</v>
      </c>
      <c r="AF4" s="41" t="e">
        <v>#DIV/0!</v>
      </c>
      <c r="AG4" s="41" t="e">
        <v>#DIV/0!</v>
      </c>
      <c r="AH4" s="36">
        <v>45337</v>
      </c>
      <c r="AI4" s="36"/>
      <c r="AJ4" s="36"/>
      <c r="AK4" s="36"/>
      <c r="AL4" s="36"/>
      <c r="AM4" s="46"/>
      <c r="AN4" s="40"/>
      <c r="AO4" s="40"/>
      <c r="AP4" s="40"/>
      <c r="AQ4" s="40"/>
      <c r="AR4" s="48"/>
      <c r="AS4" s="37"/>
      <c r="AT4" s="37"/>
      <c r="AU4" s="47"/>
      <c r="AV4" s="37"/>
      <c r="AW4" s="37">
        <v>10</v>
      </c>
      <c r="AX4" s="30">
        <v>226339.8</v>
      </c>
      <c r="AY4" s="40" t="s">
        <v>431</v>
      </c>
    </row>
    <row r="5" spans="1:51" ht="58.5" customHeight="1" x14ac:dyDescent="0.25">
      <c r="A5" s="44" t="s">
        <v>1472</v>
      </c>
      <c r="B5" s="46">
        <v>45289</v>
      </c>
      <c r="C5" s="40">
        <v>1688</v>
      </c>
      <c r="D5" s="35" t="s">
        <v>431</v>
      </c>
      <c r="E5" s="39" t="s">
        <v>1473</v>
      </c>
      <c r="F5" s="36" t="s">
        <v>431</v>
      </c>
      <c r="G5" s="37" t="s">
        <v>431</v>
      </c>
      <c r="H5" s="40" t="s">
        <v>431</v>
      </c>
      <c r="I5" s="40" t="s">
        <v>1474</v>
      </c>
      <c r="J5" s="54">
        <v>18480709.800000001</v>
      </c>
      <c r="K5" s="54">
        <v>18480709.800000001</v>
      </c>
      <c r="L5" s="54">
        <v>0</v>
      </c>
      <c r="M5" s="54">
        <v>0</v>
      </c>
      <c r="N5" s="42">
        <v>100</v>
      </c>
      <c r="O5" s="43">
        <v>18480709.800000001</v>
      </c>
      <c r="P5" s="41"/>
      <c r="Q5" s="43">
        <v>18480709.800000001</v>
      </c>
      <c r="R5" s="41">
        <v>0</v>
      </c>
      <c r="S5" s="30">
        <v>0</v>
      </c>
      <c r="T5" s="30">
        <v>0</v>
      </c>
      <c r="U5" s="30" t="e">
        <v>#DIV/0!</v>
      </c>
      <c r="V5" s="41" t="e">
        <v>#DIV/0!</v>
      </c>
      <c r="W5" s="41" t="e">
        <v>#DIV/0!</v>
      </c>
      <c r="X5" s="41">
        <v>0</v>
      </c>
      <c r="Y5" s="41">
        <v>0</v>
      </c>
      <c r="Z5" s="41">
        <v>0</v>
      </c>
      <c r="AA5" s="41">
        <v>0</v>
      </c>
      <c r="AB5" s="41"/>
      <c r="AC5" s="41" t="e">
        <v>#DIV/0!</v>
      </c>
      <c r="AD5" s="41"/>
      <c r="AE5" s="41" t="e">
        <v>#DIV/0!</v>
      </c>
      <c r="AF5" s="41" t="e">
        <v>#DIV/0!</v>
      </c>
      <c r="AG5" s="41" t="e">
        <v>#DIV/0!</v>
      </c>
      <c r="AH5" s="36">
        <v>45337</v>
      </c>
      <c r="AI5" s="36"/>
      <c r="AJ5" s="36"/>
      <c r="AK5" s="36"/>
      <c r="AL5" s="36"/>
      <c r="AM5" s="46"/>
      <c r="AN5" s="40"/>
      <c r="AO5" s="40"/>
      <c r="AP5" s="40"/>
      <c r="AQ5" s="40"/>
      <c r="AR5" s="48"/>
      <c r="AS5" s="37"/>
      <c r="AT5" s="37"/>
      <c r="AU5" s="47"/>
      <c r="AV5" s="37"/>
      <c r="AW5" s="37">
        <v>10</v>
      </c>
      <c r="AX5" s="30">
        <v>1848070.98</v>
      </c>
      <c r="AY5" s="40" t="s">
        <v>431</v>
      </c>
    </row>
    <row r="6" spans="1:51" ht="58.5" customHeight="1" x14ac:dyDescent="0.25">
      <c r="A6" s="44" t="s">
        <v>1475</v>
      </c>
      <c r="B6" s="46">
        <v>45289</v>
      </c>
      <c r="C6" s="40">
        <v>1688</v>
      </c>
      <c r="D6" s="35" t="s">
        <v>431</v>
      </c>
      <c r="E6" s="39" t="s">
        <v>1476</v>
      </c>
      <c r="F6" s="36" t="s">
        <v>431</v>
      </c>
      <c r="G6" s="37" t="s">
        <v>431</v>
      </c>
      <c r="H6" s="40" t="s">
        <v>431</v>
      </c>
      <c r="I6" s="40" t="s">
        <v>1477</v>
      </c>
      <c r="J6" s="54">
        <v>22320340.800000001</v>
      </c>
      <c r="K6" s="54">
        <v>22320340.800000001</v>
      </c>
      <c r="L6" s="54">
        <v>0</v>
      </c>
      <c r="M6" s="54">
        <v>0</v>
      </c>
      <c r="N6" s="42">
        <v>100</v>
      </c>
      <c r="O6" s="43">
        <v>22320340.800000001</v>
      </c>
      <c r="P6" s="41"/>
      <c r="Q6" s="43">
        <v>22320340.800000001</v>
      </c>
      <c r="R6" s="41">
        <v>0</v>
      </c>
      <c r="S6" s="30">
        <v>0</v>
      </c>
      <c r="T6" s="30">
        <v>0</v>
      </c>
      <c r="U6" s="30" t="e">
        <v>#DIV/0!</v>
      </c>
      <c r="V6" s="41" t="e">
        <v>#DIV/0!</v>
      </c>
      <c r="W6" s="41" t="e">
        <v>#DIV/0!</v>
      </c>
      <c r="X6" s="41">
        <v>0</v>
      </c>
      <c r="Y6" s="41">
        <v>0</v>
      </c>
      <c r="Z6" s="41">
        <v>0</v>
      </c>
      <c r="AA6" s="41">
        <v>0</v>
      </c>
      <c r="AB6" s="41"/>
      <c r="AC6" s="41" t="e">
        <v>#DIV/0!</v>
      </c>
      <c r="AD6" s="41"/>
      <c r="AE6" s="41" t="e">
        <v>#DIV/0!</v>
      </c>
      <c r="AF6" s="41" t="e">
        <v>#DIV/0!</v>
      </c>
      <c r="AG6" s="41" t="e">
        <v>#DIV/0!</v>
      </c>
      <c r="AH6" s="36">
        <v>45337</v>
      </c>
      <c r="AI6" s="36"/>
      <c r="AJ6" s="36"/>
      <c r="AK6" s="36"/>
      <c r="AL6" s="36"/>
      <c r="AM6" s="46"/>
      <c r="AN6" s="40"/>
      <c r="AO6" s="40"/>
      <c r="AP6" s="40"/>
      <c r="AQ6" s="40"/>
      <c r="AR6" s="48"/>
      <c r="AS6" s="37"/>
      <c r="AT6" s="37"/>
      <c r="AU6" s="47"/>
      <c r="AV6" s="37"/>
      <c r="AW6" s="37">
        <v>10</v>
      </c>
      <c r="AX6" s="30">
        <v>2232034.08</v>
      </c>
      <c r="AY6" s="40" t="s">
        <v>431</v>
      </c>
    </row>
    <row r="7" spans="1:51" ht="58.5" customHeight="1" x14ac:dyDescent="0.25">
      <c r="A7" s="44" t="s">
        <v>1478</v>
      </c>
      <c r="B7" s="46">
        <v>45289</v>
      </c>
      <c r="C7" s="40">
        <v>1688</v>
      </c>
      <c r="D7" s="35" t="s">
        <v>431</v>
      </c>
      <c r="E7" s="39" t="s">
        <v>1479</v>
      </c>
      <c r="F7" s="36" t="s">
        <v>431</v>
      </c>
      <c r="G7" s="37" t="s">
        <v>431</v>
      </c>
      <c r="H7" s="40" t="s">
        <v>431</v>
      </c>
      <c r="I7" s="40" t="s">
        <v>1480</v>
      </c>
      <c r="J7" s="54">
        <v>1681405.5</v>
      </c>
      <c r="K7" s="54">
        <v>1681405.5</v>
      </c>
      <c r="L7" s="54">
        <v>0</v>
      </c>
      <c r="M7" s="54">
        <v>0</v>
      </c>
      <c r="N7" s="42">
        <v>100</v>
      </c>
      <c r="O7" s="43">
        <v>1681405.5</v>
      </c>
      <c r="P7" s="41"/>
      <c r="Q7" s="43">
        <v>1681405.5</v>
      </c>
      <c r="R7" s="41">
        <v>0</v>
      </c>
      <c r="S7" s="30">
        <v>0</v>
      </c>
      <c r="T7" s="30">
        <v>0</v>
      </c>
      <c r="U7" s="30" t="e">
        <v>#DIV/0!</v>
      </c>
      <c r="V7" s="41" t="e">
        <v>#DIV/0!</v>
      </c>
      <c r="W7" s="41" t="e">
        <v>#DIV/0!</v>
      </c>
      <c r="X7" s="41">
        <v>0</v>
      </c>
      <c r="Y7" s="41">
        <v>0</v>
      </c>
      <c r="Z7" s="41">
        <v>0</v>
      </c>
      <c r="AA7" s="41">
        <v>0</v>
      </c>
      <c r="AB7" s="41"/>
      <c r="AC7" s="41" t="e">
        <v>#DIV/0!</v>
      </c>
      <c r="AD7" s="41"/>
      <c r="AE7" s="41" t="e">
        <v>#DIV/0!</v>
      </c>
      <c r="AF7" s="41" t="e">
        <v>#DIV/0!</v>
      </c>
      <c r="AG7" s="41" t="e">
        <v>#DIV/0!</v>
      </c>
      <c r="AH7" s="36">
        <v>45337</v>
      </c>
      <c r="AI7" s="36"/>
      <c r="AJ7" s="36"/>
      <c r="AK7" s="36"/>
      <c r="AL7" s="36"/>
      <c r="AM7" s="46"/>
      <c r="AN7" s="40"/>
      <c r="AO7" s="40"/>
      <c r="AP7" s="40"/>
      <c r="AQ7" s="40"/>
      <c r="AR7" s="48"/>
      <c r="AS7" s="37"/>
      <c r="AT7" s="37"/>
      <c r="AU7" s="47"/>
      <c r="AV7" s="37"/>
      <c r="AW7" s="37">
        <v>10</v>
      </c>
      <c r="AX7" s="30">
        <v>168140.55</v>
      </c>
      <c r="AY7" s="40" t="s">
        <v>431</v>
      </c>
    </row>
    <row r="8" spans="1:51" ht="58.5" customHeight="1" x14ac:dyDescent="0.25">
      <c r="A8" s="44" t="s">
        <v>1481</v>
      </c>
      <c r="B8" s="46">
        <v>45289</v>
      </c>
      <c r="C8" s="40">
        <v>1688</v>
      </c>
      <c r="D8" s="35" t="s">
        <v>431</v>
      </c>
      <c r="E8" s="39" t="s">
        <v>1482</v>
      </c>
      <c r="F8" s="36" t="s">
        <v>431</v>
      </c>
      <c r="G8" s="37" t="s">
        <v>431</v>
      </c>
      <c r="H8" s="40" t="s">
        <v>431</v>
      </c>
      <c r="I8" s="40" t="s">
        <v>1483</v>
      </c>
      <c r="J8" s="54">
        <v>1575266</v>
      </c>
      <c r="K8" s="54">
        <v>1575266</v>
      </c>
      <c r="L8" s="54">
        <v>0</v>
      </c>
      <c r="M8" s="54">
        <v>0</v>
      </c>
      <c r="N8" s="42">
        <v>100</v>
      </c>
      <c r="O8" s="43">
        <v>1575266</v>
      </c>
      <c r="P8" s="41"/>
      <c r="Q8" s="43">
        <v>1575266</v>
      </c>
      <c r="R8" s="41">
        <v>0</v>
      </c>
      <c r="S8" s="30">
        <v>0</v>
      </c>
      <c r="T8" s="30">
        <v>0</v>
      </c>
      <c r="U8" s="30" t="e">
        <v>#DIV/0!</v>
      </c>
      <c r="V8" s="41" t="e">
        <v>#DIV/0!</v>
      </c>
      <c r="W8" s="41" t="e">
        <v>#DIV/0!</v>
      </c>
      <c r="X8" s="41">
        <v>0</v>
      </c>
      <c r="Y8" s="41">
        <v>0</v>
      </c>
      <c r="Z8" s="41">
        <v>0</v>
      </c>
      <c r="AA8" s="41">
        <v>0</v>
      </c>
      <c r="AB8" s="41"/>
      <c r="AC8" s="41" t="e">
        <v>#DIV/0!</v>
      </c>
      <c r="AD8" s="41"/>
      <c r="AE8" s="41" t="e">
        <v>#DIV/0!</v>
      </c>
      <c r="AF8" s="41" t="e">
        <v>#DIV/0!</v>
      </c>
      <c r="AG8" s="41" t="e">
        <v>#DIV/0!</v>
      </c>
      <c r="AH8" s="36">
        <v>45337</v>
      </c>
      <c r="AI8" s="36"/>
      <c r="AJ8" s="36"/>
      <c r="AK8" s="36"/>
      <c r="AL8" s="36"/>
      <c r="AM8" s="46"/>
      <c r="AN8" s="40"/>
      <c r="AO8" s="40"/>
      <c r="AP8" s="40"/>
      <c r="AQ8" s="40"/>
      <c r="AR8" s="48"/>
      <c r="AS8" s="37"/>
      <c r="AT8" s="37"/>
      <c r="AU8" s="47"/>
      <c r="AV8" s="37"/>
      <c r="AW8" s="37">
        <v>10</v>
      </c>
      <c r="AX8" s="30">
        <v>157526.6</v>
      </c>
      <c r="AY8" s="40" t="s">
        <v>431</v>
      </c>
    </row>
    <row r="9" spans="1:51" ht="58.5" customHeight="1" x14ac:dyDescent="0.25">
      <c r="A9" s="44" t="s">
        <v>1484</v>
      </c>
      <c r="B9" s="46">
        <v>45289</v>
      </c>
      <c r="C9" s="40">
        <v>1688</v>
      </c>
      <c r="D9" s="35" t="s">
        <v>431</v>
      </c>
      <c r="E9" s="39" t="s">
        <v>1485</v>
      </c>
      <c r="F9" s="36" t="s">
        <v>431</v>
      </c>
      <c r="G9" s="37" t="s">
        <v>431</v>
      </c>
      <c r="H9" s="40" t="s">
        <v>431</v>
      </c>
      <c r="I9" s="40" t="s">
        <v>1486</v>
      </c>
      <c r="J9" s="54">
        <v>9131068.6500000004</v>
      </c>
      <c r="K9" s="54">
        <v>9131068.6500000004</v>
      </c>
      <c r="L9" s="54">
        <v>0</v>
      </c>
      <c r="M9" s="54">
        <v>0</v>
      </c>
      <c r="N9" s="42">
        <v>100</v>
      </c>
      <c r="O9" s="43">
        <v>9131068.6500000004</v>
      </c>
      <c r="P9" s="41"/>
      <c r="Q9" s="43">
        <v>9131068.6500000004</v>
      </c>
      <c r="R9" s="41">
        <v>0</v>
      </c>
      <c r="S9" s="30">
        <v>0</v>
      </c>
      <c r="T9" s="30">
        <v>0</v>
      </c>
      <c r="U9" s="30" t="e">
        <v>#DIV/0!</v>
      </c>
      <c r="V9" s="41" t="e">
        <v>#DIV/0!</v>
      </c>
      <c r="W9" s="41" t="e">
        <v>#DIV/0!</v>
      </c>
      <c r="X9" s="41">
        <v>0</v>
      </c>
      <c r="Y9" s="41">
        <v>0</v>
      </c>
      <c r="Z9" s="41">
        <v>0</v>
      </c>
      <c r="AA9" s="41">
        <v>0</v>
      </c>
      <c r="AB9" s="41"/>
      <c r="AC9" s="41" t="e">
        <v>#DIV/0!</v>
      </c>
      <c r="AD9" s="41"/>
      <c r="AE9" s="41" t="e">
        <v>#DIV/0!</v>
      </c>
      <c r="AF9" s="41" t="e">
        <v>#DIV/0!</v>
      </c>
      <c r="AG9" s="41" t="e">
        <v>#DIV/0!</v>
      </c>
      <c r="AH9" s="36">
        <v>45337</v>
      </c>
      <c r="AI9" s="36"/>
      <c r="AJ9" s="36"/>
      <c r="AK9" s="36"/>
      <c r="AL9" s="36"/>
      <c r="AM9" s="46"/>
      <c r="AN9" s="40"/>
      <c r="AO9" s="40"/>
      <c r="AP9" s="40"/>
      <c r="AQ9" s="40"/>
      <c r="AR9" s="48"/>
      <c r="AS9" s="37"/>
      <c r="AT9" s="37"/>
      <c r="AU9" s="47"/>
      <c r="AV9" s="37"/>
      <c r="AW9" s="37">
        <v>10</v>
      </c>
      <c r="AX9" s="30">
        <v>913106.86499999999</v>
      </c>
      <c r="AY9" s="40" t="s">
        <v>431</v>
      </c>
    </row>
    <row r="10" spans="1:51" ht="58.5" customHeight="1" x14ac:dyDescent="0.25">
      <c r="A10" s="44" t="s">
        <v>1487</v>
      </c>
      <c r="B10" s="46">
        <v>45289</v>
      </c>
      <c r="C10" s="40">
        <v>1688</v>
      </c>
      <c r="D10" s="35" t="s">
        <v>431</v>
      </c>
      <c r="E10" s="39" t="s">
        <v>1488</v>
      </c>
      <c r="F10" s="36" t="s">
        <v>431</v>
      </c>
      <c r="G10" s="37" t="s">
        <v>431</v>
      </c>
      <c r="H10" s="40" t="s">
        <v>431</v>
      </c>
      <c r="I10" s="40" t="s">
        <v>1489</v>
      </c>
      <c r="J10" s="54">
        <v>5736354</v>
      </c>
      <c r="K10" s="54">
        <v>5736354</v>
      </c>
      <c r="L10" s="54">
        <v>0</v>
      </c>
      <c r="M10" s="54">
        <v>0</v>
      </c>
      <c r="N10" s="42">
        <v>100</v>
      </c>
      <c r="O10" s="43">
        <v>5736354</v>
      </c>
      <c r="P10" s="41"/>
      <c r="Q10" s="43">
        <v>5736354</v>
      </c>
      <c r="R10" s="41">
        <v>0</v>
      </c>
      <c r="S10" s="30">
        <v>0</v>
      </c>
      <c r="T10" s="30">
        <v>0</v>
      </c>
      <c r="U10" s="30" t="e">
        <v>#DIV/0!</v>
      </c>
      <c r="V10" s="41" t="e">
        <v>#DIV/0!</v>
      </c>
      <c r="W10" s="41" t="e">
        <v>#DIV/0!</v>
      </c>
      <c r="X10" s="41">
        <v>0</v>
      </c>
      <c r="Y10" s="41">
        <v>0</v>
      </c>
      <c r="Z10" s="41">
        <v>0</v>
      </c>
      <c r="AA10" s="41">
        <v>0</v>
      </c>
      <c r="AB10" s="41"/>
      <c r="AC10" s="41" t="e">
        <v>#DIV/0!</v>
      </c>
      <c r="AD10" s="41"/>
      <c r="AE10" s="41" t="e">
        <v>#DIV/0!</v>
      </c>
      <c r="AF10" s="41" t="e">
        <v>#DIV/0!</v>
      </c>
      <c r="AG10" s="41" t="e">
        <v>#DIV/0!</v>
      </c>
      <c r="AH10" s="36">
        <v>45337</v>
      </c>
      <c r="AI10" s="36"/>
      <c r="AJ10" s="36"/>
      <c r="AK10" s="36"/>
      <c r="AL10" s="36"/>
      <c r="AM10" s="46"/>
      <c r="AN10" s="40"/>
      <c r="AO10" s="40"/>
      <c r="AP10" s="40"/>
      <c r="AQ10" s="40"/>
      <c r="AR10" s="48"/>
      <c r="AS10" s="37"/>
      <c r="AT10" s="37"/>
      <c r="AU10" s="47"/>
      <c r="AV10" s="37"/>
      <c r="AW10" s="37">
        <v>10</v>
      </c>
      <c r="AX10" s="30">
        <v>573635.4</v>
      </c>
      <c r="AY10" s="40" t="s">
        <v>431</v>
      </c>
    </row>
    <row r="11" spans="1:51" ht="58.5" customHeight="1" x14ac:dyDescent="0.25">
      <c r="A11" s="44" t="s">
        <v>1490</v>
      </c>
      <c r="B11" s="46">
        <v>45289</v>
      </c>
      <c r="C11" s="40">
        <v>1688</v>
      </c>
      <c r="D11" s="35" t="s">
        <v>431</v>
      </c>
      <c r="E11" s="39" t="s">
        <v>1491</v>
      </c>
      <c r="F11" s="36" t="s">
        <v>431</v>
      </c>
      <c r="G11" s="37" t="s">
        <v>431</v>
      </c>
      <c r="H11" s="40" t="s">
        <v>431</v>
      </c>
      <c r="I11" s="40" t="s">
        <v>1492</v>
      </c>
      <c r="J11" s="54">
        <v>48510</v>
      </c>
      <c r="K11" s="54">
        <v>48510</v>
      </c>
      <c r="L11" s="54">
        <v>0</v>
      </c>
      <c r="M11" s="54">
        <v>0</v>
      </c>
      <c r="N11" s="42">
        <v>100</v>
      </c>
      <c r="O11" s="43">
        <v>48510</v>
      </c>
      <c r="P11" s="41"/>
      <c r="Q11" s="43">
        <v>48510</v>
      </c>
      <c r="R11" s="41">
        <v>0</v>
      </c>
      <c r="S11" s="30">
        <v>0</v>
      </c>
      <c r="T11" s="30">
        <v>0</v>
      </c>
      <c r="U11" s="30" t="e">
        <v>#DIV/0!</v>
      </c>
      <c r="V11" s="41" t="e">
        <v>#DIV/0!</v>
      </c>
      <c r="W11" s="41" t="e">
        <v>#DIV/0!</v>
      </c>
      <c r="X11" s="41">
        <v>0</v>
      </c>
      <c r="Y11" s="41">
        <v>0</v>
      </c>
      <c r="Z11" s="41">
        <v>0</v>
      </c>
      <c r="AA11" s="41">
        <v>0</v>
      </c>
      <c r="AB11" s="41"/>
      <c r="AC11" s="41" t="e">
        <v>#DIV/0!</v>
      </c>
      <c r="AD11" s="41"/>
      <c r="AE11" s="41" t="e">
        <v>#DIV/0!</v>
      </c>
      <c r="AF11" s="41" t="e">
        <v>#DIV/0!</v>
      </c>
      <c r="AG11" s="41" t="e">
        <v>#DIV/0!</v>
      </c>
      <c r="AH11" s="36">
        <v>45337</v>
      </c>
      <c r="AI11" s="36"/>
      <c r="AJ11" s="36"/>
      <c r="AK11" s="36"/>
      <c r="AL11" s="36"/>
      <c r="AM11" s="46"/>
      <c r="AN11" s="40"/>
      <c r="AO11" s="40"/>
      <c r="AP11" s="40"/>
      <c r="AQ11" s="40"/>
      <c r="AR11" s="48"/>
      <c r="AS11" s="37"/>
      <c r="AT11" s="37"/>
      <c r="AU11" s="47"/>
      <c r="AV11" s="37"/>
      <c r="AW11" s="37">
        <v>10</v>
      </c>
      <c r="AX11" s="30">
        <v>4851</v>
      </c>
      <c r="AY11" s="40" t="s">
        <v>431</v>
      </c>
    </row>
    <row r="12" spans="1:51" ht="58.5" customHeight="1" x14ac:dyDescent="0.25">
      <c r="A12" s="44" t="s">
        <v>1493</v>
      </c>
      <c r="B12" s="46">
        <v>45289</v>
      </c>
      <c r="C12" s="40">
        <v>1688</v>
      </c>
      <c r="D12" s="35" t="s">
        <v>431</v>
      </c>
      <c r="E12" s="39" t="s">
        <v>1494</v>
      </c>
      <c r="F12" s="36" t="s">
        <v>431</v>
      </c>
      <c r="G12" s="37" t="s">
        <v>431</v>
      </c>
      <c r="H12" s="40" t="s">
        <v>431</v>
      </c>
      <c r="I12" s="40" t="s">
        <v>1495</v>
      </c>
      <c r="J12" s="54">
        <v>2140185.6000000001</v>
      </c>
      <c r="K12" s="54">
        <v>2140185.6000000001</v>
      </c>
      <c r="L12" s="54">
        <v>0</v>
      </c>
      <c r="M12" s="54">
        <v>0</v>
      </c>
      <c r="N12" s="42">
        <v>100</v>
      </c>
      <c r="O12" s="43">
        <v>2140185.6000000001</v>
      </c>
      <c r="P12" s="41"/>
      <c r="Q12" s="43">
        <v>2140185.6000000001</v>
      </c>
      <c r="R12" s="41">
        <v>0</v>
      </c>
      <c r="S12" s="30">
        <v>0</v>
      </c>
      <c r="T12" s="30">
        <v>0</v>
      </c>
      <c r="U12" s="30" t="e">
        <v>#DIV/0!</v>
      </c>
      <c r="V12" s="41" t="e">
        <v>#DIV/0!</v>
      </c>
      <c r="W12" s="41" t="e">
        <v>#DIV/0!</v>
      </c>
      <c r="X12" s="41">
        <v>0</v>
      </c>
      <c r="Y12" s="41">
        <v>0</v>
      </c>
      <c r="Z12" s="41">
        <v>0</v>
      </c>
      <c r="AA12" s="41">
        <v>0</v>
      </c>
      <c r="AB12" s="41"/>
      <c r="AC12" s="41" t="e">
        <v>#DIV/0!</v>
      </c>
      <c r="AD12" s="41"/>
      <c r="AE12" s="41" t="e">
        <v>#DIV/0!</v>
      </c>
      <c r="AF12" s="41" t="e">
        <v>#DIV/0!</v>
      </c>
      <c r="AG12" s="41" t="e">
        <v>#DIV/0!</v>
      </c>
      <c r="AH12" s="36">
        <v>45337</v>
      </c>
      <c r="AI12" s="36"/>
      <c r="AJ12" s="36"/>
      <c r="AK12" s="36"/>
      <c r="AL12" s="36"/>
      <c r="AM12" s="46"/>
      <c r="AN12" s="40"/>
      <c r="AO12" s="40"/>
      <c r="AP12" s="40"/>
      <c r="AQ12" s="40"/>
      <c r="AR12" s="48"/>
      <c r="AS12" s="37"/>
      <c r="AT12" s="37"/>
      <c r="AU12" s="47"/>
      <c r="AV12" s="37"/>
      <c r="AW12" s="37">
        <v>10</v>
      </c>
      <c r="AX12" s="30">
        <v>214018.56</v>
      </c>
      <c r="AY12" s="40" t="s">
        <v>431</v>
      </c>
    </row>
    <row r="13" spans="1:51" ht="58.5" customHeight="1" x14ac:dyDescent="0.25">
      <c r="A13" s="44" t="s">
        <v>1496</v>
      </c>
      <c r="B13" s="46">
        <v>45289</v>
      </c>
      <c r="C13" s="40">
        <v>1688</v>
      </c>
      <c r="D13" s="35" t="s">
        <v>431</v>
      </c>
      <c r="E13" s="39" t="s">
        <v>1497</v>
      </c>
      <c r="F13" s="36" t="s">
        <v>431</v>
      </c>
      <c r="G13" s="37" t="s">
        <v>431</v>
      </c>
      <c r="H13" s="40" t="s">
        <v>431</v>
      </c>
      <c r="I13" s="40" t="s">
        <v>1498</v>
      </c>
      <c r="J13" s="54">
        <v>17084253.760000002</v>
      </c>
      <c r="K13" s="54">
        <v>17084253.760000002</v>
      </c>
      <c r="L13" s="54">
        <v>0</v>
      </c>
      <c r="M13" s="54">
        <v>0</v>
      </c>
      <c r="N13" s="42">
        <v>100</v>
      </c>
      <c r="O13" s="43">
        <v>17084253.760000002</v>
      </c>
      <c r="P13" s="41"/>
      <c r="Q13" s="43">
        <v>17084253.760000002</v>
      </c>
      <c r="R13" s="41">
        <v>0</v>
      </c>
      <c r="S13" s="30">
        <v>0</v>
      </c>
      <c r="T13" s="30">
        <v>0</v>
      </c>
      <c r="U13" s="30" t="e">
        <v>#DIV/0!</v>
      </c>
      <c r="V13" s="41" t="e">
        <v>#DIV/0!</v>
      </c>
      <c r="W13" s="41" t="e">
        <v>#DIV/0!</v>
      </c>
      <c r="X13" s="41">
        <v>0</v>
      </c>
      <c r="Y13" s="41">
        <v>0</v>
      </c>
      <c r="Z13" s="41">
        <v>0</v>
      </c>
      <c r="AA13" s="41">
        <v>0</v>
      </c>
      <c r="AB13" s="41"/>
      <c r="AC13" s="41" t="e">
        <v>#DIV/0!</v>
      </c>
      <c r="AD13" s="41"/>
      <c r="AE13" s="41" t="e">
        <v>#DIV/0!</v>
      </c>
      <c r="AF13" s="41" t="e">
        <v>#DIV/0!</v>
      </c>
      <c r="AG13" s="41" t="e">
        <v>#DIV/0!</v>
      </c>
      <c r="AH13" s="36">
        <v>45337</v>
      </c>
      <c r="AI13" s="36"/>
      <c r="AJ13" s="36"/>
      <c r="AK13" s="36"/>
      <c r="AL13" s="36"/>
      <c r="AM13" s="46"/>
      <c r="AN13" s="40"/>
      <c r="AO13" s="40"/>
      <c r="AP13" s="40"/>
      <c r="AQ13" s="40"/>
      <c r="AR13" s="48"/>
      <c r="AS13" s="37"/>
      <c r="AT13" s="37"/>
      <c r="AU13" s="47"/>
      <c r="AV13" s="37"/>
      <c r="AW13" s="37">
        <v>10</v>
      </c>
      <c r="AX13" s="30">
        <v>1708425.3760000002</v>
      </c>
      <c r="AY13" s="40" t="s">
        <v>431</v>
      </c>
    </row>
    <row r="14" spans="1:51" ht="48.75" customHeight="1" x14ac:dyDescent="0.25">
      <c r="A14" s="59" t="s">
        <v>1725</v>
      </c>
      <c r="B14" s="60">
        <v>45316</v>
      </c>
      <c r="C14" s="40">
        <v>1688</v>
      </c>
      <c r="D14" s="35" t="s">
        <v>1726</v>
      </c>
      <c r="E14" s="39" t="s">
        <v>1727</v>
      </c>
      <c r="F14" s="36">
        <v>45336</v>
      </c>
      <c r="G14" s="37" t="s">
        <v>1728</v>
      </c>
      <c r="H14" s="40" t="s">
        <v>203</v>
      </c>
      <c r="I14" s="40" t="s">
        <v>1729</v>
      </c>
      <c r="J14" s="61">
        <v>63865214.5</v>
      </c>
      <c r="K14" s="41">
        <v>0</v>
      </c>
      <c r="L14" s="54">
        <v>0</v>
      </c>
      <c r="M14" s="54">
        <v>0</v>
      </c>
      <c r="N14" s="42">
        <v>0</v>
      </c>
      <c r="O14" s="43">
        <v>0</v>
      </c>
      <c r="P14" s="41">
        <v>63865214.5</v>
      </c>
      <c r="Q14" s="43">
        <v>0</v>
      </c>
      <c r="R14" s="41">
        <v>63865214.5</v>
      </c>
      <c r="S14" s="30">
        <v>63865214.5</v>
      </c>
      <c r="T14" s="30">
        <v>63865214.5</v>
      </c>
      <c r="U14" s="30">
        <v>77.95</v>
      </c>
      <c r="V14" s="41">
        <v>77.95</v>
      </c>
      <c r="W14" s="41">
        <v>779.5</v>
      </c>
      <c r="X14" s="41">
        <v>819310</v>
      </c>
      <c r="Y14" s="41">
        <v>819310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81931</v>
      </c>
      <c r="AG14" s="41">
        <v>81931</v>
      </c>
      <c r="AH14" s="36">
        <v>45366</v>
      </c>
      <c r="AI14" s="36"/>
      <c r="AJ14" s="36"/>
      <c r="AK14" s="36">
        <v>45397</v>
      </c>
      <c r="AL14" s="36"/>
      <c r="AM14" s="46"/>
      <c r="AN14" s="40" t="s">
        <v>1730</v>
      </c>
      <c r="AO14" s="40" t="s">
        <v>1731</v>
      </c>
      <c r="AP14" s="40" t="s">
        <v>1732</v>
      </c>
      <c r="AQ14" s="40" t="s">
        <v>80</v>
      </c>
      <c r="AR14" s="48">
        <v>100</v>
      </c>
      <c r="AS14" s="37">
        <v>0</v>
      </c>
      <c r="AT14" s="37" t="s">
        <v>314</v>
      </c>
      <c r="AU14" s="47">
        <v>10</v>
      </c>
      <c r="AV14" s="37" t="s">
        <v>60</v>
      </c>
      <c r="AW14" s="37">
        <v>10</v>
      </c>
      <c r="AX14" s="30">
        <v>6386521.4500000002</v>
      </c>
      <c r="AY14" s="40" t="s">
        <v>402</v>
      </c>
    </row>
    <row r="15" spans="1:51" ht="48.75" customHeight="1" x14ac:dyDescent="0.25">
      <c r="A15" s="59" t="s">
        <v>1733</v>
      </c>
      <c r="B15" s="60">
        <v>45316</v>
      </c>
      <c r="C15" s="40">
        <v>1688</v>
      </c>
      <c r="D15" s="35" t="s">
        <v>1734</v>
      </c>
      <c r="E15" s="39" t="s">
        <v>1735</v>
      </c>
      <c r="F15" s="36">
        <v>45336</v>
      </c>
      <c r="G15" s="37" t="s">
        <v>1736</v>
      </c>
      <c r="H15" s="40" t="s">
        <v>203</v>
      </c>
      <c r="I15" s="40" t="s">
        <v>1737</v>
      </c>
      <c r="J15" s="61">
        <v>7597007</v>
      </c>
      <c r="K15" s="41">
        <v>0</v>
      </c>
      <c r="L15" s="54">
        <v>0</v>
      </c>
      <c r="M15" s="54">
        <v>0</v>
      </c>
      <c r="N15" s="42">
        <v>0</v>
      </c>
      <c r="O15" s="43">
        <v>0</v>
      </c>
      <c r="P15" s="41">
        <v>7597007</v>
      </c>
      <c r="Q15" s="43">
        <v>0</v>
      </c>
      <c r="R15" s="41">
        <v>7597007</v>
      </c>
      <c r="S15" s="30">
        <v>7597007</v>
      </c>
      <c r="T15" s="30">
        <v>7597007</v>
      </c>
      <c r="U15" s="30">
        <v>77.95</v>
      </c>
      <c r="V15" s="41">
        <v>77.95</v>
      </c>
      <c r="W15" s="41">
        <v>779.5</v>
      </c>
      <c r="X15" s="41">
        <v>97460</v>
      </c>
      <c r="Y15" s="41">
        <v>97460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9746</v>
      </c>
      <c r="AG15" s="41">
        <v>9746</v>
      </c>
      <c r="AH15" s="36">
        <v>45366</v>
      </c>
      <c r="AI15" s="36"/>
      <c r="AJ15" s="36"/>
      <c r="AK15" s="36">
        <v>45397</v>
      </c>
      <c r="AL15" s="36"/>
      <c r="AM15" s="46"/>
      <c r="AN15" s="40" t="s">
        <v>1730</v>
      </c>
      <c r="AO15" s="40" t="s">
        <v>1731</v>
      </c>
      <c r="AP15" s="40" t="s">
        <v>1732</v>
      </c>
      <c r="AQ15" s="40" t="s">
        <v>80</v>
      </c>
      <c r="AR15" s="48">
        <v>100</v>
      </c>
      <c r="AS15" s="37">
        <v>0</v>
      </c>
      <c r="AT15" s="37" t="s">
        <v>314</v>
      </c>
      <c r="AU15" s="47">
        <v>10</v>
      </c>
      <c r="AV15" s="37" t="s">
        <v>219</v>
      </c>
      <c r="AW15" s="37">
        <v>10</v>
      </c>
      <c r="AX15" s="30">
        <v>759700.7</v>
      </c>
      <c r="AY15" s="40" t="s">
        <v>402</v>
      </c>
    </row>
    <row r="16" spans="1:51" ht="48.75" customHeight="1" x14ac:dyDescent="0.25">
      <c r="A16" s="59" t="s">
        <v>1738</v>
      </c>
      <c r="B16" s="60">
        <v>45316</v>
      </c>
      <c r="C16" s="40">
        <v>1688</v>
      </c>
      <c r="D16" s="35" t="s">
        <v>1739</v>
      </c>
      <c r="E16" s="39" t="s">
        <v>1740</v>
      </c>
      <c r="F16" s="36">
        <v>45336</v>
      </c>
      <c r="G16" s="37" t="s">
        <v>1741</v>
      </c>
      <c r="H16" s="40" t="s">
        <v>203</v>
      </c>
      <c r="I16" s="40" t="s">
        <v>1742</v>
      </c>
      <c r="J16" s="61">
        <v>51128223.299999997</v>
      </c>
      <c r="K16" s="41">
        <v>0</v>
      </c>
      <c r="L16" s="54">
        <v>0</v>
      </c>
      <c r="M16" s="54">
        <v>0</v>
      </c>
      <c r="N16" s="42">
        <v>0</v>
      </c>
      <c r="O16" s="43">
        <v>0</v>
      </c>
      <c r="P16" s="61">
        <v>51128223.299999997</v>
      </c>
      <c r="Q16" s="43">
        <v>0</v>
      </c>
      <c r="R16" s="61">
        <v>51128223.299999997</v>
      </c>
      <c r="S16" s="30">
        <v>51128223.299999997</v>
      </c>
      <c r="T16" s="30">
        <v>51128223.299999997</v>
      </c>
      <c r="U16" s="30">
        <v>86.899999999999991</v>
      </c>
      <c r="V16" s="41">
        <v>86.899999999999991</v>
      </c>
      <c r="W16" s="41">
        <v>868.99999999999989</v>
      </c>
      <c r="X16" s="41">
        <v>588357</v>
      </c>
      <c r="Y16" s="41">
        <v>588357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58835.7</v>
      </c>
      <c r="AG16" s="41">
        <v>58836</v>
      </c>
      <c r="AH16" s="36">
        <v>45366</v>
      </c>
      <c r="AI16" s="36"/>
      <c r="AJ16" s="36"/>
      <c r="AK16" s="36">
        <v>45397</v>
      </c>
      <c r="AL16" s="36"/>
      <c r="AM16" s="46"/>
      <c r="AN16" s="40" t="s">
        <v>1730</v>
      </c>
      <c r="AO16" s="40" t="s">
        <v>1743</v>
      </c>
      <c r="AP16" s="40" t="s">
        <v>1732</v>
      </c>
      <c r="AQ16" s="40" t="s">
        <v>80</v>
      </c>
      <c r="AR16" s="48">
        <v>100</v>
      </c>
      <c r="AS16" s="37">
        <v>0</v>
      </c>
      <c r="AT16" s="37" t="s">
        <v>314</v>
      </c>
      <c r="AU16" s="47">
        <v>10</v>
      </c>
      <c r="AV16" s="37" t="s">
        <v>60</v>
      </c>
      <c r="AW16" s="37">
        <v>10</v>
      </c>
      <c r="AX16" s="30">
        <v>5112822.33</v>
      </c>
      <c r="AY16" s="40" t="s">
        <v>402</v>
      </c>
    </row>
    <row r="17" spans="1:51" ht="48.75" customHeight="1" x14ac:dyDescent="0.25">
      <c r="A17" s="59" t="s">
        <v>1747</v>
      </c>
      <c r="B17" s="60">
        <v>45317</v>
      </c>
      <c r="C17" s="40">
        <v>1688</v>
      </c>
      <c r="D17" s="35" t="s">
        <v>1748</v>
      </c>
      <c r="E17" s="39" t="s">
        <v>1749</v>
      </c>
      <c r="F17" s="36">
        <v>45341</v>
      </c>
      <c r="G17" s="37" t="s">
        <v>1750</v>
      </c>
      <c r="H17" s="40" t="s">
        <v>1751</v>
      </c>
      <c r="I17" s="40" t="s">
        <v>1752</v>
      </c>
      <c r="J17" s="61">
        <v>30678726</v>
      </c>
      <c r="K17" s="41">
        <v>0</v>
      </c>
      <c r="L17" s="54">
        <v>0</v>
      </c>
      <c r="M17" s="54">
        <v>0</v>
      </c>
      <c r="N17" s="42">
        <v>0</v>
      </c>
      <c r="O17" s="43">
        <v>0</v>
      </c>
      <c r="P17" s="41">
        <v>30678726</v>
      </c>
      <c r="Q17" s="43">
        <v>0</v>
      </c>
      <c r="R17" s="41">
        <v>30678726</v>
      </c>
      <c r="S17" s="30">
        <v>30678726</v>
      </c>
      <c r="T17" s="30">
        <v>30678726</v>
      </c>
      <c r="U17" s="30">
        <v>15.67</v>
      </c>
      <c r="V17" s="41">
        <v>15.67</v>
      </c>
      <c r="W17" s="41">
        <v>1567</v>
      </c>
      <c r="X17" s="41">
        <v>1957800</v>
      </c>
      <c r="Y17" s="41">
        <v>1957800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19578</v>
      </c>
      <c r="AG17" s="41">
        <v>19578</v>
      </c>
      <c r="AH17" s="36">
        <v>45366</v>
      </c>
      <c r="AI17" s="36"/>
      <c r="AJ17" s="36"/>
      <c r="AK17" s="36">
        <v>45397</v>
      </c>
      <c r="AL17" s="36"/>
      <c r="AM17" s="46"/>
      <c r="AN17" s="40" t="s">
        <v>1753</v>
      </c>
      <c r="AO17" s="40" t="s">
        <v>1753</v>
      </c>
      <c r="AP17" s="40" t="s">
        <v>1754</v>
      </c>
      <c r="AQ17" s="40" t="s">
        <v>80</v>
      </c>
      <c r="AR17" s="48">
        <v>100</v>
      </c>
      <c r="AS17" s="37">
        <v>0</v>
      </c>
      <c r="AT17" s="37" t="s">
        <v>314</v>
      </c>
      <c r="AU17" s="47">
        <v>100</v>
      </c>
      <c r="AV17" s="37" t="s">
        <v>60</v>
      </c>
      <c r="AW17" s="37">
        <v>10</v>
      </c>
      <c r="AX17" s="30">
        <v>3067872.6</v>
      </c>
      <c r="AY17" s="40" t="s">
        <v>402</v>
      </c>
    </row>
    <row r="18" spans="1:51" ht="48.75" customHeight="1" x14ac:dyDescent="0.25">
      <c r="A18" s="59" t="s">
        <v>1755</v>
      </c>
      <c r="B18" s="60">
        <v>45317</v>
      </c>
      <c r="C18" s="40">
        <v>1688</v>
      </c>
      <c r="D18" s="35" t="s">
        <v>1756</v>
      </c>
      <c r="E18" s="39" t="s">
        <v>1757</v>
      </c>
      <c r="F18" s="36">
        <v>45341</v>
      </c>
      <c r="G18" s="37" t="s">
        <v>1758</v>
      </c>
      <c r="H18" s="40" t="s">
        <v>1751</v>
      </c>
      <c r="I18" s="40" t="s">
        <v>1486</v>
      </c>
      <c r="J18" s="61">
        <v>48654579.509999998</v>
      </c>
      <c r="K18" s="41">
        <v>0</v>
      </c>
      <c r="L18" s="54">
        <v>0</v>
      </c>
      <c r="M18" s="54">
        <v>0</v>
      </c>
      <c r="N18" s="42">
        <v>0</v>
      </c>
      <c r="O18" s="43">
        <v>0</v>
      </c>
      <c r="P18" s="41">
        <v>48654579.509999998</v>
      </c>
      <c r="Q18" s="43">
        <v>0</v>
      </c>
      <c r="R18" s="41">
        <v>48654579.509999998</v>
      </c>
      <c r="S18" s="30">
        <v>48654579.509999998</v>
      </c>
      <c r="T18" s="30">
        <v>48654579.509999998</v>
      </c>
      <c r="U18" s="30">
        <v>178.76999999999998</v>
      </c>
      <c r="V18" s="41">
        <v>178.76999999999998</v>
      </c>
      <c r="W18" s="41">
        <v>1787.6999999999998</v>
      </c>
      <c r="X18" s="41">
        <v>272163</v>
      </c>
      <c r="Y18" s="41">
        <v>272163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27216.3</v>
      </c>
      <c r="AG18" s="41">
        <v>27217</v>
      </c>
      <c r="AH18" s="36">
        <v>45383</v>
      </c>
      <c r="AI18" s="36"/>
      <c r="AJ18" s="36"/>
      <c r="AK18" s="36">
        <v>45413</v>
      </c>
      <c r="AL18" s="36"/>
      <c r="AM18" s="46"/>
      <c r="AN18" s="40" t="s">
        <v>1759</v>
      </c>
      <c r="AO18" s="40" t="s">
        <v>1760</v>
      </c>
      <c r="AP18" s="40" t="s">
        <v>1761</v>
      </c>
      <c r="AQ18" s="40" t="s">
        <v>80</v>
      </c>
      <c r="AR18" s="48">
        <v>100</v>
      </c>
      <c r="AS18" s="37">
        <v>0</v>
      </c>
      <c r="AT18" s="37" t="s">
        <v>314</v>
      </c>
      <c r="AU18" s="47">
        <v>10</v>
      </c>
      <c r="AV18" s="37" t="s">
        <v>60</v>
      </c>
      <c r="AW18" s="37">
        <v>10</v>
      </c>
      <c r="AX18" s="30">
        <v>4865457.9509999994</v>
      </c>
      <c r="AY18" s="40" t="s">
        <v>402</v>
      </c>
    </row>
    <row r="19" spans="1:51" ht="48.75" customHeight="1" x14ac:dyDescent="0.25">
      <c r="A19" s="59" t="s">
        <v>1762</v>
      </c>
      <c r="B19" s="60">
        <v>45317</v>
      </c>
      <c r="C19" s="40">
        <v>1688</v>
      </c>
      <c r="D19" s="35" t="s">
        <v>1763</v>
      </c>
      <c r="E19" s="39" t="s">
        <v>1764</v>
      </c>
      <c r="F19" s="36">
        <v>45341</v>
      </c>
      <c r="G19" s="37" t="s">
        <v>1765</v>
      </c>
      <c r="H19" s="40" t="s">
        <v>1751</v>
      </c>
      <c r="I19" s="40" t="s">
        <v>1441</v>
      </c>
      <c r="J19" s="61">
        <v>9668054</v>
      </c>
      <c r="K19" s="41">
        <v>0</v>
      </c>
      <c r="L19" s="54">
        <v>0</v>
      </c>
      <c r="M19" s="54">
        <v>0</v>
      </c>
      <c r="N19" s="42">
        <v>0</v>
      </c>
      <c r="O19" s="43">
        <v>0</v>
      </c>
      <c r="P19" s="41">
        <v>9668054</v>
      </c>
      <c r="Q19" s="43">
        <v>0</v>
      </c>
      <c r="R19" s="41">
        <v>9668054</v>
      </c>
      <c r="S19" s="30">
        <v>9668054</v>
      </c>
      <c r="T19" s="30">
        <v>9668054</v>
      </c>
      <c r="U19" s="30">
        <v>24.86</v>
      </c>
      <c r="V19" s="41">
        <v>24.86</v>
      </c>
      <c r="W19" s="41">
        <v>1243</v>
      </c>
      <c r="X19" s="41">
        <v>388900</v>
      </c>
      <c r="Y19" s="41">
        <v>210000</v>
      </c>
      <c r="Z19" s="41">
        <v>178900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7778</v>
      </c>
      <c r="AG19" s="41">
        <v>7778</v>
      </c>
      <c r="AH19" s="36">
        <v>45366</v>
      </c>
      <c r="AI19" s="36">
        <v>45504</v>
      </c>
      <c r="AJ19" s="36"/>
      <c r="AK19" s="36">
        <v>45397</v>
      </c>
      <c r="AL19" s="36">
        <v>45536</v>
      </c>
      <c r="AM19" s="46"/>
      <c r="AN19" s="40" t="s">
        <v>1766</v>
      </c>
      <c r="AO19" s="40" t="s">
        <v>1767</v>
      </c>
      <c r="AP19" s="40" t="s">
        <v>1768</v>
      </c>
      <c r="AQ19" s="40" t="s">
        <v>80</v>
      </c>
      <c r="AR19" s="48">
        <v>100</v>
      </c>
      <c r="AS19" s="37">
        <v>0</v>
      </c>
      <c r="AT19" s="37" t="s">
        <v>314</v>
      </c>
      <c r="AU19" s="47">
        <v>50</v>
      </c>
      <c r="AV19" s="37" t="s">
        <v>219</v>
      </c>
      <c r="AW19" s="37">
        <v>10</v>
      </c>
      <c r="AX19" s="30">
        <v>966805.4</v>
      </c>
      <c r="AY19" s="40" t="s">
        <v>402</v>
      </c>
    </row>
    <row r="20" spans="1:51" ht="48.75" customHeight="1" x14ac:dyDescent="0.25">
      <c r="A20" s="59" t="s">
        <v>1769</v>
      </c>
      <c r="B20" s="60">
        <v>45317</v>
      </c>
      <c r="C20" s="40">
        <v>1688</v>
      </c>
      <c r="D20" s="35" t="s">
        <v>1770</v>
      </c>
      <c r="E20" s="39" t="s">
        <v>1771</v>
      </c>
      <c r="F20" s="36">
        <v>45341</v>
      </c>
      <c r="G20" s="37" t="s">
        <v>1772</v>
      </c>
      <c r="H20" s="40" t="s">
        <v>1751</v>
      </c>
      <c r="I20" s="40" t="s">
        <v>1773</v>
      </c>
      <c r="J20" s="61">
        <v>395783.6</v>
      </c>
      <c r="K20" s="41">
        <v>0</v>
      </c>
      <c r="L20" s="54">
        <v>0</v>
      </c>
      <c r="M20" s="54">
        <v>0</v>
      </c>
      <c r="N20" s="42">
        <v>0</v>
      </c>
      <c r="O20" s="43">
        <v>0</v>
      </c>
      <c r="P20" s="41">
        <v>395783.6</v>
      </c>
      <c r="Q20" s="43">
        <v>0</v>
      </c>
      <c r="R20" s="41">
        <v>395783.6</v>
      </c>
      <c r="S20" s="30">
        <v>395783.6</v>
      </c>
      <c r="T20" s="30">
        <v>395783.6</v>
      </c>
      <c r="U20" s="30">
        <v>28.24</v>
      </c>
      <c r="V20" s="41">
        <v>28.24</v>
      </c>
      <c r="W20" s="41">
        <v>564.79999999999995</v>
      </c>
      <c r="X20" s="41">
        <v>14015</v>
      </c>
      <c r="Y20" s="41">
        <v>14015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700.75</v>
      </c>
      <c r="AG20" s="41">
        <v>701</v>
      </c>
      <c r="AH20" s="36">
        <v>45437</v>
      </c>
      <c r="AI20" s="36"/>
      <c r="AJ20" s="36"/>
      <c r="AK20" s="36">
        <v>45468</v>
      </c>
      <c r="AL20" s="36"/>
      <c r="AM20" s="46"/>
      <c r="AN20" s="40" t="s">
        <v>1774</v>
      </c>
      <c r="AO20" s="40" t="s">
        <v>1775</v>
      </c>
      <c r="AP20" s="40" t="s">
        <v>1776</v>
      </c>
      <c r="AQ20" s="40" t="s">
        <v>80</v>
      </c>
      <c r="AR20" s="48">
        <v>100</v>
      </c>
      <c r="AS20" s="37">
        <v>0</v>
      </c>
      <c r="AT20" s="37" t="s">
        <v>314</v>
      </c>
      <c r="AU20" s="47">
        <v>20</v>
      </c>
      <c r="AV20" s="37" t="s">
        <v>219</v>
      </c>
      <c r="AW20" s="37">
        <v>10</v>
      </c>
      <c r="AX20" s="30">
        <v>39578.36</v>
      </c>
      <c r="AY20" s="40" t="s">
        <v>402</v>
      </c>
    </row>
    <row r="21" spans="1:51" ht="48.75" customHeight="1" x14ac:dyDescent="0.25">
      <c r="A21" s="59" t="s">
        <v>1777</v>
      </c>
      <c r="B21" s="60">
        <v>45317</v>
      </c>
      <c r="C21" s="40">
        <v>1688</v>
      </c>
      <c r="D21" s="35" t="s">
        <v>1778</v>
      </c>
      <c r="E21" s="39" t="s">
        <v>1779</v>
      </c>
      <c r="F21" s="36">
        <v>45341</v>
      </c>
      <c r="G21" s="37" t="s">
        <v>1780</v>
      </c>
      <c r="H21" s="40" t="s">
        <v>1751</v>
      </c>
      <c r="I21" s="40" t="s">
        <v>1477</v>
      </c>
      <c r="J21" s="61">
        <v>58226215.799999997</v>
      </c>
      <c r="K21" s="41">
        <v>0</v>
      </c>
      <c r="L21" s="54">
        <v>0</v>
      </c>
      <c r="M21" s="54">
        <v>0</v>
      </c>
      <c r="N21" s="42">
        <v>0</v>
      </c>
      <c r="O21" s="43">
        <v>0</v>
      </c>
      <c r="P21" s="41">
        <v>58226215.799999997</v>
      </c>
      <c r="Q21" s="43">
        <v>0</v>
      </c>
      <c r="R21" s="41">
        <v>58226215.799999997</v>
      </c>
      <c r="S21" s="30">
        <v>58226215.799999997</v>
      </c>
      <c r="T21" s="30">
        <v>58226215.799999997</v>
      </c>
      <c r="U21" s="30">
        <v>233.10999999999999</v>
      </c>
      <c r="V21" s="41">
        <v>233.10999999999999</v>
      </c>
      <c r="W21" s="41">
        <v>2331.1</v>
      </c>
      <c r="X21" s="41">
        <v>249780</v>
      </c>
      <c r="Y21" s="41">
        <v>249780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24978</v>
      </c>
      <c r="AG21" s="41">
        <v>24978</v>
      </c>
      <c r="AH21" s="36">
        <v>45621</v>
      </c>
      <c r="AI21" s="36"/>
      <c r="AJ21" s="36"/>
      <c r="AK21" s="36">
        <v>45649</v>
      </c>
      <c r="AL21" s="36"/>
      <c r="AM21" s="46"/>
      <c r="AN21" s="40" t="s">
        <v>1781</v>
      </c>
      <c r="AO21" s="40" t="s">
        <v>1782</v>
      </c>
      <c r="AP21" s="40" t="s">
        <v>1783</v>
      </c>
      <c r="AQ21" s="40" t="s">
        <v>80</v>
      </c>
      <c r="AR21" s="48">
        <v>100</v>
      </c>
      <c r="AS21" s="37">
        <v>0</v>
      </c>
      <c r="AT21" s="37" t="s">
        <v>314</v>
      </c>
      <c r="AU21" s="47">
        <v>10</v>
      </c>
      <c r="AV21" s="37" t="s">
        <v>60</v>
      </c>
      <c r="AW21" s="37">
        <v>10</v>
      </c>
      <c r="AX21" s="30">
        <v>5822621.5800000001</v>
      </c>
      <c r="AY21" s="40" t="s">
        <v>402</v>
      </c>
    </row>
    <row r="22" spans="1:51" ht="48.75" customHeight="1" x14ac:dyDescent="0.25">
      <c r="A22" s="59" t="s">
        <v>1784</v>
      </c>
      <c r="B22" s="60">
        <v>45317</v>
      </c>
      <c r="C22" s="40">
        <v>1688</v>
      </c>
      <c r="D22" s="35" t="s">
        <v>1785</v>
      </c>
      <c r="E22" s="39" t="s">
        <v>1786</v>
      </c>
      <c r="F22" s="36">
        <v>45341</v>
      </c>
      <c r="G22" s="37" t="s">
        <v>1787</v>
      </c>
      <c r="H22" s="40" t="s">
        <v>1751</v>
      </c>
      <c r="I22" s="40" t="s">
        <v>1495</v>
      </c>
      <c r="J22" s="61">
        <v>14520564.800000001</v>
      </c>
      <c r="K22" s="41">
        <v>0</v>
      </c>
      <c r="L22" s="54">
        <v>0</v>
      </c>
      <c r="M22" s="54">
        <v>0</v>
      </c>
      <c r="N22" s="42">
        <v>0</v>
      </c>
      <c r="O22" s="43">
        <v>0</v>
      </c>
      <c r="P22" s="41">
        <v>14520564.800000001</v>
      </c>
      <c r="Q22" s="43">
        <v>0</v>
      </c>
      <c r="R22" s="41">
        <v>14520564.800000001</v>
      </c>
      <c r="S22" s="30">
        <v>14520564.800000001</v>
      </c>
      <c r="T22" s="30">
        <v>14520564.800000001</v>
      </c>
      <c r="U22" s="30">
        <v>68.39</v>
      </c>
      <c r="V22" s="41">
        <v>68.39</v>
      </c>
      <c r="W22" s="41">
        <v>1367.8</v>
      </c>
      <c r="X22" s="41">
        <v>212320</v>
      </c>
      <c r="Y22" s="41">
        <v>212320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10616</v>
      </c>
      <c r="AG22" s="41">
        <v>10616</v>
      </c>
      <c r="AH22" s="36">
        <v>45366</v>
      </c>
      <c r="AI22" s="36"/>
      <c r="AJ22" s="36"/>
      <c r="AK22" s="36">
        <v>45397</v>
      </c>
      <c r="AL22" s="36"/>
      <c r="AM22" s="46"/>
      <c r="AN22" s="40" t="s">
        <v>1788</v>
      </c>
      <c r="AO22" s="40" t="s">
        <v>1789</v>
      </c>
      <c r="AP22" s="40" t="s">
        <v>1790</v>
      </c>
      <c r="AQ22" s="40" t="s">
        <v>80</v>
      </c>
      <c r="AR22" s="48">
        <v>100</v>
      </c>
      <c r="AS22" s="37">
        <v>0</v>
      </c>
      <c r="AT22" s="37" t="s">
        <v>314</v>
      </c>
      <c r="AU22" s="47">
        <v>20</v>
      </c>
      <c r="AV22" s="37" t="s">
        <v>60</v>
      </c>
      <c r="AW22" s="37">
        <v>10</v>
      </c>
      <c r="AX22" s="30">
        <v>1452056.48</v>
      </c>
      <c r="AY22" s="40" t="s">
        <v>402</v>
      </c>
    </row>
    <row r="23" spans="1:51" ht="48.75" customHeight="1" x14ac:dyDescent="0.25">
      <c r="A23" s="59" t="s">
        <v>1791</v>
      </c>
      <c r="B23" s="60">
        <v>45320</v>
      </c>
      <c r="C23" s="40">
        <v>1688</v>
      </c>
      <c r="D23" s="35" t="s">
        <v>1792</v>
      </c>
      <c r="E23" s="39" t="s">
        <v>1793</v>
      </c>
      <c r="F23" s="36">
        <v>45343</v>
      </c>
      <c r="G23" s="37" t="s">
        <v>1794</v>
      </c>
      <c r="H23" s="40" t="s">
        <v>1795</v>
      </c>
      <c r="I23" s="40" t="s">
        <v>1796</v>
      </c>
      <c r="J23" s="61">
        <v>15481314</v>
      </c>
      <c r="K23" s="41">
        <v>0</v>
      </c>
      <c r="L23" s="54">
        <v>0</v>
      </c>
      <c r="M23" s="54">
        <v>0</v>
      </c>
      <c r="N23" s="42">
        <v>0</v>
      </c>
      <c r="O23" s="43">
        <v>0</v>
      </c>
      <c r="P23" s="61">
        <v>15481314</v>
      </c>
      <c r="Q23" s="43">
        <v>0</v>
      </c>
      <c r="R23" s="61">
        <v>15481314</v>
      </c>
      <c r="S23" s="30">
        <v>15481314</v>
      </c>
      <c r="T23" s="30">
        <v>15481314</v>
      </c>
      <c r="U23" s="30">
        <v>15.01</v>
      </c>
      <c r="V23" s="41">
        <v>15.01</v>
      </c>
      <c r="W23" s="41">
        <v>1501</v>
      </c>
      <c r="X23" s="41">
        <v>1031400</v>
      </c>
      <c r="Y23" s="41">
        <v>200000</v>
      </c>
      <c r="Z23" s="41">
        <v>831400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10314</v>
      </c>
      <c r="AG23" s="41">
        <v>10314</v>
      </c>
      <c r="AH23" s="36">
        <v>45366</v>
      </c>
      <c r="AI23" s="36">
        <v>45412</v>
      </c>
      <c r="AJ23" s="36"/>
      <c r="AK23" s="36">
        <v>45397</v>
      </c>
      <c r="AL23" s="36">
        <v>45444</v>
      </c>
      <c r="AM23" s="46"/>
      <c r="AN23" s="40" t="s">
        <v>1797</v>
      </c>
      <c r="AO23" s="40" t="s">
        <v>1798</v>
      </c>
      <c r="AP23" s="40" t="s">
        <v>1799</v>
      </c>
      <c r="AQ23" s="40" t="s">
        <v>80</v>
      </c>
      <c r="AR23" s="48">
        <v>100</v>
      </c>
      <c r="AS23" s="37">
        <v>0</v>
      </c>
      <c r="AT23" s="37" t="s">
        <v>314</v>
      </c>
      <c r="AU23" s="47">
        <v>100</v>
      </c>
      <c r="AV23" s="37" t="s">
        <v>60</v>
      </c>
      <c r="AW23" s="37">
        <v>10</v>
      </c>
      <c r="AX23" s="30">
        <v>1548131.4</v>
      </c>
      <c r="AY23" s="40" t="s">
        <v>402</v>
      </c>
    </row>
    <row r="24" spans="1:51" ht="48.75" customHeight="1" x14ac:dyDescent="0.25">
      <c r="A24" s="59" t="s">
        <v>1808</v>
      </c>
      <c r="B24" s="60">
        <v>45320</v>
      </c>
      <c r="C24" s="40">
        <v>1688</v>
      </c>
      <c r="D24" s="35" t="s">
        <v>1809</v>
      </c>
      <c r="E24" s="39" t="s">
        <v>1810</v>
      </c>
      <c r="F24" s="36">
        <v>45342</v>
      </c>
      <c r="G24" s="37" t="s">
        <v>1811</v>
      </c>
      <c r="H24" s="40" t="s">
        <v>1751</v>
      </c>
      <c r="I24" s="40" t="s">
        <v>1480</v>
      </c>
      <c r="J24" s="61">
        <v>14220438.699999999</v>
      </c>
      <c r="K24" s="41">
        <v>0</v>
      </c>
      <c r="L24" s="54">
        <v>0</v>
      </c>
      <c r="M24" s="54">
        <v>0</v>
      </c>
      <c r="N24" s="42">
        <v>0</v>
      </c>
      <c r="O24" s="43">
        <v>0</v>
      </c>
      <c r="P24" s="41">
        <v>14220438.699999999</v>
      </c>
      <c r="Q24" s="43">
        <v>0</v>
      </c>
      <c r="R24" s="41">
        <v>14220438.699999999</v>
      </c>
      <c r="S24" s="30">
        <v>14220438.699999999</v>
      </c>
      <c r="T24" s="30">
        <v>14220438.699999999</v>
      </c>
      <c r="U24" s="30">
        <v>36.79</v>
      </c>
      <c r="V24" s="41">
        <v>36.79</v>
      </c>
      <c r="W24" s="41">
        <v>735.8</v>
      </c>
      <c r="X24" s="41">
        <v>386530</v>
      </c>
      <c r="Y24" s="41">
        <v>386530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19326.5</v>
      </c>
      <c r="AG24" s="41">
        <v>19327</v>
      </c>
      <c r="AH24" s="36">
        <v>45366</v>
      </c>
      <c r="AI24" s="36"/>
      <c r="AJ24" s="36"/>
      <c r="AK24" s="36">
        <v>45397</v>
      </c>
      <c r="AL24" s="36"/>
      <c r="AM24" s="46"/>
      <c r="AN24" s="40" t="s">
        <v>1812</v>
      </c>
      <c r="AO24" s="40" t="s">
        <v>1813</v>
      </c>
      <c r="AP24" s="40" t="s">
        <v>1814</v>
      </c>
      <c r="AQ24" s="40" t="s">
        <v>80</v>
      </c>
      <c r="AR24" s="48">
        <v>100</v>
      </c>
      <c r="AS24" s="37">
        <v>0</v>
      </c>
      <c r="AT24" s="37" t="s">
        <v>314</v>
      </c>
      <c r="AU24" s="47">
        <v>20</v>
      </c>
      <c r="AV24" s="37" t="s">
        <v>60</v>
      </c>
      <c r="AW24" s="37">
        <v>10</v>
      </c>
      <c r="AX24" s="30">
        <v>1422043.87</v>
      </c>
      <c r="AY24" s="40" t="s">
        <v>402</v>
      </c>
    </row>
    <row r="25" spans="1:51" ht="48.75" customHeight="1" x14ac:dyDescent="0.25">
      <c r="A25" s="59" t="s">
        <v>1820</v>
      </c>
      <c r="B25" s="60">
        <v>45320</v>
      </c>
      <c r="C25" s="40">
        <v>1688</v>
      </c>
      <c r="D25" s="35" t="s">
        <v>1821</v>
      </c>
      <c r="E25" s="39" t="s">
        <v>1822</v>
      </c>
      <c r="F25" s="36">
        <v>45342</v>
      </c>
      <c r="G25" s="37" t="s">
        <v>1823</v>
      </c>
      <c r="H25" s="40" t="s">
        <v>1751</v>
      </c>
      <c r="I25" s="40" t="s">
        <v>1483</v>
      </c>
      <c r="J25" s="61">
        <v>5451924.5</v>
      </c>
      <c r="K25" s="41">
        <v>0</v>
      </c>
      <c r="L25" s="54">
        <v>0</v>
      </c>
      <c r="M25" s="54">
        <v>0</v>
      </c>
      <c r="N25" s="42">
        <v>0</v>
      </c>
      <c r="O25" s="43">
        <v>0</v>
      </c>
      <c r="P25" s="41">
        <v>5451924.5</v>
      </c>
      <c r="Q25" s="43">
        <v>0</v>
      </c>
      <c r="R25" s="41">
        <v>5451924.5</v>
      </c>
      <c r="S25" s="30">
        <v>5451924.5</v>
      </c>
      <c r="T25" s="30">
        <v>5451924.5</v>
      </c>
      <c r="U25" s="30">
        <v>187.03</v>
      </c>
      <c r="V25" s="41">
        <v>187.03</v>
      </c>
      <c r="W25" s="41">
        <v>1870.3</v>
      </c>
      <c r="X25" s="41">
        <v>29150</v>
      </c>
      <c r="Y25" s="41">
        <v>29150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2915</v>
      </c>
      <c r="AG25" s="41">
        <v>2915</v>
      </c>
      <c r="AH25" s="36">
        <v>45621</v>
      </c>
      <c r="AI25" s="36"/>
      <c r="AJ25" s="36"/>
      <c r="AK25" s="36">
        <v>45649</v>
      </c>
      <c r="AL25" s="36"/>
      <c r="AM25" s="46"/>
      <c r="AN25" s="40" t="s">
        <v>1824</v>
      </c>
      <c r="AO25" s="40" t="s">
        <v>1782</v>
      </c>
      <c r="AP25" s="40" t="s">
        <v>1825</v>
      </c>
      <c r="AQ25" s="40" t="s">
        <v>80</v>
      </c>
      <c r="AR25" s="48">
        <v>100</v>
      </c>
      <c r="AS25" s="37">
        <v>0</v>
      </c>
      <c r="AT25" s="37" t="s">
        <v>314</v>
      </c>
      <c r="AU25" s="47">
        <v>10</v>
      </c>
      <c r="AV25" s="37" t="s">
        <v>219</v>
      </c>
      <c r="AW25" s="37">
        <v>10</v>
      </c>
      <c r="AX25" s="30">
        <v>545192.44999999995</v>
      </c>
      <c r="AY25" s="40" t="s">
        <v>402</v>
      </c>
    </row>
    <row r="26" spans="1:51" ht="48.75" customHeight="1" x14ac:dyDescent="0.25">
      <c r="A26" s="59" t="s">
        <v>1826</v>
      </c>
      <c r="B26" s="60">
        <v>45320</v>
      </c>
      <c r="C26" s="40">
        <v>1688</v>
      </c>
      <c r="D26" s="35" t="s">
        <v>1827</v>
      </c>
      <c r="E26" s="39" t="s">
        <v>1828</v>
      </c>
      <c r="F26" s="36">
        <v>45343</v>
      </c>
      <c r="G26" s="37" t="s">
        <v>1829</v>
      </c>
      <c r="H26" s="40" t="s">
        <v>1830</v>
      </c>
      <c r="I26" s="40" t="s">
        <v>1831</v>
      </c>
      <c r="J26" s="61">
        <v>23115840</v>
      </c>
      <c r="K26" s="41">
        <v>0</v>
      </c>
      <c r="L26" s="54">
        <v>0</v>
      </c>
      <c r="M26" s="54">
        <v>0</v>
      </c>
      <c r="N26" s="42">
        <v>0</v>
      </c>
      <c r="O26" s="43">
        <v>0</v>
      </c>
      <c r="P26" s="61">
        <v>23115840</v>
      </c>
      <c r="Q26" s="43">
        <v>0</v>
      </c>
      <c r="R26" s="61">
        <v>23115840</v>
      </c>
      <c r="S26" s="30">
        <v>23115840</v>
      </c>
      <c r="T26" s="30">
        <v>23115840</v>
      </c>
      <c r="U26" s="30">
        <v>176</v>
      </c>
      <c r="V26" s="41">
        <v>176</v>
      </c>
      <c r="W26" s="41">
        <v>880</v>
      </c>
      <c r="X26" s="41">
        <v>131340</v>
      </c>
      <c r="Y26" s="41">
        <v>131340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26268</v>
      </c>
      <c r="AG26" s="41">
        <v>26268</v>
      </c>
      <c r="AH26" s="36">
        <v>45413</v>
      </c>
      <c r="AI26" s="36"/>
      <c r="AJ26" s="36"/>
      <c r="AK26" s="36">
        <v>45444</v>
      </c>
      <c r="AL26" s="36"/>
      <c r="AM26" s="46"/>
      <c r="AN26" s="40" t="s">
        <v>1832</v>
      </c>
      <c r="AO26" s="40" t="s">
        <v>1833</v>
      </c>
      <c r="AP26" s="40" t="s">
        <v>1834</v>
      </c>
      <c r="AQ26" s="40" t="s">
        <v>80</v>
      </c>
      <c r="AR26" s="48">
        <v>100</v>
      </c>
      <c r="AS26" s="37">
        <v>0</v>
      </c>
      <c r="AT26" s="37" t="s">
        <v>314</v>
      </c>
      <c r="AU26" s="47">
        <v>5</v>
      </c>
      <c r="AV26" s="37" t="s">
        <v>60</v>
      </c>
      <c r="AW26" s="37">
        <v>10</v>
      </c>
      <c r="AX26" s="30">
        <v>2311584</v>
      </c>
      <c r="AY26" s="40" t="s">
        <v>402</v>
      </c>
    </row>
    <row r="27" spans="1:51" ht="48.75" customHeight="1" x14ac:dyDescent="0.25">
      <c r="A27" s="59" t="s">
        <v>1838</v>
      </c>
      <c r="B27" s="60">
        <v>45320</v>
      </c>
      <c r="C27" s="40">
        <v>1688</v>
      </c>
      <c r="D27" s="35" t="s">
        <v>1839</v>
      </c>
      <c r="E27" s="39" t="s">
        <v>1840</v>
      </c>
      <c r="F27" s="36">
        <v>45342</v>
      </c>
      <c r="G27" s="37" t="s">
        <v>1841</v>
      </c>
      <c r="H27" s="40" t="s">
        <v>1751</v>
      </c>
      <c r="I27" s="40" t="s">
        <v>1498</v>
      </c>
      <c r="J27" s="61">
        <v>156002068.31999999</v>
      </c>
      <c r="K27" s="41">
        <v>0</v>
      </c>
      <c r="L27" s="54">
        <v>0</v>
      </c>
      <c r="M27" s="54">
        <v>0</v>
      </c>
      <c r="N27" s="42">
        <v>0</v>
      </c>
      <c r="O27" s="43">
        <v>0</v>
      </c>
      <c r="P27" s="41">
        <v>156002068.31999999</v>
      </c>
      <c r="Q27" s="43">
        <v>0</v>
      </c>
      <c r="R27" s="41">
        <v>156002068.31999999</v>
      </c>
      <c r="S27" s="30">
        <v>156002068.31999999</v>
      </c>
      <c r="T27" s="30">
        <v>156002068.31999999</v>
      </c>
      <c r="U27" s="30" t="s">
        <v>1842</v>
      </c>
      <c r="V27" s="41">
        <v>39.629999999999995</v>
      </c>
      <c r="W27" s="41">
        <v>792.59999999999991</v>
      </c>
      <c r="X27" s="41">
        <v>3936464</v>
      </c>
      <c r="Y27" s="41">
        <v>3936464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196823.2</v>
      </c>
      <c r="AG27" s="41">
        <v>196824</v>
      </c>
      <c r="AH27" s="36">
        <v>45366</v>
      </c>
      <c r="AI27" s="36"/>
      <c r="AJ27" s="36"/>
      <c r="AK27" s="36">
        <v>45397</v>
      </c>
      <c r="AL27" s="36"/>
      <c r="AM27" s="46"/>
      <c r="AN27" s="40" t="s">
        <v>1843</v>
      </c>
      <c r="AO27" s="40" t="s">
        <v>1844</v>
      </c>
      <c r="AP27" s="40" t="s">
        <v>1845</v>
      </c>
      <c r="AQ27" s="40" t="s">
        <v>80</v>
      </c>
      <c r="AR27" s="48">
        <v>100</v>
      </c>
      <c r="AS27" s="37">
        <v>0</v>
      </c>
      <c r="AT27" s="37" t="s">
        <v>314</v>
      </c>
      <c r="AU27" s="47">
        <v>20</v>
      </c>
      <c r="AV27" s="37" t="s">
        <v>60</v>
      </c>
      <c r="AW27" s="37">
        <v>10</v>
      </c>
      <c r="AX27" s="30">
        <v>15600206.831999999</v>
      </c>
      <c r="AY27" s="40" t="s">
        <v>402</v>
      </c>
    </row>
    <row r="28" spans="1:51" ht="48" customHeight="1" x14ac:dyDescent="0.25">
      <c r="A28" s="59" t="s">
        <v>1855</v>
      </c>
      <c r="B28" s="60">
        <v>45322</v>
      </c>
      <c r="C28" s="40">
        <v>1688</v>
      </c>
      <c r="D28" s="37" t="s">
        <v>431</v>
      </c>
      <c r="E28" s="39" t="s">
        <v>1856</v>
      </c>
      <c r="F28" s="37" t="s">
        <v>431</v>
      </c>
      <c r="G28" s="37" t="s">
        <v>431</v>
      </c>
      <c r="H28" s="37" t="s">
        <v>431</v>
      </c>
      <c r="I28" s="62" t="s">
        <v>1857</v>
      </c>
      <c r="J28" s="61">
        <v>27006669.719999999</v>
      </c>
      <c r="K28" s="41">
        <v>0</v>
      </c>
      <c r="L28" s="54">
        <v>0</v>
      </c>
      <c r="M28" s="54">
        <v>0</v>
      </c>
      <c r="N28" s="42">
        <v>100</v>
      </c>
      <c r="O28" s="43">
        <v>27006669.719999999</v>
      </c>
      <c r="P28" s="41"/>
      <c r="Q28" s="43">
        <v>27006669.719999999</v>
      </c>
      <c r="R28" s="41">
        <v>0</v>
      </c>
      <c r="S28" s="30">
        <v>0</v>
      </c>
      <c r="T28" s="30">
        <v>0</v>
      </c>
      <c r="U28" s="30" t="s">
        <v>1858</v>
      </c>
      <c r="V28" s="41">
        <v>0</v>
      </c>
      <c r="W28" s="41">
        <v>0</v>
      </c>
      <c r="X28" s="41">
        <v>414467</v>
      </c>
      <c r="Y28" s="41">
        <v>414467</v>
      </c>
      <c r="Z28" s="41">
        <v>0</v>
      </c>
      <c r="AA28" s="41">
        <v>0</v>
      </c>
      <c r="AB28" s="41"/>
      <c r="AC28" s="41">
        <v>0</v>
      </c>
      <c r="AD28" s="41"/>
      <c r="AE28" s="41">
        <v>0</v>
      </c>
      <c r="AF28" s="41" t="e">
        <v>#DIV/0!</v>
      </c>
      <c r="AG28" s="41" t="e">
        <v>#DIV/0!</v>
      </c>
      <c r="AH28" s="36">
        <v>45621</v>
      </c>
      <c r="AI28" s="36"/>
      <c r="AJ28" s="36"/>
      <c r="AK28" s="36"/>
      <c r="AL28" s="36"/>
      <c r="AM28" s="46"/>
      <c r="AN28" s="40"/>
      <c r="AO28" s="40"/>
      <c r="AP28" s="40"/>
      <c r="AQ28" s="40"/>
      <c r="AR28" s="48"/>
      <c r="AS28" s="37"/>
      <c r="AT28" s="37"/>
      <c r="AU28" s="47"/>
      <c r="AV28" s="37"/>
      <c r="AW28" s="37">
        <v>10</v>
      </c>
      <c r="AX28" s="30">
        <v>2700666.9720000001</v>
      </c>
      <c r="AY28" s="40" t="s">
        <v>431</v>
      </c>
    </row>
    <row r="29" spans="1:51" ht="48" customHeight="1" x14ac:dyDescent="0.25">
      <c r="A29" s="59" t="s">
        <v>1859</v>
      </c>
      <c r="B29" s="60">
        <v>45322</v>
      </c>
      <c r="C29" s="40">
        <v>1688</v>
      </c>
      <c r="D29" s="37" t="s">
        <v>431</v>
      </c>
      <c r="E29" s="39" t="s">
        <v>1860</v>
      </c>
      <c r="F29" s="37" t="s">
        <v>431</v>
      </c>
      <c r="G29" s="37" t="s">
        <v>431</v>
      </c>
      <c r="H29" s="37" t="s">
        <v>431</v>
      </c>
      <c r="I29" s="62" t="s">
        <v>1861</v>
      </c>
      <c r="J29" s="61">
        <v>182095170.19999999</v>
      </c>
      <c r="K29" s="41">
        <v>0</v>
      </c>
      <c r="L29" s="54">
        <v>0</v>
      </c>
      <c r="M29" s="54">
        <v>0</v>
      </c>
      <c r="N29" s="42">
        <v>100</v>
      </c>
      <c r="O29" s="43">
        <v>182095170.19999999</v>
      </c>
      <c r="P29" s="41"/>
      <c r="Q29" s="43">
        <v>182095170.19999999</v>
      </c>
      <c r="R29" s="41">
        <v>0</v>
      </c>
      <c r="S29" s="30">
        <v>0</v>
      </c>
      <c r="T29" s="30">
        <v>0</v>
      </c>
      <c r="U29" s="30">
        <v>429.49</v>
      </c>
      <c r="V29" s="41">
        <v>0</v>
      </c>
      <c r="W29" s="41">
        <v>0</v>
      </c>
      <c r="X29" s="41">
        <v>423980</v>
      </c>
      <c r="Y29" s="41">
        <v>423980</v>
      </c>
      <c r="Z29" s="41">
        <v>0</v>
      </c>
      <c r="AA29" s="41">
        <v>0</v>
      </c>
      <c r="AB29" s="41"/>
      <c r="AC29" s="41">
        <v>0</v>
      </c>
      <c r="AD29" s="41"/>
      <c r="AE29" s="41">
        <v>0</v>
      </c>
      <c r="AF29" s="41" t="e">
        <v>#DIV/0!</v>
      </c>
      <c r="AG29" s="41" t="e">
        <v>#DIV/0!</v>
      </c>
      <c r="AH29" s="36">
        <v>45383</v>
      </c>
      <c r="AI29" s="36"/>
      <c r="AJ29" s="36"/>
      <c r="AK29" s="36"/>
      <c r="AL29" s="36"/>
      <c r="AM29" s="46"/>
      <c r="AN29" s="40"/>
      <c r="AO29" s="40"/>
      <c r="AP29" s="40"/>
      <c r="AQ29" s="40"/>
      <c r="AR29" s="48"/>
      <c r="AS29" s="37"/>
      <c r="AT29" s="37"/>
      <c r="AU29" s="47"/>
      <c r="AV29" s="37"/>
      <c r="AW29" s="37">
        <v>10</v>
      </c>
      <c r="AX29" s="30">
        <v>18209517.02</v>
      </c>
      <c r="AY29" s="40" t="s">
        <v>431</v>
      </c>
    </row>
    <row r="30" spans="1:51" ht="48" customHeight="1" x14ac:dyDescent="0.25">
      <c r="A30" s="59" t="s">
        <v>1862</v>
      </c>
      <c r="B30" s="60">
        <v>45322</v>
      </c>
      <c r="C30" s="40">
        <v>1688</v>
      </c>
      <c r="D30" s="37" t="s">
        <v>431</v>
      </c>
      <c r="E30" s="39" t="s">
        <v>1863</v>
      </c>
      <c r="F30" s="37" t="s">
        <v>431</v>
      </c>
      <c r="G30" s="37" t="s">
        <v>431</v>
      </c>
      <c r="H30" s="37" t="s">
        <v>431</v>
      </c>
      <c r="I30" s="62" t="s">
        <v>1864</v>
      </c>
      <c r="J30" s="61">
        <v>1446902272.8</v>
      </c>
      <c r="K30" s="41">
        <v>0</v>
      </c>
      <c r="L30" s="54">
        <v>0</v>
      </c>
      <c r="M30" s="54">
        <v>0</v>
      </c>
      <c r="N30" s="42">
        <v>100</v>
      </c>
      <c r="O30" s="43">
        <v>1446902272.8</v>
      </c>
      <c r="P30" s="41"/>
      <c r="Q30" s="43">
        <v>1446902272.8</v>
      </c>
      <c r="R30" s="41">
        <v>0</v>
      </c>
      <c r="S30" s="30">
        <v>0</v>
      </c>
      <c r="T30" s="30">
        <v>0</v>
      </c>
      <c r="U30" s="30">
        <v>1406.07</v>
      </c>
      <c r="V30" s="41">
        <v>0</v>
      </c>
      <c r="W30" s="41">
        <v>0</v>
      </c>
      <c r="X30" s="41">
        <v>1029040</v>
      </c>
      <c r="Y30" s="41">
        <v>1029040</v>
      </c>
      <c r="Z30" s="41">
        <v>0</v>
      </c>
      <c r="AA30" s="41">
        <v>0</v>
      </c>
      <c r="AB30" s="41"/>
      <c r="AC30" s="41">
        <v>0</v>
      </c>
      <c r="AD30" s="41"/>
      <c r="AE30" s="41">
        <v>0</v>
      </c>
      <c r="AF30" s="41" t="e">
        <v>#DIV/0!</v>
      </c>
      <c r="AG30" s="41" t="e">
        <v>#DIV/0!</v>
      </c>
      <c r="AH30" s="36">
        <v>45383</v>
      </c>
      <c r="AI30" s="36"/>
      <c r="AJ30" s="36"/>
      <c r="AK30" s="36"/>
      <c r="AL30" s="36"/>
      <c r="AM30" s="46"/>
      <c r="AN30" s="40"/>
      <c r="AO30" s="40"/>
      <c r="AP30" s="40"/>
      <c r="AQ30" s="40"/>
      <c r="AR30" s="48"/>
      <c r="AS30" s="37"/>
      <c r="AT30" s="37"/>
      <c r="AU30" s="47"/>
      <c r="AV30" s="37"/>
      <c r="AW30" s="37">
        <v>10</v>
      </c>
      <c r="AX30" s="30">
        <v>144690227.28</v>
      </c>
      <c r="AY30" s="40" t="s">
        <v>431</v>
      </c>
    </row>
    <row r="31" spans="1:51" ht="48" customHeight="1" x14ac:dyDescent="0.25">
      <c r="A31" s="59" t="s">
        <v>1865</v>
      </c>
      <c r="B31" s="60">
        <v>45322</v>
      </c>
      <c r="C31" s="40">
        <v>1688</v>
      </c>
      <c r="D31" s="37" t="s">
        <v>431</v>
      </c>
      <c r="E31" s="39" t="s">
        <v>1866</v>
      </c>
      <c r="F31" s="37" t="s">
        <v>431</v>
      </c>
      <c r="G31" s="37" t="s">
        <v>431</v>
      </c>
      <c r="H31" s="37" t="s">
        <v>431</v>
      </c>
      <c r="I31" s="63" t="s">
        <v>1867</v>
      </c>
      <c r="J31" s="61">
        <v>3496393.9</v>
      </c>
      <c r="K31" s="41">
        <v>0</v>
      </c>
      <c r="L31" s="54">
        <v>0</v>
      </c>
      <c r="M31" s="54">
        <v>0</v>
      </c>
      <c r="N31" s="42">
        <v>100</v>
      </c>
      <c r="O31" s="43">
        <v>3496393.9</v>
      </c>
      <c r="P31" s="41"/>
      <c r="Q31" s="43">
        <v>3496393.9</v>
      </c>
      <c r="R31" s="41">
        <v>0</v>
      </c>
      <c r="S31" s="30">
        <v>0</v>
      </c>
      <c r="T31" s="30">
        <v>0</v>
      </c>
      <c r="U31" s="30">
        <v>127.1</v>
      </c>
      <c r="V31" s="41">
        <v>0</v>
      </c>
      <c r="W31" s="41">
        <v>0</v>
      </c>
      <c r="X31" s="41">
        <v>27509</v>
      </c>
      <c r="Y31" s="41">
        <v>27509</v>
      </c>
      <c r="Z31" s="41">
        <v>0</v>
      </c>
      <c r="AA31" s="41">
        <v>0</v>
      </c>
      <c r="AB31" s="41"/>
      <c r="AC31" s="41">
        <v>0</v>
      </c>
      <c r="AD31" s="41"/>
      <c r="AE31" s="41">
        <v>0</v>
      </c>
      <c r="AF31" s="41" t="e">
        <v>#DIV/0!</v>
      </c>
      <c r="AG31" s="41" t="e">
        <v>#DIV/0!</v>
      </c>
      <c r="AH31" s="36">
        <v>45383</v>
      </c>
      <c r="AI31" s="36"/>
      <c r="AJ31" s="36"/>
      <c r="AK31" s="36"/>
      <c r="AL31" s="36"/>
      <c r="AM31" s="46"/>
      <c r="AN31" s="40"/>
      <c r="AO31" s="40"/>
      <c r="AP31" s="40"/>
      <c r="AQ31" s="40"/>
      <c r="AR31" s="48"/>
      <c r="AS31" s="37"/>
      <c r="AT31" s="37"/>
      <c r="AU31" s="47"/>
      <c r="AV31" s="37"/>
      <c r="AW31" s="37">
        <v>10</v>
      </c>
      <c r="AX31" s="30">
        <v>349639.39</v>
      </c>
      <c r="AY31" s="40" t="s">
        <v>431</v>
      </c>
    </row>
    <row r="32" spans="1:51" ht="48" customHeight="1" x14ac:dyDescent="0.25">
      <c r="A32" s="59" t="s">
        <v>1868</v>
      </c>
      <c r="B32" s="60">
        <v>45322</v>
      </c>
      <c r="C32" s="40">
        <v>1688</v>
      </c>
      <c r="D32" s="35" t="s">
        <v>431</v>
      </c>
      <c r="E32" s="39" t="s">
        <v>1869</v>
      </c>
      <c r="F32" s="36" t="s">
        <v>431</v>
      </c>
      <c r="G32" s="37" t="s">
        <v>431</v>
      </c>
      <c r="H32" s="40" t="s">
        <v>431</v>
      </c>
      <c r="I32" s="63" t="s">
        <v>1870</v>
      </c>
      <c r="J32" s="61">
        <v>311730449.25</v>
      </c>
      <c r="K32" s="41">
        <v>0</v>
      </c>
      <c r="L32" s="54">
        <v>0</v>
      </c>
      <c r="M32" s="54">
        <v>0</v>
      </c>
      <c r="N32" s="42">
        <v>100</v>
      </c>
      <c r="O32" s="43">
        <v>311730449.25</v>
      </c>
      <c r="P32" s="41"/>
      <c r="Q32" s="43">
        <v>311730449.25</v>
      </c>
      <c r="R32" s="41">
        <v>0</v>
      </c>
      <c r="S32" s="30">
        <v>0</v>
      </c>
      <c r="T32" s="30">
        <v>0</v>
      </c>
      <c r="U32" s="30">
        <v>49.15</v>
      </c>
      <c r="V32" s="41">
        <v>0</v>
      </c>
      <c r="W32" s="41">
        <v>0</v>
      </c>
      <c r="X32" s="41">
        <v>634695</v>
      </c>
      <c r="Y32" s="41">
        <v>634695</v>
      </c>
      <c r="Z32" s="41">
        <v>0</v>
      </c>
      <c r="AA32" s="41">
        <v>0</v>
      </c>
      <c r="AB32" s="41"/>
      <c r="AC32" s="41">
        <v>0</v>
      </c>
      <c r="AD32" s="41"/>
      <c r="AE32" s="41">
        <v>0</v>
      </c>
      <c r="AF32" s="41" t="e">
        <v>#DIV/0!</v>
      </c>
      <c r="AG32" s="41" t="e">
        <v>#DIV/0!</v>
      </c>
      <c r="AH32" s="36">
        <v>45641</v>
      </c>
      <c r="AI32" s="36"/>
      <c r="AJ32" s="36"/>
      <c r="AK32" s="36"/>
      <c r="AL32" s="36"/>
      <c r="AM32" s="46"/>
      <c r="AN32" s="40"/>
      <c r="AO32" s="40"/>
      <c r="AP32" s="40"/>
      <c r="AQ32" s="40"/>
      <c r="AR32" s="48"/>
      <c r="AS32" s="37"/>
      <c r="AT32" s="37"/>
      <c r="AU32" s="47"/>
      <c r="AV32" s="37"/>
      <c r="AW32" s="37">
        <v>10</v>
      </c>
      <c r="AX32" s="30">
        <v>31173044.925000001</v>
      </c>
      <c r="AY32" s="40" t="s">
        <v>431</v>
      </c>
    </row>
    <row r="33" spans="1:51" ht="39" customHeight="1" x14ac:dyDescent="0.25">
      <c r="A33" s="59" t="s">
        <v>2023</v>
      </c>
      <c r="B33" s="60">
        <v>45327</v>
      </c>
      <c r="C33" s="40">
        <v>1688</v>
      </c>
      <c r="D33" s="35"/>
      <c r="E33" s="39" t="s">
        <v>2024</v>
      </c>
      <c r="F33" s="36">
        <v>45352</v>
      </c>
      <c r="G33" s="37" t="s">
        <v>2025</v>
      </c>
      <c r="H33" s="40" t="s">
        <v>1751</v>
      </c>
      <c r="I33" s="62" t="s">
        <v>2026</v>
      </c>
      <c r="J33" s="61">
        <v>514258.4</v>
      </c>
      <c r="K33" s="41">
        <v>0</v>
      </c>
      <c r="L33" s="54">
        <v>0</v>
      </c>
      <c r="M33" s="54">
        <v>0</v>
      </c>
      <c r="N33" s="42">
        <v>0</v>
      </c>
      <c r="O33" s="43">
        <v>0</v>
      </c>
      <c r="P33" s="61">
        <v>514258.4</v>
      </c>
      <c r="Q33" s="43">
        <v>0</v>
      </c>
      <c r="R33" s="61">
        <v>514258.4</v>
      </c>
      <c r="S33" s="30">
        <v>514258.4</v>
      </c>
      <c r="T33" s="30">
        <v>514258.4</v>
      </c>
      <c r="U33" s="30">
        <v>162.74</v>
      </c>
      <c r="V33" s="41">
        <v>162.74</v>
      </c>
      <c r="W33" s="41">
        <v>1627.4</v>
      </c>
      <c r="X33" s="41">
        <v>3160</v>
      </c>
      <c r="Y33" s="41">
        <v>3160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316</v>
      </c>
      <c r="AG33" s="41">
        <v>316</v>
      </c>
      <c r="AH33" s="36">
        <v>45383</v>
      </c>
      <c r="AI33" s="36"/>
      <c r="AJ33" s="36"/>
      <c r="AK33" s="36">
        <v>45413</v>
      </c>
      <c r="AL33" s="36"/>
      <c r="AM33" s="46"/>
      <c r="AN33" s="40" t="s">
        <v>2027</v>
      </c>
      <c r="AO33" s="40" t="s">
        <v>2028</v>
      </c>
      <c r="AP33" s="40" t="s">
        <v>2029</v>
      </c>
      <c r="AQ33" s="40" t="s">
        <v>80</v>
      </c>
      <c r="AR33" s="48">
        <v>100</v>
      </c>
      <c r="AS33" s="37">
        <v>0</v>
      </c>
      <c r="AT33" s="37" t="s">
        <v>314</v>
      </c>
      <c r="AU33" s="47">
        <v>10</v>
      </c>
      <c r="AV33" s="37" t="s">
        <v>219</v>
      </c>
      <c r="AW33" s="37">
        <v>10</v>
      </c>
      <c r="AX33" s="30">
        <v>51425.84</v>
      </c>
      <c r="AY33" s="40" t="s">
        <v>402</v>
      </c>
    </row>
    <row r="34" spans="1:51" ht="42" customHeight="1" x14ac:dyDescent="0.25">
      <c r="A34" s="59" t="s">
        <v>2420</v>
      </c>
      <c r="B34" s="60">
        <v>45348</v>
      </c>
      <c r="C34" s="37">
        <v>1688</v>
      </c>
      <c r="D34" s="35"/>
      <c r="E34" s="39" t="s">
        <v>2421</v>
      </c>
      <c r="F34" s="36"/>
      <c r="G34" s="37"/>
      <c r="H34" s="40"/>
      <c r="I34" s="62" t="s">
        <v>1867</v>
      </c>
      <c r="J34" s="61">
        <v>3496393.9</v>
      </c>
      <c r="K34" s="41">
        <v>0</v>
      </c>
      <c r="L34" s="54">
        <v>0</v>
      </c>
      <c r="M34" s="54">
        <v>0</v>
      </c>
      <c r="N34" s="42">
        <v>100</v>
      </c>
      <c r="O34" s="43">
        <v>3496393.9</v>
      </c>
      <c r="P34" s="41"/>
      <c r="Q34" s="43">
        <v>3496393.9</v>
      </c>
      <c r="R34" s="41">
        <v>0</v>
      </c>
      <c r="S34" s="30">
        <v>0</v>
      </c>
      <c r="T34" s="30">
        <v>0</v>
      </c>
      <c r="U34" s="30" t="e">
        <v>#DIV/0!</v>
      </c>
      <c r="V34" s="41" t="e">
        <v>#DIV/0!</v>
      </c>
      <c r="W34" s="41" t="e">
        <v>#DIV/0!</v>
      </c>
      <c r="X34" s="41">
        <v>0</v>
      </c>
      <c r="Y34" s="41">
        <v>0</v>
      </c>
      <c r="Z34" s="41">
        <v>0</v>
      </c>
      <c r="AA34" s="41">
        <v>0</v>
      </c>
      <c r="AB34" s="41"/>
      <c r="AC34" s="41" t="e">
        <v>#DIV/0!</v>
      </c>
      <c r="AD34" s="41"/>
      <c r="AE34" s="41" t="e">
        <v>#DIV/0!</v>
      </c>
      <c r="AF34" s="41" t="e">
        <v>#DIV/0!</v>
      </c>
      <c r="AG34" s="41" t="e">
        <v>#DIV/0!</v>
      </c>
      <c r="AH34" s="36">
        <v>45536</v>
      </c>
      <c r="AI34" s="36"/>
      <c r="AJ34" s="36"/>
      <c r="AK34" s="36"/>
      <c r="AL34" s="36"/>
      <c r="AM34" s="46"/>
      <c r="AN34" s="40"/>
      <c r="AO34" s="40"/>
      <c r="AP34" s="40"/>
      <c r="AQ34" s="40"/>
      <c r="AR34" s="48"/>
      <c r="AS34" s="37"/>
      <c r="AT34" s="37"/>
      <c r="AU34" s="47"/>
      <c r="AV34" s="37"/>
      <c r="AW34" s="37">
        <v>10</v>
      </c>
      <c r="AX34" s="30">
        <v>349639.39</v>
      </c>
      <c r="AY34" s="40"/>
    </row>
    <row r="35" spans="1:51" ht="43.5" customHeight="1" x14ac:dyDescent="0.25">
      <c r="A35" s="59" t="s">
        <v>2545</v>
      </c>
      <c r="B35" s="60">
        <v>45352</v>
      </c>
      <c r="C35" s="37">
        <v>1688</v>
      </c>
      <c r="D35" s="35"/>
      <c r="E35" s="40"/>
      <c r="F35" s="36"/>
      <c r="G35" s="37"/>
      <c r="H35" s="40"/>
      <c r="I35" s="62" t="s">
        <v>2546</v>
      </c>
      <c r="J35" s="61">
        <v>1539268903.2</v>
      </c>
      <c r="K35" s="41">
        <v>0</v>
      </c>
      <c r="L35" s="54">
        <v>0</v>
      </c>
      <c r="M35" s="54">
        <v>0</v>
      </c>
      <c r="N35" s="42">
        <v>100</v>
      </c>
      <c r="O35" s="43">
        <v>1539268903.2</v>
      </c>
      <c r="P35" s="41"/>
      <c r="Q35" s="43">
        <v>1539268903.2</v>
      </c>
      <c r="R35" s="41">
        <v>0</v>
      </c>
      <c r="S35" s="30">
        <v>0</v>
      </c>
      <c r="T35" s="30">
        <v>0</v>
      </c>
      <c r="U35" s="30" t="e">
        <v>#DIV/0!</v>
      </c>
      <c r="V35" s="41" t="e">
        <v>#DIV/0!</v>
      </c>
      <c r="W35" s="41" t="e">
        <v>#DIV/0!</v>
      </c>
      <c r="X35" s="41">
        <v>0</v>
      </c>
      <c r="Y35" s="41">
        <v>0</v>
      </c>
      <c r="Z35" s="41">
        <v>0</v>
      </c>
      <c r="AA35" s="41">
        <v>0</v>
      </c>
      <c r="AB35" s="41"/>
      <c r="AC35" s="41" t="e">
        <v>#DIV/0!</v>
      </c>
      <c r="AD35" s="41"/>
      <c r="AE35" s="41" t="e">
        <v>#DIV/0!</v>
      </c>
      <c r="AF35" s="41" t="e">
        <v>#DIV/0!</v>
      </c>
      <c r="AG35" s="41" t="e">
        <v>#DIV/0!</v>
      </c>
      <c r="AH35" s="36">
        <v>45427</v>
      </c>
      <c r="AI35" s="36"/>
      <c r="AJ35" s="36"/>
      <c r="AK35" s="36"/>
      <c r="AL35" s="36"/>
      <c r="AM35" s="46"/>
      <c r="AN35" s="40"/>
      <c r="AO35" s="40"/>
      <c r="AP35" s="40"/>
      <c r="AQ35" s="40"/>
      <c r="AR35" s="48"/>
      <c r="AS35" s="37"/>
      <c r="AT35" s="37"/>
      <c r="AU35" s="47"/>
      <c r="AV35" s="37"/>
      <c r="AW35" s="37">
        <v>10</v>
      </c>
      <c r="AX35" s="30">
        <v>153926890.31999999</v>
      </c>
      <c r="AY35" s="40"/>
    </row>
    <row r="36" spans="1:51" x14ac:dyDescent="0.25">
      <c r="AE36" s="41">
        <f t="shared" ref="AE3:AE66" si="0">AD36*V36</f>
        <v>0</v>
      </c>
    </row>
    <row r="37" spans="1:51" x14ac:dyDescent="0.25">
      <c r="AE37" s="41">
        <f t="shared" si="0"/>
        <v>0</v>
      </c>
    </row>
    <row r="38" spans="1:51" x14ac:dyDescent="0.25">
      <c r="AE38" s="41">
        <f t="shared" si="0"/>
        <v>0</v>
      </c>
    </row>
    <row r="39" spans="1:51" x14ac:dyDescent="0.25">
      <c r="AE39" s="41">
        <f t="shared" si="0"/>
        <v>0</v>
      </c>
    </row>
    <row r="40" spans="1:51" x14ac:dyDescent="0.25">
      <c r="AE40" s="41">
        <f t="shared" si="0"/>
        <v>0</v>
      </c>
    </row>
    <row r="41" spans="1:51" x14ac:dyDescent="0.25">
      <c r="AE41" s="41">
        <f t="shared" si="0"/>
        <v>0</v>
      </c>
    </row>
    <row r="42" spans="1:51" x14ac:dyDescent="0.25">
      <c r="AE42" s="41">
        <f t="shared" si="0"/>
        <v>0</v>
      </c>
    </row>
    <row r="43" spans="1:51" x14ac:dyDescent="0.25">
      <c r="AE43" s="41">
        <f t="shared" si="0"/>
        <v>0</v>
      </c>
    </row>
    <row r="44" spans="1:51" x14ac:dyDescent="0.25">
      <c r="AE44" s="41">
        <f t="shared" si="0"/>
        <v>0</v>
      </c>
    </row>
    <row r="45" spans="1:51" x14ac:dyDescent="0.25">
      <c r="AE45" s="41">
        <f t="shared" si="0"/>
        <v>0</v>
      </c>
    </row>
    <row r="46" spans="1:51" x14ac:dyDescent="0.25">
      <c r="AE46" s="41">
        <f t="shared" si="0"/>
        <v>0</v>
      </c>
    </row>
    <row r="47" spans="1:51" x14ac:dyDescent="0.25">
      <c r="AE47" s="41">
        <f t="shared" si="0"/>
        <v>0</v>
      </c>
    </row>
    <row r="48" spans="1:51" x14ac:dyDescent="0.25">
      <c r="AE48" s="41">
        <f t="shared" si="0"/>
        <v>0</v>
      </c>
    </row>
    <row r="49" spans="31:31" x14ac:dyDescent="0.25">
      <c r="AE49" s="41">
        <f t="shared" si="0"/>
        <v>0</v>
      </c>
    </row>
    <row r="50" spans="31:31" x14ac:dyDescent="0.25">
      <c r="AE50" s="41">
        <f t="shared" si="0"/>
        <v>0</v>
      </c>
    </row>
    <row r="51" spans="31:31" x14ac:dyDescent="0.25">
      <c r="AE51" s="41">
        <f t="shared" si="0"/>
        <v>0</v>
      </c>
    </row>
    <row r="52" spans="31:31" x14ac:dyDescent="0.25">
      <c r="AE52" s="41">
        <f t="shared" si="0"/>
        <v>0</v>
      </c>
    </row>
    <row r="53" spans="31:31" x14ac:dyDescent="0.25">
      <c r="AE53" s="41">
        <f t="shared" si="0"/>
        <v>0</v>
      </c>
    </row>
    <row r="54" spans="31:31" x14ac:dyDescent="0.25">
      <c r="AE54" s="41">
        <f t="shared" si="0"/>
        <v>0</v>
      </c>
    </row>
    <row r="55" spans="31:31" x14ac:dyDescent="0.25">
      <c r="AE55" s="41">
        <f t="shared" si="0"/>
        <v>0</v>
      </c>
    </row>
    <row r="56" spans="31:31" x14ac:dyDescent="0.25">
      <c r="AE56" s="41">
        <f t="shared" si="0"/>
        <v>0</v>
      </c>
    </row>
    <row r="57" spans="31:31" x14ac:dyDescent="0.25">
      <c r="AE57" s="41">
        <f t="shared" si="0"/>
        <v>0</v>
      </c>
    </row>
    <row r="58" spans="31:31" x14ac:dyDescent="0.25">
      <c r="AE58" s="41">
        <f t="shared" si="0"/>
        <v>0</v>
      </c>
    </row>
    <row r="59" spans="31:31" x14ac:dyDescent="0.25">
      <c r="AE59" s="41">
        <f t="shared" si="0"/>
        <v>0</v>
      </c>
    </row>
    <row r="60" spans="31:31" x14ac:dyDescent="0.25">
      <c r="AE60" s="41">
        <f t="shared" si="0"/>
        <v>0</v>
      </c>
    </row>
    <row r="61" spans="31:31" x14ac:dyDescent="0.25">
      <c r="AE61" s="41">
        <f t="shared" si="0"/>
        <v>0</v>
      </c>
    </row>
    <row r="62" spans="31:31" x14ac:dyDescent="0.25">
      <c r="AE62" s="41">
        <f t="shared" si="0"/>
        <v>0</v>
      </c>
    </row>
    <row r="63" spans="31:31" x14ac:dyDescent="0.25">
      <c r="AE63" s="41">
        <f t="shared" si="0"/>
        <v>0</v>
      </c>
    </row>
    <row r="64" spans="31:31" x14ac:dyDescent="0.25">
      <c r="AE64" s="41">
        <f t="shared" si="0"/>
        <v>0</v>
      </c>
    </row>
    <row r="65" spans="31:31" x14ac:dyDescent="0.25">
      <c r="AE65" s="41">
        <f t="shared" si="0"/>
        <v>0</v>
      </c>
    </row>
    <row r="66" spans="31:31" x14ac:dyDescent="0.25">
      <c r="AE66" s="41">
        <f t="shared" si="0"/>
        <v>0</v>
      </c>
    </row>
    <row r="67" spans="31:31" x14ac:dyDescent="0.25">
      <c r="AE67" s="41">
        <f t="shared" ref="AE67:AE104" si="1">AD67*V67</f>
        <v>0</v>
      </c>
    </row>
    <row r="68" spans="31:31" x14ac:dyDescent="0.25">
      <c r="AE68" s="41">
        <f t="shared" si="1"/>
        <v>0</v>
      </c>
    </row>
    <row r="69" spans="31:31" x14ac:dyDescent="0.25">
      <c r="AE69" s="41">
        <f t="shared" si="1"/>
        <v>0</v>
      </c>
    </row>
    <row r="70" spans="31:31" x14ac:dyDescent="0.25">
      <c r="AE70" s="41">
        <f t="shared" si="1"/>
        <v>0</v>
      </c>
    </row>
    <row r="71" spans="31:31" x14ac:dyDescent="0.25">
      <c r="AE71" s="41">
        <f t="shared" si="1"/>
        <v>0</v>
      </c>
    </row>
    <row r="72" spans="31:31" x14ac:dyDescent="0.25">
      <c r="AE72" s="41">
        <f t="shared" si="1"/>
        <v>0</v>
      </c>
    </row>
    <row r="73" spans="31:31" x14ac:dyDescent="0.25">
      <c r="AE73" s="41">
        <f t="shared" si="1"/>
        <v>0</v>
      </c>
    </row>
    <row r="74" spans="31:31" x14ac:dyDescent="0.25">
      <c r="AE74" s="41">
        <f t="shared" si="1"/>
        <v>0</v>
      </c>
    </row>
    <row r="75" spans="31:31" x14ac:dyDescent="0.25">
      <c r="AE75" s="41">
        <f t="shared" si="1"/>
        <v>0</v>
      </c>
    </row>
    <row r="76" spans="31:31" x14ac:dyDescent="0.25">
      <c r="AE76" s="41">
        <f t="shared" si="1"/>
        <v>0</v>
      </c>
    </row>
    <row r="77" spans="31:31" x14ac:dyDescent="0.25">
      <c r="AE77" s="41">
        <f t="shared" si="1"/>
        <v>0</v>
      </c>
    </row>
    <row r="78" spans="31:31" x14ac:dyDescent="0.25">
      <c r="AE78" s="41">
        <f t="shared" si="1"/>
        <v>0</v>
      </c>
    </row>
    <row r="79" spans="31:31" x14ac:dyDescent="0.25">
      <c r="AE79" s="41">
        <f t="shared" si="1"/>
        <v>0</v>
      </c>
    </row>
    <row r="80" spans="31:31" x14ac:dyDescent="0.25">
      <c r="AE80" s="41">
        <f t="shared" si="1"/>
        <v>0</v>
      </c>
    </row>
    <row r="81" spans="31:31" x14ac:dyDescent="0.25">
      <c r="AE81" s="41">
        <f t="shared" si="1"/>
        <v>0</v>
      </c>
    </row>
    <row r="82" spans="31:31" x14ac:dyDescent="0.25">
      <c r="AE82" s="41">
        <f t="shared" si="1"/>
        <v>0</v>
      </c>
    </row>
    <row r="83" spans="31:31" x14ac:dyDescent="0.25">
      <c r="AE83" s="41">
        <f t="shared" si="1"/>
        <v>0</v>
      </c>
    </row>
    <row r="84" spans="31:31" x14ac:dyDescent="0.25">
      <c r="AE84" s="41">
        <f t="shared" si="1"/>
        <v>0</v>
      </c>
    </row>
    <row r="85" spans="31:31" x14ac:dyDescent="0.25">
      <c r="AE85" s="41">
        <f t="shared" si="1"/>
        <v>0</v>
      </c>
    </row>
    <row r="86" spans="31:31" x14ac:dyDescent="0.25">
      <c r="AE86" s="41">
        <f t="shared" si="1"/>
        <v>0</v>
      </c>
    </row>
    <row r="87" spans="31:31" x14ac:dyDescent="0.25">
      <c r="AE87" s="41">
        <f t="shared" si="1"/>
        <v>0</v>
      </c>
    </row>
    <row r="88" spans="31:31" x14ac:dyDescent="0.25">
      <c r="AE88" s="41">
        <f t="shared" si="1"/>
        <v>0</v>
      </c>
    </row>
    <row r="89" spans="31:31" x14ac:dyDescent="0.25">
      <c r="AE89" s="41">
        <f t="shared" si="1"/>
        <v>0</v>
      </c>
    </row>
    <row r="90" spans="31:31" x14ac:dyDescent="0.25">
      <c r="AE90" s="41">
        <f t="shared" si="1"/>
        <v>0</v>
      </c>
    </row>
    <row r="91" spans="31:31" x14ac:dyDescent="0.25">
      <c r="AE91" s="41">
        <f t="shared" si="1"/>
        <v>0</v>
      </c>
    </row>
    <row r="92" spans="31:31" x14ac:dyDescent="0.25">
      <c r="AE92" s="41">
        <f t="shared" si="1"/>
        <v>0</v>
      </c>
    </row>
    <row r="93" spans="31:31" x14ac:dyDescent="0.25">
      <c r="AE93" s="41">
        <f t="shared" si="1"/>
        <v>0</v>
      </c>
    </row>
    <row r="94" spans="31:31" x14ac:dyDescent="0.25">
      <c r="AE94" s="41">
        <f t="shared" si="1"/>
        <v>0</v>
      </c>
    </row>
    <row r="95" spans="31:31" x14ac:dyDescent="0.25">
      <c r="AE95" s="41">
        <f t="shared" si="1"/>
        <v>0</v>
      </c>
    </row>
    <row r="96" spans="31:31" x14ac:dyDescent="0.25">
      <c r="AE96" s="41">
        <f t="shared" si="1"/>
        <v>0</v>
      </c>
    </row>
  </sheetData>
  <autoFilter ref="A2:AY6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154A02EA-E73D-4E35-A94F-87A3C03A2E88}"/>
    <hyperlink ref="E4" r:id="rId2" xr:uid="{65CA2D1C-54E9-4797-90DF-85049777249E}"/>
    <hyperlink ref="E5" r:id="rId3" xr:uid="{9C9C3C78-B1C2-4D49-B624-2D21360DCBD5}"/>
    <hyperlink ref="E6" r:id="rId4" xr:uid="{0FAFCFF3-AF07-489E-A766-E2E2BCC04E38}"/>
    <hyperlink ref="E7" r:id="rId5" xr:uid="{E404779D-53FD-4389-8775-E2965746A2CC}"/>
    <hyperlink ref="E8" r:id="rId6" xr:uid="{A7CF0B0D-4BFE-4834-B0EC-6CFE4EE91DE0}"/>
    <hyperlink ref="E9" r:id="rId7" xr:uid="{B06BE95E-38B6-4744-A243-63CCDAE267B4}"/>
    <hyperlink ref="E10" r:id="rId8" xr:uid="{1583616F-3F47-436B-A788-8A22B4406474}"/>
    <hyperlink ref="E11" r:id="rId9" xr:uid="{7617DC85-6C95-4A39-A3F1-52696F53559B}"/>
    <hyperlink ref="E12" r:id="rId10" xr:uid="{98ED0F23-8148-4452-8300-57E2AF85126F}"/>
    <hyperlink ref="E13" r:id="rId11" xr:uid="{B28F5CE1-B6BA-49BC-A721-2829711617F8}"/>
    <hyperlink ref="E14" r:id="rId12" xr:uid="{3FEC7200-A5BC-4CCF-AFC8-9FDD3BF922D0}"/>
    <hyperlink ref="E15" r:id="rId13" xr:uid="{C7E47A72-CEC7-4113-B9C6-2AFDFCA901B3}"/>
    <hyperlink ref="E16" r:id="rId14" xr:uid="{0818AA3D-45DC-4996-843C-E0A82778DFD2}"/>
    <hyperlink ref="E17" r:id="rId15" xr:uid="{F5BD7977-77E2-462D-A7C4-147701EE9DB0}"/>
    <hyperlink ref="E18" r:id="rId16" xr:uid="{AD6ABC06-2A71-4117-AFAA-2C9C6004E163}"/>
    <hyperlink ref="E19" r:id="rId17" xr:uid="{CE502D4E-9F5E-4A09-B1AF-89D349EE27C7}"/>
    <hyperlink ref="E20" r:id="rId18" xr:uid="{CDF4CB25-D0D1-4974-9AA5-8EDF4A3D195B}"/>
    <hyperlink ref="E21" r:id="rId19" xr:uid="{C0E21FE0-5953-4571-B398-93DF769A5BCF}"/>
    <hyperlink ref="E22" r:id="rId20" xr:uid="{F9E37D8B-265D-4E4B-A58E-6BD9E1622B2B}"/>
    <hyperlink ref="E23" r:id="rId21" xr:uid="{74FB911D-C7DE-419E-8DA5-373731CE0A8A}"/>
    <hyperlink ref="E24" r:id="rId22" xr:uid="{3A0B6484-6579-4BAE-923E-D0FE23223525}"/>
    <hyperlink ref="E25" r:id="rId23" xr:uid="{609F2C36-35CB-4C75-A3D7-14652032CAF1}"/>
    <hyperlink ref="E26" r:id="rId24" xr:uid="{69AFA374-0BFC-4997-80D6-12DED1BD6063}"/>
    <hyperlink ref="E27" r:id="rId25" xr:uid="{B68BFFBC-568B-4D33-87A3-62BDA60CA19B}"/>
    <hyperlink ref="E28" r:id="rId26" xr:uid="{6AB345D5-D585-4D75-83C9-F4D647881685}"/>
    <hyperlink ref="E29" r:id="rId27" xr:uid="{89BF4E38-A00B-45E3-9053-31E9E20350D6}"/>
    <hyperlink ref="E30" r:id="rId28" xr:uid="{32AA3FCE-F926-4737-8D5C-F04C44F9BA72}"/>
    <hyperlink ref="E31" r:id="rId29" xr:uid="{CA922A61-13B8-4625-96D4-DA10D0D647BA}"/>
    <hyperlink ref="E32" r:id="rId30" xr:uid="{A3CAC0D1-F869-4C16-A3D9-2EF4840BB575}"/>
    <hyperlink ref="E33" r:id="rId31" xr:uid="{DC3870E9-2F17-484E-AE57-69380FBB0B3B}"/>
    <hyperlink ref="E34" r:id="rId32" xr:uid="{8A8482E6-B1C9-4AE9-B00D-2D4A1685ED0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C92E-0D33-4E60-93AD-B13A5659DE44}">
  <dimension ref="A1:AY102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10" sqref="B10"/>
    </sheetView>
  </sheetViews>
  <sheetFormatPr defaultColWidth="9.140625" defaultRowHeight="15.75" x14ac:dyDescent="0.25"/>
  <cols>
    <col min="1" max="1" width="23.85546875" style="20" customWidth="1"/>
    <col min="2" max="2" width="15.140625" style="71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73" customWidth="1"/>
    <col min="7" max="7" width="33.42578125" style="49" customWidth="1"/>
    <col min="8" max="8" width="19.140625" style="72" customWidth="1"/>
    <col min="9" max="9" width="38.28515625" style="20" customWidth="1"/>
    <col min="10" max="13" width="22.140625" style="49" customWidth="1"/>
    <col min="14" max="14" width="19.140625" style="49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4" customWidth="1"/>
    <col min="26" max="26" width="15.5703125" style="20" customWidth="1"/>
    <col min="27" max="27" width="15.5703125" style="72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49" customWidth="1"/>
    <col min="37" max="37" width="14.85546875" style="49" customWidth="1"/>
    <col min="38" max="38" width="15.42578125" style="20" customWidth="1"/>
    <col min="39" max="39" width="14.85546875" style="74" customWidth="1"/>
    <col min="40" max="40" width="16.28515625" style="72" customWidth="1"/>
    <col min="41" max="41" width="30.42578125" style="72" customWidth="1"/>
    <col min="42" max="42" width="19" style="49" customWidth="1"/>
    <col min="43" max="43" width="16.28515625" style="49" customWidth="1"/>
    <col min="44" max="44" width="11" style="20" customWidth="1"/>
    <col min="45" max="45" width="14.7109375" style="50" customWidth="1"/>
    <col min="46" max="46" width="12.5703125" style="20" customWidth="1"/>
    <col min="47" max="47" width="13.85546875" style="72" customWidth="1"/>
    <col min="48" max="48" width="8.5703125" style="74" customWidth="1"/>
    <col min="49" max="49" width="7.7109375" style="74" customWidth="1"/>
    <col min="50" max="50" width="18.42578125" style="49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53.25" customHeight="1" x14ac:dyDescent="0.25">
      <c r="A3" s="44" t="s">
        <v>315</v>
      </c>
      <c r="B3" s="46">
        <v>45167</v>
      </c>
      <c r="C3" s="40">
        <v>545</v>
      </c>
      <c r="D3" s="35" t="s">
        <v>316</v>
      </c>
      <c r="E3" s="39" t="s">
        <v>317</v>
      </c>
      <c r="F3" s="36">
        <v>45196</v>
      </c>
      <c r="G3" s="37" t="s">
        <v>318</v>
      </c>
      <c r="H3" s="40" t="s">
        <v>319</v>
      </c>
      <c r="I3" s="40" t="s">
        <v>320</v>
      </c>
      <c r="J3" s="54">
        <v>1214876062.4000001</v>
      </c>
      <c r="K3" s="54">
        <v>1214876062.4000001</v>
      </c>
      <c r="L3" s="54">
        <v>0</v>
      </c>
      <c r="M3" s="54">
        <v>0</v>
      </c>
      <c r="N3" s="42">
        <v>0</v>
      </c>
      <c r="O3" s="43">
        <v>0</v>
      </c>
      <c r="P3" s="41">
        <v>1214876062.4000001</v>
      </c>
      <c r="Q3" s="43">
        <v>0</v>
      </c>
      <c r="R3" s="41">
        <v>1214876062.4000001</v>
      </c>
      <c r="S3" s="30">
        <v>1573611177.5999999</v>
      </c>
      <c r="T3" s="30">
        <v>1573611177.5999999</v>
      </c>
      <c r="U3" s="30">
        <v>10766.359999999999</v>
      </c>
      <c r="V3" s="41">
        <v>10766.359999999999</v>
      </c>
      <c r="W3" s="41">
        <v>1507290.4</v>
      </c>
      <c r="X3" s="41">
        <v>146160</v>
      </c>
      <c r="Y3" s="41">
        <v>49980</v>
      </c>
      <c r="Z3" s="41">
        <v>96180</v>
      </c>
      <c r="AA3" s="41">
        <v>0</v>
      </c>
      <c r="AB3" s="41"/>
      <c r="AC3" s="41">
        <v>0</v>
      </c>
      <c r="AD3" s="41"/>
      <c r="AE3" s="41">
        <v>0</v>
      </c>
      <c r="AF3" s="41">
        <v>1044</v>
      </c>
      <c r="AG3" s="41">
        <v>1044</v>
      </c>
      <c r="AH3" s="36">
        <v>45300</v>
      </c>
      <c r="AI3" s="36">
        <v>45413</v>
      </c>
      <c r="AJ3" s="36"/>
      <c r="AK3" s="36">
        <v>45315</v>
      </c>
      <c r="AL3" s="36">
        <v>45444</v>
      </c>
      <c r="AM3" s="46"/>
      <c r="AN3" s="40" t="s">
        <v>321</v>
      </c>
      <c r="AO3" s="40" t="s">
        <v>322</v>
      </c>
      <c r="AP3" s="40" t="s">
        <v>323</v>
      </c>
      <c r="AQ3" s="40" t="s">
        <v>146</v>
      </c>
      <c r="AR3" s="48">
        <v>0</v>
      </c>
      <c r="AS3" s="37">
        <v>100</v>
      </c>
      <c r="AT3" s="37" t="s">
        <v>324</v>
      </c>
      <c r="AU3" s="47">
        <v>140</v>
      </c>
      <c r="AV3" s="37" t="s">
        <v>60</v>
      </c>
      <c r="AW3" s="37">
        <v>10</v>
      </c>
      <c r="AX3" s="30">
        <v>121487606.23999999</v>
      </c>
      <c r="AY3" s="40" t="s">
        <v>325</v>
      </c>
    </row>
    <row r="4" spans="1:51" ht="53.25" customHeight="1" x14ac:dyDescent="0.25">
      <c r="A4" s="44" t="s">
        <v>326</v>
      </c>
      <c r="B4" s="46">
        <v>45160</v>
      </c>
      <c r="C4" s="40">
        <v>545</v>
      </c>
      <c r="D4" s="35" t="s">
        <v>327</v>
      </c>
      <c r="E4" s="39" t="s">
        <v>328</v>
      </c>
      <c r="F4" s="36">
        <v>45190</v>
      </c>
      <c r="G4" s="37" t="s">
        <v>329</v>
      </c>
      <c r="H4" s="40" t="s">
        <v>86</v>
      </c>
      <c r="I4" s="40" t="s">
        <v>330</v>
      </c>
      <c r="J4" s="54">
        <v>1916291597.4000001</v>
      </c>
      <c r="K4" s="54">
        <v>1916291597.4000001</v>
      </c>
      <c r="L4" s="54">
        <v>0</v>
      </c>
      <c r="M4" s="54">
        <v>0</v>
      </c>
      <c r="N4" s="42">
        <v>0</v>
      </c>
      <c r="O4" s="43">
        <v>0</v>
      </c>
      <c r="P4" s="41">
        <v>1916291597.4000001</v>
      </c>
      <c r="Q4" s="43">
        <v>0</v>
      </c>
      <c r="R4" s="41">
        <v>1916291597.4000001</v>
      </c>
      <c r="S4" s="30">
        <v>2487576463.3499999</v>
      </c>
      <c r="T4" s="30">
        <v>2487576463.3499999</v>
      </c>
      <c r="U4" s="30">
        <v>18666.39</v>
      </c>
      <c r="V4" s="41">
        <v>18666.39</v>
      </c>
      <c r="W4" s="41">
        <v>93331.95</v>
      </c>
      <c r="X4" s="41">
        <v>133265</v>
      </c>
      <c r="Y4" s="41">
        <v>29000</v>
      </c>
      <c r="Z4" s="41">
        <v>48500</v>
      </c>
      <c r="AA4" s="41">
        <v>55765</v>
      </c>
      <c r="AB4" s="41"/>
      <c r="AC4" s="41">
        <v>0</v>
      </c>
      <c r="AD4" s="41"/>
      <c r="AE4" s="41">
        <v>0</v>
      </c>
      <c r="AF4" s="41">
        <v>26653</v>
      </c>
      <c r="AG4" s="41">
        <v>26653</v>
      </c>
      <c r="AH4" s="36">
        <v>45300</v>
      </c>
      <c r="AI4" s="36">
        <v>45382</v>
      </c>
      <c r="AJ4" s="36">
        <v>45535</v>
      </c>
      <c r="AK4" s="36">
        <v>45331</v>
      </c>
      <c r="AL4" s="36">
        <v>45413</v>
      </c>
      <c r="AM4" s="46">
        <v>45383</v>
      </c>
      <c r="AN4" s="40" t="s">
        <v>331</v>
      </c>
      <c r="AO4" s="40" t="s">
        <v>332</v>
      </c>
      <c r="AP4" s="40" t="s">
        <v>333</v>
      </c>
      <c r="AQ4" s="40" t="s">
        <v>92</v>
      </c>
      <c r="AR4" s="48">
        <v>0</v>
      </c>
      <c r="AS4" s="37">
        <v>100</v>
      </c>
      <c r="AT4" s="37" t="s">
        <v>81</v>
      </c>
      <c r="AU4" s="47">
        <v>5</v>
      </c>
      <c r="AV4" s="37" t="s">
        <v>60</v>
      </c>
      <c r="AW4" s="37">
        <v>10</v>
      </c>
      <c r="AX4" s="30">
        <v>191629159.74000001</v>
      </c>
      <c r="AY4" s="40" t="s">
        <v>325</v>
      </c>
    </row>
    <row r="5" spans="1:51" ht="53.25" customHeight="1" x14ac:dyDescent="0.25">
      <c r="A5" s="44" t="s">
        <v>334</v>
      </c>
      <c r="B5" s="46">
        <v>45163</v>
      </c>
      <c r="C5" s="40">
        <v>545</v>
      </c>
      <c r="D5" s="35" t="s">
        <v>335</v>
      </c>
      <c r="E5" s="39" t="s">
        <v>336</v>
      </c>
      <c r="F5" s="36">
        <v>45191</v>
      </c>
      <c r="G5" s="37" t="s">
        <v>337</v>
      </c>
      <c r="H5" s="40" t="s">
        <v>86</v>
      </c>
      <c r="I5" s="40" t="s">
        <v>338</v>
      </c>
      <c r="J5" s="54">
        <v>4843869498</v>
      </c>
      <c r="K5" s="54">
        <v>4843869498</v>
      </c>
      <c r="L5" s="54">
        <v>0</v>
      </c>
      <c r="M5" s="54">
        <v>0</v>
      </c>
      <c r="N5" s="42">
        <v>0</v>
      </c>
      <c r="O5" s="43">
        <v>0</v>
      </c>
      <c r="P5" s="41">
        <v>4843869498</v>
      </c>
      <c r="Q5" s="43">
        <v>0</v>
      </c>
      <c r="R5" s="41">
        <v>4843869498</v>
      </c>
      <c r="S5" s="30">
        <v>6296643147.6000004</v>
      </c>
      <c r="T5" s="30">
        <v>6296643147.6000004</v>
      </c>
      <c r="U5" s="30">
        <v>25813.320000000003</v>
      </c>
      <c r="V5" s="41">
        <v>25813.320000000003</v>
      </c>
      <c r="W5" s="41">
        <v>774399.60000000009</v>
      </c>
      <c r="X5" s="41">
        <v>243930</v>
      </c>
      <c r="Y5" s="41">
        <v>45000</v>
      </c>
      <c r="Z5" s="41">
        <v>198930</v>
      </c>
      <c r="AA5" s="41">
        <v>0</v>
      </c>
      <c r="AB5" s="41"/>
      <c r="AC5" s="41">
        <v>0</v>
      </c>
      <c r="AD5" s="41"/>
      <c r="AE5" s="41">
        <v>0</v>
      </c>
      <c r="AF5" s="41">
        <v>8131</v>
      </c>
      <c r="AG5" s="41">
        <v>8131</v>
      </c>
      <c r="AH5" s="36">
        <v>45300</v>
      </c>
      <c r="AI5" s="36">
        <v>45337</v>
      </c>
      <c r="AJ5" s="36"/>
      <c r="AK5" s="36">
        <v>45323</v>
      </c>
      <c r="AL5" s="36">
        <v>45366</v>
      </c>
      <c r="AM5" s="46"/>
      <c r="AN5" s="40" t="s">
        <v>339</v>
      </c>
      <c r="AO5" s="40" t="s">
        <v>340</v>
      </c>
      <c r="AP5" s="40" t="s">
        <v>341</v>
      </c>
      <c r="AQ5" s="40" t="s">
        <v>342</v>
      </c>
      <c r="AR5" s="48">
        <v>0</v>
      </c>
      <c r="AS5" s="37">
        <v>100</v>
      </c>
      <c r="AT5" s="37" t="s">
        <v>343</v>
      </c>
      <c r="AU5" s="47">
        <v>30</v>
      </c>
      <c r="AV5" s="37" t="s">
        <v>60</v>
      </c>
      <c r="AW5" s="37">
        <v>10</v>
      </c>
      <c r="AX5" s="30">
        <v>484386949.80000001</v>
      </c>
      <c r="AY5" s="40" t="s">
        <v>325</v>
      </c>
    </row>
    <row r="6" spans="1:51" ht="53.25" customHeight="1" x14ac:dyDescent="0.25">
      <c r="A6" s="44" t="s">
        <v>344</v>
      </c>
      <c r="B6" s="46">
        <v>45163</v>
      </c>
      <c r="C6" s="40">
        <v>545</v>
      </c>
      <c r="D6" s="35" t="s">
        <v>345</v>
      </c>
      <c r="E6" s="39" t="s">
        <v>346</v>
      </c>
      <c r="F6" s="36">
        <v>45191</v>
      </c>
      <c r="G6" s="37" t="s">
        <v>347</v>
      </c>
      <c r="H6" s="40" t="s">
        <v>139</v>
      </c>
      <c r="I6" s="40" t="s">
        <v>348</v>
      </c>
      <c r="J6" s="54">
        <v>5912667070.5</v>
      </c>
      <c r="K6" s="54">
        <v>5912667070.5</v>
      </c>
      <c r="L6" s="54">
        <v>0</v>
      </c>
      <c r="M6" s="54">
        <v>0</v>
      </c>
      <c r="N6" s="42">
        <v>0</v>
      </c>
      <c r="O6" s="43">
        <v>0</v>
      </c>
      <c r="P6" s="41">
        <v>5912667070.5</v>
      </c>
      <c r="Q6" s="43">
        <v>0</v>
      </c>
      <c r="R6" s="41">
        <v>5912667070.5</v>
      </c>
      <c r="S6" s="30">
        <v>7232381306.5</v>
      </c>
      <c r="T6" s="30">
        <v>7232381306.5</v>
      </c>
      <c r="U6" s="30">
        <v>868233.05</v>
      </c>
      <c r="V6" s="41">
        <v>868233.05</v>
      </c>
      <c r="W6" s="41">
        <v>4341165.25</v>
      </c>
      <c r="X6" s="41">
        <v>8330</v>
      </c>
      <c r="Y6" s="41">
        <v>8330</v>
      </c>
      <c r="Z6" s="41">
        <v>0</v>
      </c>
      <c r="AA6" s="41">
        <v>0</v>
      </c>
      <c r="AB6" s="41"/>
      <c r="AC6" s="41">
        <v>0</v>
      </c>
      <c r="AD6" s="41"/>
      <c r="AE6" s="41">
        <v>0</v>
      </c>
      <c r="AF6" s="41">
        <v>1666</v>
      </c>
      <c r="AG6" s="41">
        <v>1666</v>
      </c>
      <c r="AH6" s="36">
        <v>45300</v>
      </c>
      <c r="AI6" s="36"/>
      <c r="AJ6" s="36"/>
      <c r="AK6" s="36">
        <v>45331</v>
      </c>
      <c r="AL6" s="36"/>
      <c r="AM6" s="46"/>
      <c r="AN6" s="40" t="s">
        <v>349</v>
      </c>
      <c r="AO6" s="40" t="s">
        <v>350</v>
      </c>
      <c r="AP6" s="40" t="s">
        <v>351</v>
      </c>
      <c r="AQ6" s="40" t="s">
        <v>146</v>
      </c>
      <c r="AR6" s="48">
        <v>0</v>
      </c>
      <c r="AS6" s="37">
        <v>100</v>
      </c>
      <c r="AT6" s="37" t="s">
        <v>81</v>
      </c>
      <c r="AU6" s="47">
        <v>5</v>
      </c>
      <c r="AV6" s="37" t="s">
        <v>60</v>
      </c>
      <c r="AW6" s="37">
        <v>10</v>
      </c>
      <c r="AX6" s="30">
        <v>591266707.04999995</v>
      </c>
      <c r="AY6" s="40" t="s">
        <v>95</v>
      </c>
    </row>
    <row r="7" spans="1:51" ht="53.25" customHeight="1" x14ac:dyDescent="0.25">
      <c r="A7" s="44" t="s">
        <v>352</v>
      </c>
      <c r="B7" s="46">
        <v>45163</v>
      </c>
      <c r="C7" s="40">
        <v>545</v>
      </c>
      <c r="D7" s="35" t="s">
        <v>353</v>
      </c>
      <c r="E7" s="39" t="s">
        <v>354</v>
      </c>
      <c r="F7" s="36">
        <v>45191</v>
      </c>
      <c r="G7" s="37" t="s">
        <v>355</v>
      </c>
      <c r="H7" s="40" t="s">
        <v>356</v>
      </c>
      <c r="I7" s="40" t="s">
        <v>357</v>
      </c>
      <c r="J7" s="54">
        <v>6140047413.5</v>
      </c>
      <c r="K7" s="54">
        <v>6140047413.5</v>
      </c>
      <c r="L7" s="54">
        <v>0</v>
      </c>
      <c r="M7" s="54">
        <v>0</v>
      </c>
      <c r="N7" s="42">
        <v>0</v>
      </c>
      <c r="O7" s="43">
        <v>0</v>
      </c>
      <c r="P7" s="41">
        <v>6140047413.5</v>
      </c>
      <c r="Q7" s="43">
        <v>0</v>
      </c>
      <c r="R7" s="41">
        <v>6140047413.5</v>
      </c>
      <c r="S7" s="30">
        <v>7692213028.5</v>
      </c>
      <c r="T7" s="30">
        <v>7692213028.5</v>
      </c>
      <c r="U7" s="30">
        <v>333082.75</v>
      </c>
      <c r="V7" s="41">
        <v>333082.75</v>
      </c>
      <c r="W7" s="41">
        <v>666165.5</v>
      </c>
      <c r="X7" s="41">
        <v>23094</v>
      </c>
      <c r="Y7" s="41">
        <v>23094</v>
      </c>
      <c r="Z7" s="41">
        <v>0</v>
      </c>
      <c r="AA7" s="41">
        <v>0</v>
      </c>
      <c r="AB7" s="41"/>
      <c r="AC7" s="41">
        <v>0</v>
      </c>
      <c r="AD7" s="41"/>
      <c r="AE7" s="41">
        <v>0</v>
      </c>
      <c r="AF7" s="41">
        <v>11547</v>
      </c>
      <c r="AG7" s="41">
        <v>11547</v>
      </c>
      <c r="AH7" s="36">
        <v>45306</v>
      </c>
      <c r="AI7" s="36"/>
      <c r="AJ7" s="36"/>
      <c r="AK7" s="36">
        <v>45337</v>
      </c>
      <c r="AL7" s="36"/>
      <c r="AM7" s="46"/>
      <c r="AN7" s="40" t="s">
        <v>358</v>
      </c>
      <c r="AO7" s="40" t="s">
        <v>359</v>
      </c>
      <c r="AP7" s="40" t="s">
        <v>360</v>
      </c>
      <c r="AQ7" s="40" t="s">
        <v>293</v>
      </c>
      <c r="AR7" s="48">
        <v>0</v>
      </c>
      <c r="AS7" s="37">
        <v>100</v>
      </c>
      <c r="AT7" s="37" t="s">
        <v>343</v>
      </c>
      <c r="AU7" s="47">
        <v>2</v>
      </c>
      <c r="AV7" s="37" t="s">
        <v>60</v>
      </c>
      <c r="AW7" s="37">
        <v>10</v>
      </c>
      <c r="AX7" s="30">
        <v>614004741.35000002</v>
      </c>
      <c r="AY7" s="40" t="s">
        <v>95</v>
      </c>
    </row>
    <row r="8" spans="1:51" ht="53.25" customHeight="1" x14ac:dyDescent="0.25">
      <c r="A8" s="44" t="s">
        <v>361</v>
      </c>
      <c r="B8" s="46">
        <v>45163</v>
      </c>
      <c r="C8" s="40">
        <v>545</v>
      </c>
      <c r="D8" s="35" t="s">
        <v>362</v>
      </c>
      <c r="E8" s="39" t="s">
        <v>363</v>
      </c>
      <c r="F8" s="36">
        <v>45191</v>
      </c>
      <c r="G8" s="37" t="s">
        <v>364</v>
      </c>
      <c r="H8" s="40" t="s">
        <v>86</v>
      </c>
      <c r="I8" s="40" t="s">
        <v>365</v>
      </c>
      <c r="J8" s="54">
        <v>931850515.20000005</v>
      </c>
      <c r="K8" s="54">
        <v>931850515.20000005</v>
      </c>
      <c r="L8" s="54">
        <v>0</v>
      </c>
      <c r="M8" s="54">
        <v>0</v>
      </c>
      <c r="N8" s="42">
        <v>0</v>
      </c>
      <c r="O8" s="43">
        <v>0</v>
      </c>
      <c r="P8" s="41">
        <v>931850515.20000005</v>
      </c>
      <c r="Q8" s="43">
        <v>0</v>
      </c>
      <c r="R8" s="41">
        <v>931850515.20000005</v>
      </c>
      <c r="S8" s="30">
        <v>1193006073.5999999</v>
      </c>
      <c r="T8" s="30">
        <v>1193006073.5999999</v>
      </c>
      <c r="U8" s="30">
        <v>618266</v>
      </c>
      <c r="V8" s="41">
        <v>618266</v>
      </c>
      <c r="W8" s="41">
        <v>5935353.5999999996</v>
      </c>
      <c r="X8" s="41">
        <v>1929.6</v>
      </c>
      <c r="Y8" s="41">
        <v>1929.6</v>
      </c>
      <c r="Z8" s="41">
        <v>0</v>
      </c>
      <c r="AA8" s="41">
        <v>0</v>
      </c>
      <c r="AB8" s="41"/>
      <c r="AC8" s="41">
        <v>0</v>
      </c>
      <c r="AD8" s="41"/>
      <c r="AE8" s="41">
        <v>0</v>
      </c>
      <c r="AF8" s="41">
        <v>201</v>
      </c>
      <c r="AG8" s="41">
        <v>201</v>
      </c>
      <c r="AH8" s="36">
        <v>45322</v>
      </c>
      <c r="AI8" s="36"/>
      <c r="AJ8" s="36"/>
      <c r="AK8" s="36">
        <v>45352</v>
      </c>
      <c r="AL8" s="36"/>
      <c r="AM8" s="46"/>
      <c r="AN8" s="40" t="s">
        <v>366</v>
      </c>
      <c r="AO8" s="40" t="s">
        <v>367</v>
      </c>
      <c r="AP8" s="40" t="s">
        <v>368</v>
      </c>
      <c r="AQ8" s="40" t="s">
        <v>58</v>
      </c>
      <c r="AR8" s="48">
        <v>0</v>
      </c>
      <c r="AS8" s="37">
        <v>100</v>
      </c>
      <c r="AT8" s="37" t="s">
        <v>81</v>
      </c>
      <c r="AU8" s="52">
        <v>9.6</v>
      </c>
      <c r="AV8" s="37" t="s">
        <v>60</v>
      </c>
      <c r="AW8" s="37">
        <v>10</v>
      </c>
      <c r="AX8" s="30">
        <v>93185051.519999996</v>
      </c>
      <c r="AY8" s="40" t="s">
        <v>95</v>
      </c>
    </row>
    <row r="9" spans="1:51" ht="53.25" customHeight="1" x14ac:dyDescent="0.25">
      <c r="A9" s="44" t="s">
        <v>369</v>
      </c>
      <c r="B9" s="46">
        <v>45167</v>
      </c>
      <c r="C9" s="40">
        <v>545</v>
      </c>
      <c r="D9" s="35" t="s">
        <v>370</v>
      </c>
      <c r="E9" s="39" t="s">
        <v>371</v>
      </c>
      <c r="F9" s="36">
        <v>45198</v>
      </c>
      <c r="G9" s="37" t="s">
        <v>372</v>
      </c>
      <c r="H9" s="40" t="s">
        <v>86</v>
      </c>
      <c r="I9" s="40" t="s">
        <v>373</v>
      </c>
      <c r="J9" s="54">
        <v>332379801.60000002</v>
      </c>
      <c r="K9" s="54">
        <v>332379801.60000002</v>
      </c>
      <c r="L9" s="54">
        <v>0</v>
      </c>
      <c r="M9" s="54">
        <v>0</v>
      </c>
      <c r="N9" s="42">
        <v>0</v>
      </c>
      <c r="O9" s="43">
        <v>0</v>
      </c>
      <c r="P9" s="41">
        <v>332379801.60000002</v>
      </c>
      <c r="Q9" s="43">
        <v>0</v>
      </c>
      <c r="R9" s="41">
        <v>332379801.60000002</v>
      </c>
      <c r="S9" s="30">
        <v>430313136</v>
      </c>
      <c r="T9" s="30">
        <v>430313136</v>
      </c>
      <c r="U9" s="30">
        <v>247306.4</v>
      </c>
      <c r="V9" s="41">
        <v>247306.4</v>
      </c>
      <c r="W9" s="41">
        <v>2967676.8</v>
      </c>
      <c r="X9" s="41">
        <v>1740</v>
      </c>
      <c r="Y9" s="41">
        <v>468</v>
      </c>
      <c r="Z9" s="41">
        <v>1272</v>
      </c>
      <c r="AA9" s="41">
        <v>0</v>
      </c>
      <c r="AB9" s="41"/>
      <c r="AC9" s="41">
        <v>0</v>
      </c>
      <c r="AD9" s="41"/>
      <c r="AE9" s="41">
        <v>0</v>
      </c>
      <c r="AF9" s="41">
        <v>145</v>
      </c>
      <c r="AG9" s="41">
        <v>145</v>
      </c>
      <c r="AH9" s="36">
        <v>45300</v>
      </c>
      <c r="AI9" s="36">
        <v>45322</v>
      </c>
      <c r="AJ9" s="36"/>
      <c r="AK9" s="36">
        <v>45331</v>
      </c>
      <c r="AL9" s="36">
        <v>45352</v>
      </c>
      <c r="AM9" s="46"/>
      <c r="AN9" s="40" t="s">
        <v>374</v>
      </c>
      <c r="AO9" s="40" t="s">
        <v>375</v>
      </c>
      <c r="AP9" s="40" t="s">
        <v>376</v>
      </c>
      <c r="AQ9" s="40" t="s">
        <v>58</v>
      </c>
      <c r="AR9" s="48">
        <v>0</v>
      </c>
      <c r="AS9" s="37">
        <v>100</v>
      </c>
      <c r="AT9" s="37" t="s">
        <v>81</v>
      </c>
      <c r="AU9" s="47">
        <v>12</v>
      </c>
      <c r="AV9" s="37" t="s">
        <v>60</v>
      </c>
      <c r="AW9" s="37">
        <v>10</v>
      </c>
      <c r="AX9" s="30">
        <v>33237980.16</v>
      </c>
      <c r="AY9" s="40" t="s">
        <v>95</v>
      </c>
    </row>
    <row r="10" spans="1:51" ht="53.25" customHeight="1" x14ac:dyDescent="0.25">
      <c r="A10" s="44" t="s">
        <v>377</v>
      </c>
      <c r="B10" s="46">
        <v>45166</v>
      </c>
      <c r="C10" s="40">
        <v>545</v>
      </c>
      <c r="D10" s="35" t="s">
        <v>378</v>
      </c>
      <c r="E10" s="39" t="s">
        <v>379</v>
      </c>
      <c r="F10" s="36">
        <v>45201</v>
      </c>
      <c r="G10" s="37" t="s">
        <v>380</v>
      </c>
      <c r="H10" s="40" t="s">
        <v>86</v>
      </c>
      <c r="I10" s="40" t="s">
        <v>381</v>
      </c>
      <c r="J10" s="54">
        <v>689040000</v>
      </c>
      <c r="K10" s="54">
        <v>689040000</v>
      </c>
      <c r="L10" s="54">
        <v>0</v>
      </c>
      <c r="M10" s="54">
        <v>0</v>
      </c>
      <c r="N10" s="42">
        <v>0</v>
      </c>
      <c r="O10" s="43">
        <v>0</v>
      </c>
      <c r="P10" s="41">
        <v>689040000</v>
      </c>
      <c r="Q10" s="43">
        <v>0</v>
      </c>
      <c r="R10" s="41">
        <v>689040000</v>
      </c>
      <c r="S10" s="30">
        <v>895752000</v>
      </c>
      <c r="T10" s="30">
        <v>895752000</v>
      </c>
      <c r="U10" s="30">
        <v>15950</v>
      </c>
      <c r="V10" s="41">
        <v>15950</v>
      </c>
      <c r="W10" s="41">
        <v>957000</v>
      </c>
      <c r="X10" s="41">
        <v>56160</v>
      </c>
      <c r="Y10" s="41">
        <v>56160</v>
      </c>
      <c r="Z10" s="41">
        <v>0</v>
      </c>
      <c r="AA10" s="41">
        <v>0</v>
      </c>
      <c r="AB10" s="41"/>
      <c r="AC10" s="41">
        <v>0</v>
      </c>
      <c r="AD10" s="41"/>
      <c r="AE10" s="41">
        <v>0</v>
      </c>
      <c r="AF10" s="41">
        <v>936</v>
      </c>
      <c r="AG10" s="41">
        <v>936</v>
      </c>
      <c r="AH10" s="36">
        <v>45322</v>
      </c>
      <c r="AI10" s="36"/>
      <c r="AJ10" s="36"/>
      <c r="AK10" s="36">
        <v>45352</v>
      </c>
      <c r="AL10" s="36"/>
      <c r="AM10" s="46"/>
      <c r="AN10" s="40" t="s">
        <v>382</v>
      </c>
      <c r="AO10" s="40" t="s">
        <v>383</v>
      </c>
      <c r="AP10" s="40" t="s">
        <v>384</v>
      </c>
      <c r="AQ10" s="40" t="s">
        <v>385</v>
      </c>
      <c r="AR10" s="48">
        <v>0</v>
      </c>
      <c r="AS10" s="37">
        <v>100</v>
      </c>
      <c r="AT10" s="37" t="s">
        <v>386</v>
      </c>
      <c r="AU10" s="47">
        <v>60</v>
      </c>
      <c r="AV10" s="37" t="s">
        <v>60</v>
      </c>
      <c r="AW10" s="37">
        <v>10</v>
      </c>
      <c r="AX10" s="30">
        <v>68904000</v>
      </c>
      <c r="AY10" s="40" t="s">
        <v>95</v>
      </c>
    </row>
    <row r="11" spans="1:51" ht="43.5" customHeight="1" x14ac:dyDescent="0.25">
      <c r="A11" s="44" t="s">
        <v>387</v>
      </c>
      <c r="B11" s="46">
        <v>45167</v>
      </c>
      <c r="C11" s="40">
        <v>545</v>
      </c>
      <c r="D11" s="35" t="s">
        <v>388</v>
      </c>
      <c r="E11" s="39" t="s">
        <v>389</v>
      </c>
      <c r="F11" s="36">
        <v>45198</v>
      </c>
      <c r="G11" s="37" t="s">
        <v>390</v>
      </c>
      <c r="H11" s="40" t="s">
        <v>86</v>
      </c>
      <c r="I11" s="40" t="s">
        <v>391</v>
      </c>
      <c r="J11" s="54">
        <v>323280775.83999997</v>
      </c>
      <c r="K11" s="54">
        <v>323280775.83999997</v>
      </c>
      <c r="L11" s="54">
        <v>0</v>
      </c>
      <c r="M11" s="54">
        <v>0</v>
      </c>
      <c r="N11" s="42">
        <v>0</v>
      </c>
      <c r="O11" s="43">
        <v>0</v>
      </c>
      <c r="P11" s="41">
        <v>323280775.83999997</v>
      </c>
      <c r="Q11" s="43">
        <v>0</v>
      </c>
      <c r="R11" s="41">
        <v>323280775.83999997</v>
      </c>
      <c r="S11" s="30">
        <v>419765947.36000001</v>
      </c>
      <c r="T11" s="30">
        <v>419765947.36000001</v>
      </c>
      <c r="U11" s="30">
        <v>554512.48</v>
      </c>
      <c r="V11" s="41">
        <v>554512.48</v>
      </c>
      <c r="W11" s="41">
        <v>554512.48</v>
      </c>
      <c r="X11" s="41">
        <v>757</v>
      </c>
      <c r="Y11" s="41">
        <v>757</v>
      </c>
      <c r="Z11" s="41">
        <v>0</v>
      </c>
      <c r="AA11" s="41">
        <v>0</v>
      </c>
      <c r="AB11" s="41"/>
      <c r="AC11" s="41">
        <v>0</v>
      </c>
      <c r="AD11" s="41"/>
      <c r="AE11" s="41">
        <v>0</v>
      </c>
      <c r="AF11" s="41">
        <v>757</v>
      </c>
      <c r="AG11" s="41">
        <v>757</v>
      </c>
      <c r="AH11" s="36">
        <v>45300</v>
      </c>
      <c r="AI11" s="36"/>
      <c r="AJ11" s="36"/>
      <c r="AK11" s="36">
        <v>45331</v>
      </c>
      <c r="AL11" s="36"/>
      <c r="AM11" s="46"/>
      <c r="AN11" s="40" t="s">
        <v>290</v>
      </c>
      <c r="AO11" s="40" t="s">
        <v>392</v>
      </c>
      <c r="AP11" s="40" t="s">
        <v>292</v>
      </c>
      <c r="AQ11" s="40" t="s">
        <v>293</v>
      </c>
      <c r="AR11" s="48">
        <v>0</v>
      </c>
      <c r="AS11" s="37">
        <v>100</v>
      </c>
      <c r="AT11" s="37" t="s">
        <v>81</v>
      </c>
      <c r="AU11" s="47">
        <v>1</v>
      </c>
      <c r="AV11" s="37" t="s">
        <v>60</v>
      </c>
      <c r="AW11" s="37">
        <v>10</v>
      </c>
      <c r="AX11" s="30">
        <v>32328077.583999995</v>
      </c>
      <c r="AY11" s="40" t="s">
        <v>95</v>
      </c>
    </row>
    <row r="12" spans="1:51" ht="43.5" customHeight="1" x14ac:dyDescent="0.25">
      <c r="A12" s="44" t="s">
        <v>393</v>
      </c>
      <c r="B12" s="46">
        <v>45167</v>
      </c>
      <c r="C12" s="40">
        <v>545</v>
      </c>
      <c r="D12" s="35" t="s">
        <v>394</v>
      </c>
      <c r="E12" s="39" t="s">
        <v>395</v>
      </c>
      <c r="F12" s="36">
        <v>45198</v>
      </c>
      <c r="G12" s="37" t="s">
        <v>396</v>
      </c>
      <c r="H12" s="40" t="s">
        <v>86</v>
      </c>
      <c r="I12" s="40" t="s">
        <v>397</v>
      </c>
      <c r="J12" s="54">
        <v>1035540624</v>
      </c>
      <c r="K12" s="54">
        <v>1035540624</v>
      </c>
      <c r="L12" s="54">
        <v>0</v>
      </c>
      <c r="M12" s="54">
        <v>0</v>
      </c>
      <c r="N12" s="42">
        <v>0</v>
      </c>
      <c r="O12" s="43">
        <v>0</v>
      </c>
      <c r="P12" s="41">
        <v>1035540624</v>
      </c>
      <c r="Q12" s="43">
        <v>0</v>
      </c>
      <c r="R12" s="41">
        <v>1035540624</v>
      </c>
      <c r="S12" s="30">
        <v>1231300358.4000001</v>
      </c>
      <c r="T12" s="30">
        <v>1231300358.4000001</v>
      </c>
      <c r="U12" s="30">
        <v>47284.960000000006</v>
      </c>
      <c r="V12" s="41">
        <v>47284.960000000006</v>
      </c>
      <c r="W12" s="41">
        <v>472849.60000000009</v>
      </c>
      <c r="X12" s="41">
        <v>26040</v>
      </c>
      <c r="Y12" s="41">
        <v>26040</v>
      </c>
      <c r="Z12" s="41">
        <v>0</v>
      </c>
      <c r="AA12" s="41">
        <v>0</v>
      </c>
      <c r="AB12" s="41"/>
      <c r="AC12" s="41">
        <v>0</v>
      </c>
      <c r="AD12" s="41"/>
      <c r="AE12" s="41">
        <v>0</v>
      </c>
      <c r="AF12" s="41">
        <v>2604</v>
      </c>
      <c r="AG12" s="41">
        <v>2604</v>
      </c>
      <c r="AH12" s="36">
        <v>45322</v>
      </c>
      <c r="AI12" s="36"/>
      <c r="AJ12" s="36"/>
      <c r="AK12" s="36">
        <v>45352</v>
      </c>
      <c r="AL12" s="36"/>
      <c r="AM12" s="46"/>
      <c r="AN12" s="40" t="s">
        <v>398</v>
      </c>
      <c r="AO12" s="40" t="s">
        <v>399</v>
      </c>
      <c r="AP12" s="40" t="s">
        <v>400</v>
      </c>
      <c r="AQ12" s="40" t="s">
        <v>401</v>
      </c>
      <c r="AR12" s="48">
        <v>0</v>
      </c>
      <c r="AS12" s="37">
        <v>100</v>
      </c>
      <c r="AT12" s="37" t="s">
        <v>81</v>
      </c>
      <c r="AU12" s="47">
        <v>10</v>
      </c>
      <c r="AV12" s="37" t="s">
        <v>60</v>
      </c>
      <c r="AW12" s="37">
        <v>10</v>
      </c>
      <c r="AX12" s="30">
        <v>103554062.40000001</v>
      </c>
      <c r="AY12" s="40" t="s">
        <v>402</v>
      </c>
    </row>
    <row r="13" spans="1:51" ht="50.25" customHeight="1" x14ac:dyDescent="0.25">
      <c r="A13" s="44" t="s">
        <v>403</v>
      </c>
      <c r="B13" s="36">
        <v>45170</v>
      </c>
      <c r="C13" s="40">
        <v>545</v>
      </c>
      <c r="D13" s="35" t="s">
        <v>404</v>
      </c>
      <c r="E13" s="39" t="s">
        <v>405</v>
      </c>
      <c r="F13" s="36">
        <v>45203</v>
      </c>
      <c r="G13" s="37" t="s">
        <v>406</v>
      </c>
      <c r="H13" s="40" t="s">
        <v>86</v>
      </c>
      <c r="I13" s="40" t="s">
        <v>407</v>
      </c>
      <c r="J13" s="41">
        <v>1882610400</v>
      </c>
      <c r="K13" s="41">
        <v>1882610400</v>
      </c>
      <c r="L13" s="54">
        <v>0</v>
      </c>
      <c r="M13" s="54">
        <v>0</v>
      </c>
      <c r="N13" s="42">
        <v>0</v>
      </c>
      <c r="O13" s="43">
        <v>0</v>
      </c>
      <c r="P13" s="41">
        <v>1882610400</v>
      </c>
      <c r="Q13" s="43">
        <v>0</v>
      </c>
      <c r="R13" s="41">
        <v>1882610400</v>
      </c>
      <c r="S13" s="30">
        <v>2447240400</v>
      </c>
      <c r="T13" s="30">
        <v>2447240400</v>
      </c>
      <c r="U13" s="30">
        <v>6380</v>
      </c>
      <c r="V13" s="41">
        <v>6380</v>
      </c>
      <c r="W13" s="41">
        <v>382800</v>
      </c>
      <c r="X13" s="41">
        <v>383580</v>
      </c>
      <c r="Y13" s="41">
        <v>383580</v>
      </c>
      <c r="Z13" s="41">
        <v>0</v>
      </c>
      <c r="AA13" s="41">
        <v>0</v>
      </c>
      <c r="AB13" s="41"/>
      <c r="AC13" s="41">
        <v>0</v>
      </c>
      <c r="AD13" s="41"/>
      <c r="AE13" s="41">
        <v>0</v>
      </c>
      <c r="AF13" s="41">
        <v>6393</v>
      </c>
      <c r="AG13" s="41">
        <v>6393</v>
      </c>
      <c r="AH13" s="36">
        <v>45322</v>
      </c>
      <c r="AI13" s="36"/>
      <c r="AJ13" s="36"/>
      <c r="AK13" s="36">
        <v>45352</v>
      </c>
      <c r="AL13" s="36"/>
      <c r="AM13" s="46"/>
      <c r="AN13" s="40" t="s">
        <v>382</v>
      </c>
      <c r="AO13" s="40" t="s">
        <v>408</v>
      </c>
      <c r="AP13" s="40" t="s">
        <v>384</v>
      </c>
      <c r="AQ13" s="40" t="s">
        <v>385</v>
      </c>
      <c r="AR13" s="48">
        <v>0</v>
      </c>
      <c r="AS13" s="37">
        <v>100</v>
      </c>
      <c r="AT13" s="37" t="s">
        <v>386</v>
      </c>
      <c r="AU13" s="47">
        <v>60</v>
      </c>
      <c r="AV13" s="37" t="s">
        <v>60</v>
      </c>
      <c r="AW13" s="37">
        <v>10</v>
      </c>
      <c r="AX13" s="30">
        <v>188261040</v>
      </c>
      <c r="AY13" s="40" t="s">
        <v>95</v>
      </c>
    </row>
    <row r="14" spans="1:51" ht="50.25" customHeight="1" x14ac:dyDescent="0.25">
      <c r="A14" s="44" t="s">
        <v>409</v>
      </c>
      <c r="B14" s="36">
        <v>45170</v>
      </c>
      <c r="C14" s="40">
        <v>545</v>
      </c>
      <c r="D14" s="35" t="s">
        <v>410</v>
      </c>
      <c r="E14" s="39" t="s">
        <v>411</v>
      </c>
      <c r="F14" s="36">
        <v>45202</v>
      </c>
      <c r="G14" s="37" t="s">
        <v>412</v>
      </c>
      <c r="H14" s="40" t="s">
        <v>86</v>
      </c>
      <c r="I14" s="40" t="s">
        <v>413</v>
      </c>
      <c r="J14" s="41">
        <v>789501921.45000005</v>
      </c>
      <c r="K14" s="41">
        <v>789501921.45000005</v>
      </c>
      <c r="L14" s="54">
        <v>0</v>
      </c>
      <c r="M14" s="54">
        <v>0</v>
      </c>
      <c r="N14" s="42">
        <v>0</v>
      </c>
      <c r="O14" s="43">
        <v>0</v>
      </c>
      <c r="P14" s="41">
        <v>789501921.45000005</v>
      </c>
      <c r="Q14" s="43">
        <v>0</v>
      </c>
      <c r="R14" s="41">
        <v>789501921.45000005</v>
      </c>
      <c r="S14" s="30">
        <v>1023758254.2</v>
      </c>
      <c r="T14" s="30">
        <v>1023758254.2</v>
      </c>
      <c r="U14" s="30">
        <v>25813.370000000003</v>
      </c>
      <c r="V14" s="41">
        <v>25813.370000000003</v>
      </c>
      <c r="W14" s="41">
        <v>387200.55000000005</v>
      </c>
      <c r="X14" s="41">
        <v>39660</v>
      </c>
      <c r="Y14" s="41">
        <v>25005</v>
      </c>
      <c r="Z14" s="41">
        <v>14655</v>
      </c>
      <c r="AA14" s="41">
        <v>0</v>
      </c>
      <c r="AB14" s="41"/>
      <c r="AC14" s="41">
        <v>0</v>
      </c>
      <c r="AD14" s="41"/>
      <c r="AE14" s="41">
        <v>0</v>
      </c>
      <c r="AF14" s="41">
        <v>2644</v>
      </c>
      <c r="AG14" s="41">
        <v>2644</v>
      </c>
      <c r="AH14" s="36">
        <v>45300</v>
      </c>
      <c r="AI14" s="36">
        <v>45337</v>
      </c>
      <c r="AJ14" s="36"/>
      <c r="AK14" s="36">
        <v>45331</v>
      </c>
      <c r="AL14" s="36">
        <v>45366</v>
      </c>
      <c r="AM14" s="46"/>
      <c r="AN14" s="40" t="s">
        <v>339</v>
      </c>
      <c r="AO14" s="40" t="s">
        <v>414</v>
      </c>
      <c r="AP14" s="40" t="s">
        <v>415</v>
      </c>
      <c r="AQ14" s="40" t="s">
        <v>342</v>
      </c>
      <c r="AR14" s="48">
        <v>0</v>
      </c>
      <c r="AS14" s="37">
        <v>100</v>
      </c>
      <c r="AT14" s="37" t="s">
        <v>343</v>
      </c>
      <c r="AU14" s="47">
        <v>15</v>
      </c>
      <c r="AV14" s="37" t="s">
        <v>60</v>
      </c>
      <c r="AW14" s="37">
        <v>10</v>
      </c>
      <c r="AX14" s="30">
        <v>78950192.144999996</v>
      </c>
      <c r="AY14" s="40" t="s">
        <v>325</v>
      </c>
    </row>
    <row r="15" spans="1:51" ht="50.25" customHeight="1" x14ac:dyDescent="0.25">
      <c r="A15" s="44" t="s">
        <v>416</v>
      </c>
      <c r="B15" s="36">
        <v>45170</v>
      </c>
      <c r="C15" s="40">
        <v>545</v>
      </c>
      <c r="D15" s="35" t="s">
        <v>417</v>
      </c>
      <c r="E15" s="39" t="s">
        <v>418</v>
      </c>
      <c r="F15" s="36">
        <v>45201</v>
      </c>
      <c r="G15" s="37" t="s">
        <v>419</v>
      </c>
      <c r="H15" s="40" t="s">
        <v>86</v>
      </c>
      <c r="I15" s="40" t="s">
        <v>420</v>
      </c>
      <c r="J15" s="41">
        <v>653594528.39999998</v>
      </c>
      <c r="K15" s="41">
        <v>653594528.39999998</v>
      </c>
      <c r="L15" s="54">
        <v>0</v>
      </c>
      <c r="M15" s="54">
        <v>0</v>
      </c>
      <c r="N15" s="42">
        <v>0</v>
      </c>
      <c r="O15" s="43">
        <v>0</v>
      </c>
      <c r="P15" s="41">
        <v>653594528.39999998</v>
      </c>
      <c r="Q15" s="43">
        <v>0</v>
      </c>
      <c r="R15" s="41">
        <v>653594528.39999998</v>
      </c>
      <c r="S15" s="30">
        <v>848743605.60000002</v>
      </c>
      <c r="T15" s="30">
        <v>848743605.60000002</v>
      </c>
      <c r="U15" s="30">
        <v>25813.37</v>
      </c>
      <c r="V15" s="41">
        <v>25813.37</v>
      </c>
      <c r="W15" s="41">
        <v>3097604.4</v>
      </c>
      <c r="X15" s="41">
        <v>32880</v>
      </c>
      <c r="Y15" s="41">
        <v>12960</v>
      </c>
      <c r="Z15" s="41">
        <v>19920</v>
      </c>
      <c r="AA15" s="41">
        <v>0</v>
      </c>
      <c r="AB15" s="41"/>
      <c r="AC15" s="41">
        <v>0</v>
      </c>
      <c r="AD15" s="41"/>
      <c r="AE15" s="41">
        <v>0</v>
      </c>
      <c r="AF15" s="41">
        <v>274</v>
      </c>
      <c r="AG15" s="41">
        <v>274</v>
      </c>
      <c r="AH15" s="36">
        <v>45300</v>
      </c>
      <c r="AI15" s="36">
        <v>45382</v>
      </c>
      <c r="AJ15" s="36"/>
      <c r="AK15" s="36">
        <v>45331</v>
      </c>
      <c r="AL15" s="36">
        <v>45413</v>
      </c>
      <c r="AM15" s="46"/>
      <c r="AN15" s="40" t="s">
        <v>339</v>
      </c>
      <c r="AO15" s="40" t="s">
        <v>421</v>
      </c>
      <c r="AP15" s="40" t="s">
        <v>341</v>
      </c>
      <c r="AQ15" s="40" t="s">
        <v>342</v>
      </c>
      <c r="AR15" s="48">
        <v>0</v>
      </c>
      <c r="AS15" s="37">
        <v>100</v>
      </c>
      <c r="AT15" s="37" t="s">
        <v>343</v>
      </c>
      <c r="AU15" s="47">
        <v>120</v>
      </c>
      <c r="AV15" s="37" t="s">
        <v>60</v>
      </c>
      <c r="AW15" s="37">
        <v>10</v>
      </c>
      <c r="AX15" s="30">
        <v>65359452.840000004</v>
      </c>
      <c r="AY15" s="40" t="s">
        <v>325</v>
      </c>
    </row>
    <row r="16" spans="1:51" ht="50.25" customHeight="1" x14ac:dyDescent="0.25">
      <c r="A16" s="44" t="s">
        <v>422</v>
      </c>
      <c r="B16" s="36">
        <v>45173</v>
      </c>
      <c r="C16" s="40">
        <v>545</v>
      </c>
      <c r="D16" s="35" t="s">
        <v>423</v>
      </c>
      <c r="E16" s="39" t="s">
        <v>424</v>
      </c>
      <c r="F16" s="36">
        <v>45194</v>
      </c>
      <c r="G16" s="37" t="s">
        <v>425</v>
      </c>
      <c r="H16" s="40" t="s">
        <v>269</v>
      </c>
      <c r="I16" s="40" t="s">
        <v>426</v>
      </c>
      <c r="J16" s="41">
        <v>21558787.800000001</v>
      </c>
      <c r="K16" s="41">
        <v>21558787.800000001</v>
      </c>
      <c r="L16" s="54">
        <v>0</v>
      </c>
      <c r="M16" s="54">
        <v>0</v>
      </c>
      <c r="N16" s="42">
        <v>0</v>
      </c>
      <c r="O16" s="43">
        <v>0</v>
      </c>
      <c r="P16" s="41">
        <v>21558787.800000001</v>
      </c>
      <c r="Q16" s="43">
        <v>0</v>
      </c>
      <c r="R16" s="41">
        <v>21558787.800000001</v>
      </c>
      <c r="S16" s="30">
        <v>27616629</v>
      </c>
      <c r="T16" s="30">
        <v>27616629</v>
      </c>
      <c r="U16" s="30">
        <v>2969.53</v>
      </c>
      <c r="V16" s="41">
        <v>2969.53</v>
      </c>
      <c r="W16" s="41">
        <v>178171.80000000002</v>
      </c>
      <c r="X16" s="41">
        <v>9300</v>
      </c>
      <c r="Y16" s="41">
        <v>9300</v>
      </c>
      <c r="Z16" s="41">
        <v>0</v>
      </c>
      <c r="AA16" s="41">
        <v>0</v>
      </c>
      <c r="AB16" s="41"/>
      <c r="AC16" s="41">
        <v>0</v>
      </c>
      <c r="AD16" s="41"/>
      <c r="AE16" s="41">
        <v>0</v>
      </c>
      <c r="AF16" s="41">
        <v>155</v>
      </c>
      <c r="AG16" s="41">
        <v>155</v>
      </c>
      <c r="AH16" s="36">
        <v>45300</v>
      </c>
      <c r="AI16" s="36"/>
      <c r="AJ16" s="36"/>
      <c r="AK16" s="36">
        <v>45331</v>
      </c>
      <c r="AL16" s="36"/>
      <c r="AM16" s="46"/>
      <c r="AN16" s="40" t="s">
        <v>427</v>
      </c>
      <c r="AO16" s="40" t="s">
        <v>428</v>
      </c>
      <c r="AP16" s="40" t="s">
        <v>429</v>
      </c>
      <c r="AQ16" s="40" t="s">
        <v>92</v>
      </c>
      <c r="AR16" s="48">
        <v>0</v>
      </c>
      <c r="AS16" s="37">
        <v>100</v>
      </c>
      <c r="AT16" s="37" t="s">
        <v>386</v>
      </c>
      <c r="AU16" s="47">
        <v>60</v>
      </c>
      <c r="AV16" s="37" t="s">
        <v>60</v>
      </c>
      <c r="AW16" s="37">
        <v>10</v>
      </c>
      <c r="AX16" s="30">
        <v>2155878.7799999998</v>
      </c>
      <c r="AY16" s="40" t="s">
        <v>95</v>
      </c>
    </row>
    <row r="17" spans="1:51" ht="50.25" customHeight="1" x14ac:dyDescent="0.25">
      <c r="A17" s="44" t="s">
        <v>435</v>
      </c>
      <c r="B17" s="36">
        <v>45175</v>
      </c>
      <c r="C17" s="40">
        <v>545</v>
      </c>
      <c r="D17" s="35" t="s">
        <v>436</v>
      </c>
      <c r="E17" s="39" t="s">
        <v>437</v>
      </c>
      <c r="F17" s="36">
        <v>45198</v>
      </c>
      <c r="G17" s="37" t="s">
        <v>438</v>
      </c>
      <c r="H17" s="40" t="s">
        <v>269</v>
      </c>
      <c r="I17" s="40" t="s">
        <v>439</v>
      </c>
      <c r="J17" s="41">
        <v>42364594.799999997</v>
      </c>
      <c r="K17" s="41">
        <v>42364594.799999997</v>
      </c>
      <c r="L17" s="41">
        <v>0</v>
      </c>
      <c r="M17" s="41">
        <v>0</v>
      </c>
      <c r="N17" s="42">
        <v>0</v>
      </c>
      <c r="O17" s="43">
        <v>0</v>
      </c>
      <c r="P17" s="41">
        <v>42364594.799999997</v>
      </c>
      <c r="Q17" s="43">
        <v>0</v>
      </c>
      <c r="R17" s="41">
        <v>42364594.799999997</v>
      </c>
      <c r="S17" s="30">
        <v>46004164.799999997</v>
      </c>
      <c r="T17" s="30">
        <v>46004164.799999997</v>
      </c>
      <c r="U17" s="30">
        <v>2426.3799999999997</v>
      </c>
      <c r="V17" s="41">
        <v>2426.3799999999997</v>
      </c>
      <c r="W17" s="41">
        <v>72791.399999999994</v>
      </c>
      <c r="X17" s="41">
        <v>18960</v>
      </c>
      <c r="Y17" s="41">
        <v>18960</v>
      </c>
      <c r="Z17" s="41">
        <v>0</v>
      </c>
      <c r="AA17" s="41">
        <v>0</v>
      </c>
      <c r="AB17" s="41"/>
      <c r="AC17" s="41">
        <v>0</v>
      </c>
      <c r="AD17" s="41"/>
      <c r="AE17" s="41">
        <v>0</v>
      </c>
      <c r="AF17" s="41">
        <v>632</v>
      </c>
      <c r="AG17" s="41">
        <v>632</v>
      </c>
      <c r="AH17" s="36">
        <v>45300</v>
      </c>
      <c r="AI17" s="36"/>
      <c r="AJ17" s="36"/>
      <c r="AK17" s="36">
        <v>45331</v>
      </c>
      <c r="AL17" s="36"/>
      <c r="AM17" s="46"/>
      <c r="AN17" s="40" t="s">
        <v>440</v>
      </c>
      <c r="AO17" s="40" t="s">
        <v>441</v>
      </c>
      <c r="AP17" s="40" t="s">
        <v>442</v>
      </c>
      <c r="AQ17" s="40" t="s">
        <v>293</v>
      </c>
      <c r="AR17" s="48">
        <v>0</v>
      </c>
      <c r="AS17" s="37">
        <v>100</v>
      </c>
      <c r="AT17" s="37" t="s">
        <v>386</v>
      </c>
      <c r="AU17" s="47">
        <v>30</v>
      </c>
      <c r="AV17" s="37" t="s">
        <v>60</v>
      </c>
      <c r="AW17" s="37">
        <v>10</v>
      </c>
      <c r="AX17" s="30">
        <v>4236459.4800000004</v>
      </c>
      <c r="AY17" s="40" t="s">
        <v>95</v>
      </c>
    </row>
    <row r="18" spans="1:51" ht="57" customHeight="1" x14ac:dyDescent="0.25">
      <c r="A18" s="44" t="s">
        <v>443</v>
      </c>
      <c r="B18" s="36">
        <v>45175</v>
      </c>
      <c r="C18" s="40">
        <v>545</v>
      </c>
      <c r="D18" s="35" t="s">
        <v>444</v>
      </c>
      <c r="E18" s="39" t="s">
        <v>445</v>
      </c>
      <c r="F18" s="36">
        <v>45198</v>
      </c>
      <c r="G18" s="37" t="s">
        <v>446</v>
      </c>
      <c r="H18" s="40" t="s">
        <v>269</v>
      </c>
      <c r="I18" s="40" t="s">
        <v>447</v>
      </c>
      <c r="J18" s="41">
        <v>11592979.199999999</v>
      </c>
      <c r="K18" s="41">
        <v>11592979.199999999</v>
      </c>
      <c r="L18" s="41">
        <v>0</v>
      </c>
      <c r="M18" s="41">
        <v>0</v>
      </c>
      <c r="N18" s="42">
        <v>0</v>
      </c>
      <c r="O18" s="43">
        <v>0</v>
      </c>
      <c r="P18" s="41">
        <v>11592979.199999999</v>
      </c>
      <c r="Q18" s="43">
        <v>0</v>
      </c>
      <c r="R18" s="41">
        <v>11592979.199999999</v>
      </c>
      <c r="S18" s="30">
        <v>14491224</v>
      </c>
      <c r="T18" s="30">
        <v>14491224</v>
      </c>
      <c r="U18" s="30">
        <v>2683.56</v>
      </c>
      <c r="V18" s="41">
        <v>2683.56</v>
      </c>
      <c r="W18" s="41">
        <v>161013.6</v>
      </c>
      <c r="X18" s="41">
        <v>5400</v>
      </c>
      <c r="Y18" s="41">
        <v>5400</v>
      </c>
      <c r="Z18" s="41">
        <v>0</v>
      </c>
      <c r="AA18" s="41">
        <v>0</v>
      </c>
      <c r="AB18" s="41"/>
      <c r="AC18" s="41">
        <v>0</v>
      </c>
      <c r="AD18" s="41"/>
      <c r="AE18" s="41">
        <v>0</v>
      </c>
      <c r="AF18" s="41">
        <v>90</v>
      </c>
      <c r="AG18" s="41">
        <v>90</v>
      </c>
      <c r="AH18" s="36">
        <v>45300</v>
      </c>
      <c r="AI18" s="36"/>
      <c r="AJ18" s="36"/>
      <c r="AK18" s="36">
        <v>45331</v>
      </c>
      <c r="AL18" s="36"/>
      <c r="AM18" s="46"/>
      <c r="AN18" s="40" t="s">
        <v>427</v>
      </c>
      <c r="AO18" s="40" t="s">
        <v>448</v>
      </c>
      <c r="AP18" s="40" t="s">
        <v>429</v>
      </c>
      <c r="AQ18" s="40" t="s">
        <v>92</v>
      </c>
      <c r="AR18" s="48">
        <v>0</v>
      </c>
      <c r="AS18" s="37">
        <v>100</v>
      </c>
      <c r="AT18" s="37" t="s">
        <v>386</v>
      </c>
      <c r="AU18" s="47">
        <v>60</v>
      </c>
      <c r="AV18" s="37" t="s">
        <v>60</v>
      </c>
      <c r="AW18" s="37">
        <v>10</v>
      </c>
      <c r="AX18" s="30">
        <v>1159297.92</v>
      </c>
      <c r="AY18" s="40" t="s">
        <v>95</v>
      </c>
    </row>
    <row r="19" spans="1:51" ht="57" customHeight="1" x14ac:dyDescent="0.25">
      <c r="A19" s="44" t="s">
        <v>458</v>
      </c>
      <c r="B19" s="46">
        <v>45176</v>
      </c>
      <c r="C19" s="40">
        <v>545</v>
      </c>
      <c r="D19" s="35" t="s">
        <v>459</v>
      </c>
      <c r="E19" s="39" t="s">
        <v>460</v>
      </c>
      <c r="F19" s="36">
        <v>45201</v>
      </c>
      <c r="G19" s="37" t="s">
        <v>461</v>
      </c>
      <c r="H19" s="40" t="s">
        <v>269</v>
      </c>
      <c r="I19" s="40" t="s">
        <v>462</v>
      </c>
      <c r="J19" s="54">
        <v>33848512.5</v>
      </c>
      <c r="K19" s="54">
        <v>33848512.5</v>
      </c>
      <c r="L19" s="41">
        <v>0</v>
      </c>
      <c r="M19" s="41">
        <v>0</v>
      </c>
      <c r="N19" s="42">
        <v>0</v>
      </c>
      <c r="O19" s="43">
        <v>0</v>
      </c>
      <c r="P19" s="41">
        <v>33848512.5</v>
      </c>
      <c r="Q19" s="43">
        <v>0</v>
      </c>
      <c r="R19" s="41">
        <v>33848512.5</v>
      </c>
      <c r="S19" s="30">
        <v>43937553</v>
      </c>
      <c r="T19" s="30">
        <v>43937553</v>
      </c>
      <c r="U19" s="30">
        <v>1455.85</v>
      </c>
      <c r="V19" s="41">
        <v>1455.85</v>
      </c>
      <c r="W19" s="41">
        <v>43675.5</v>
      </c>
      <c r="X19" s="41">
        <v>30180</v>
      </c>
      <c r="Y19" s="41">
        <v>17730</v>
      </c>
      <c r="Z19" s="41">
        <v>12450</v>
      </c>
      <c r="AA19" s="41">
        <v>0</v>
      </c>
      <c r="AB19" s="41"/>
      <c r="AC19" s="41">
        <v>0</v>
      </c>
      <c r="AD19" s="41"/>
      <c r="AE19" s="41">
        <v>0</v>
      </c>
      <c r="AF19" s="41">
        <v>1006</v>
      </c>
      <c r="AG19" s="41">
        <v>1006</v>
      </c>
      <c r="AH19" s="36">
        <v>45300</v>
      </c>
      <c r="AI19" s="36">
        <v>45443</v>
      </c>
      <c r="AJ19" s="36"/>
      <c r="AK19" s="36">
        <v>45331</v>
      </c>
      <c r="AL19" s="36">
        <v>45474</v>
      </c>
      <c r="AM19" s="46"/>
      <c r="AN19" s="40" t="s">
        <v>440</v>
      </c>
      <c r="AO19" s="40" t="s">
        <v>463</v>
      </c>
      <c r="AP19" s="40" t="s">
        <v>442</v>
      </c>
      <c r="AQ19" s="40" t="s">
        <v>293</v>
      </c>
      <c r="AR19" s="48">
        <v>0</v>
      </c>
      <c r="AS19" s="37">
        <v>100</v>
      </c>
      <c r="AT19" s="37" t="s">
        <v>386</v>
      </c>
      <c r="AU19" s="47">
        <v>30</v>
      </c>
      <c r="AV19" s="37" t="s">
        <v>60</v>
      </c>
      <c r="AW19" s="37">
        <v>10</v>
      </c>
      <c r="AX19" s="30">
        <v>3384851.25</v>
      </c>
      <c r="AY19" s="40" t="s">
        <v>325</v>
      </c>
    </row>
    <row r="20" spans="1:51" ht="57" customHeight="1" x14ac:dyDescent="0.25">
      <c r="A20" s="44" t="s">
        <v>464</v>
      </c>
      <c r="B20" s="46">
        <v>45176</v>
      </c>
      <c r="C20" s="40">
        <v>545</v>
      </c>
      <c r="D20" s="35" t="s">
        <v>465</v>
      </c>
      <c r="E20" s="39" t="s">
        <v>466</v>
      </c>
      <c r="F20" s="36">
        <v>45201</v>
      </c>
      <c r="G20" s="37" t="s">
        <v>467</v>
      </c>
      <c r="H20" s="40" t="s">
        <v>319</v>
      </c>
      <c r="I20" s="40" t="s">
        <v>468</v>
      </c>
      <c r="J20" s="54">
        <v>259547640</v>
      </c>
      <c r="K20" s="54">
        <v>259547640</v>
      </c>
      <c r="L20" s="41">
        <v>0</v>
      </c>
      <c r="M20" s="41">
        <v>0</v>
      </c>
      <c r="N20" s="42">
        <v>0</v>
      </c>
      <c r="O20" s="43">
        <v>0</v>
      </c>
      <c r="P20" s="41">
        <v>259547640</v>
      </c>
      <c r="Q20" s="43">
        <v>0</v>
      </c>
      <c r="R20" s="41">
        <v>259547640</v>
      </c>
      <c r="S20" s="30">
        <v>336682280</v>
      </c>
      <c r="T20" s="30">
        <v>336682280</v>
      </c>
      <c r="U20" s="30">
        <v>521180</v>
      </c>
      <c r="V20" s="41">
        <v>521180</v>
      </c>
      <c r="W20" s="41">
        <v>1042360</v>
      </c>
      <c r="X20" s="41">
        <v>646</v>
      </c>
      <c r="Y20" s="41">
        <v>646</v>
      </c>
      <c r="Z20" s="41">
        <v>0</v>
      </c>
      <c r="AA20" s="41">
        <v>0</v>
      </c>
      <c r="AB20" s="41"/>
      <c r="AC20" s="41">
        <v>0</v>
      </c>
      <c r="AD20" s="41"/>
      <c r="AE20" s="41">
        <v>0</v>
      </c>
      <c r="AF20" s="41">
        <v>323</v>
      </c>
      <c r="AG20" s="41">
        <v>323</v>
      </c>
      <c r="AH20" s="36">
        <v>45300</v>
      </c>
      <c r="AI20" s="36"/>
      <c r="AJ20" s="36"/>
      <c r="AK20" s="36">
        <v>45331</v>
      </c>
      <c r="AL20" s="36"/>
      <c r="AM20" s="46"/>
      <c r="AN20" s="40" t="s">
        <v>469</v>
      </c>
      <c r="AO20" s="40" t="s">
        <v>470</v>
      </c>
      <c r="AP20" s="40" t="s">
        <v>471</v>
      </c>
      <c r="AQ20" s="40" t="s">
        <v>92</v>
      </c>
      <c r="AR20" s="48">
        <v>0</v>
      </c>
      <c r="AS20" s="37">
        <v>100</v>
      </c>
      <c r="AT20" s="37" t="s">
        <v>81</v>
      </c>
      <c r="AU20" s="47">
        <v>2</v>
      </c>
      <c r="AV20" s="37" t="s">
        <v>60</v>
      </c>
      <c r="AW20" s="37">
        <v>10</v>
      </c>
      <c r="AX20" s="30">
        <v>25954764</v>
      </c>
      <c r="AY20" s="40" t="s">
        <v>95</v>
      </c>
    </row>
    <row r="21" spans="1:51" ht="57" customHeight="1" x14ac:dyDescent="0.25">
      <c r="A21" s="44" t="s">
        <v>472</v>
      </c>
      <c r="B21" s="46">
        <v>45176</v>
      </c>
      <c r="C21" s="40">
        <v>545</v>
      </c>
      <c r="D21" s="35" t="s">
        <v>473</v>
      </c>
      <c r="E21" s="39" t="s">
        <v>474</v>
      </c>
      <c r="F21" s="36">
        <v>45201</v>
      </c>
      <c r="G21" s="37" t="s">
        <v>475</v>
      </c>
      <c r="H21" s="40" t="s">
        <v>269</v>
      </c>
      <c r="I21" s="40" t="s">
        <v>476</v>
      </c>
      <c r="J21" s="54">
        <v>294623792.10000002</v>
      </c>
      <c r="K21" s="54">
        <v>294623792.10000002</v>
      </c>
      <c r="L21" s="41">
        <v>0</v>
      </c>
      <c r="M21" s="41">
        <v>0</v>
      </c>
      <c r="N21" s="42">
        <v>0</v>
      </c>
      <c r="O21" s="43">
        <v>0</v>
      </c>
      <c r="P21" s="41">
        <v>294623792.10000002</v>
      </c>
      <c r="Q21" s="43">
        <v>0</v>
      </c>
      <c r="R21" s="41">
        <v>294623792.10000002</v>
      </c>
      <c r="S21" s="30">
        <v>344382865.19999999</v>
      </c>
      <c r="T21" s="30">
        <v>344382865.19999999</v>
      </c>
      <c r="U21" s="30">
        <v>970.53</v>
      </c>
      <c r="V21" s="41">
        <v>970.53</v>
      </c>
      <c r="W21" s="41">
        <v>29115.899999999998</v>
      </c>
      <c r="X21" s="41">
        <v>354840</v>
      </c>
      <c r="Y21" s="41">
        <v>254520</v>
      </c>
      <c r="Z21" s="41">
        <v>100320</v>
      </c>
      <c r="AA21" s="41">
        <v>0</v>
      </c>
      <c r="AB21" s="41"/>
      <c r="AC21" s="41">
        <v>0</v>
      </c>
      <c r="AD21" s="41"/>
      <c r="AE21" s="41">
        <v>0</v>
      </c>
      <c r="AF21" s="41">
        <v>11828</v>
      </c>
      <c r="AG21" s="41">
        <v>11828</v>
      </c>
      <c r="AH21" s="36">
        <v>45300</v>
      </c>
      <c r="AI21" s="36">
        <v>45443</v>
      </c>
      <c r="AJ21" s="36"/>
      <c r="AK21" s="36">
        <v>45331</v>
      </c>
      <c r="AL21" s="36">
        <v>45474</v>
      </c>
      <c r="AM21" s="46"/>
      <c r="AN21" s="40" t="s">
        <v>440</v>
      </c>
      <c r="AO21" s="40" t="s">
        <v>477</v>
      </c>
      <c r="AP21" s="40" t="s">
        <v>442</v>
      </c>
      <c r="AQ21" s="40" t="s">
        <v>293</v>
      </c>
      <c r="AR21" s="48">
        <v>0</v>
      </c>
      <c r="AS21" s="37">
        <v>100</v>
      </c>
      <c r="AT21" s="37" t="s">
        <v>386</v>
      </c>
      <c r="AU21" s="47">
        <v>30</v>
      </c>
      <c r="AV21" s="37" t="s">
        <v>60</v>
      </c>
      <c r="AW21" s="37">
        <v>10</v>
      </c>
      <c r="AX21" s="30">
        <v>29462379.210000001</v>
      </c>
      <c r="AY21" s="40" t="s">
        <v>325</v>
      </c>
    </row>
    <row r="22" spans="1:51" ht="57" customHeight="1" x14ac:dyDescent="0.25">
      <c r="A22" s="44" t="s">
        <v>478</v>
      </c>
      <c r="B22" s="46">
        <v>45177</v>
      </c>
      <c r="C22" s="40">
        <v>545</v>
      </c>
      <c r="D22" s="35" t="s">
        <v>479</v>
      </c>
      <c r="E22" s="39" t="s">
        <v>480</v>
      </c>
      <c r="F22" s="36">
        <v>45201</v>
      </c>
      <c r="G22" s="37" t="s">
        <v>481</v>
      </c>
      <c r="H22" s="40" t="s">
        <v>482</v>
      </c>
      <c r="I22" s="40" t="s">
        <v>483</v>
      </c>
      <c r="J22" s="54">
        <v>215384400</v>
      </c>
      <c r="K22" s="54">
        <v>215384400</v>
      </c>
      <c r="L22" s="41">
        <v>0</v>
      </c>
      <c r="M22" s="41">
        <v>0</v>
      </c>
      <c r="N22" s="42">
        <v>0</v>
      </c>
      <c r="O22" s="43">
        <v>0</v>
      </c>
      <c r="P22" s="41">
        <v>215384400</v>
      </c>
      <c r="Q22" s="43">
        <v>0</v>
      </c>
      <c r="R22" s="41">
        <v>215384400</v>
      </c>
      <c r="S22" s="30">
        <v>279833400</v>
      </c>
      <c r="T22" s="30">
        <v>279833400</v>
      </c>
      <c r="U22" s="30">
        <v>6930</v>
      </c>
      <c r="V22" s="41">
        <v>6930</v>
      </c>
      <c r="W22" s="41">
        <v>415800</v>
      </c>
      <c r="X22" s="41">
        <v>40380</v>
      </c>
      <c r="Y22" s="41">
        <v>40380</v>
      </c>
      <c r="Z22" s="41">
        <v>0</v>
      </c>
      <c r="AA22" s="41">
        <v>0</v>
      </c>
      <c r="AB22" s="41"/>
      <c r="AC22" s="41">
        <v>0</v>
      </c>
      <c r="AD22" s="41"/>
      <c r="AE22" s="41">
        <v>0</v>
      </c>
      <c r="AF22" s="41">
        <v>673</v>
      </c>
      <c r="AG22" s="41">
        <v>673</v>
      </c>
      <c r="AH22" s="36">
        <v>45322</v>
      </c>
      <c r="AI22" s="36"/>
      <c r="AJ22" s="36"/>
      <c r="AK22" s="36">
        <v>45352</v>
      </c>
      <c r="AL22" s="36"/>
      <c r="AM22" s="46"/>
      <c r="AN22" s="40" t="s">
        <v>484</v>
      </c>
      <c r="AO22" s="40" t="s">
        <v>485</v>
      </c>
      <c r="AP22" s="40" t="s">
        <v>486</v>
      </c>
      <c r="AQ22" s="40" t="s">
        <v>487</v>
      </c>
      <c r="AR22" s="48">
        <v>0</v>
      </c>
      <c r="AS22" s="37">
        <v>100</v>
      </c>
      <c r="AT22" s="37" t="s">
        <v>386</v>
      </c>
      <c r="AU22" s="47">
        <v>60</v>
      </c>
      <c r="AV22" s="37" t="s">
        <v>60</v>
      </c>
      <c r="AW22" s="37">
        <v>10</v>
      </c>
      <c r="AX22" s="30">
        <v>21538440</v>
      </c>
      <c r="AY22" s="40" t="s">
        <v>95</v>
      </c>
    </row>
    <row r="23" spans="1:51" ht="57" customHeight="1" x14ac:dyDescent="0.25">
      <c r="A23" s="44" t="s">
        <v>498</v>
      </c>
      <c r="B23" s="46">
        <v>45182</v>
      </c>
      <c r="C23" s="40">
        <v>545</v>
      </c>
      <c r="D23" s="35" t="s">
        <v>499</v>
      </c>
      <c r="E23" s="39" t="s">
        <v>500</v>
      </c>
      <c r="F23" s="36">
        <v>45202</v>
      </c>
      <c r="G23" s="37" t="s">
        <v>501</v>
      </c>
      <c r="H23" s="40" t="s">
        <v>502</v>
      </c>
      <c r="I23" s="40" t="s">
        <v>503</v>
      </c>
      <c r="J23" s="54">
        <v>242453837.5</v>
      </c>
      <c r="K23" s="54">
        <v>242453837.5</v>
      </c>
      <c r="L23" s="54">
        <v>0</v>
      </c>
      <c r="M23" s="54">
        <v>0</v>
      </c>
      <c r="N23" s="42">
        <v>0</v>
      </c>
      <c r="O23" s="43">
        <v>0</v>
      </c>
      <c r="P23" s="41">
        <v>242453837.5</v>
      </c>
      <c r="Q23" s="43">
        <v>0</v>
      </c>
      <c r="R23" s="41">
        <v>242453837.5</v>
      </c>
      <c r="S23" s="30">
        <v>315114614.5</v>
      </c>
      <c r="T23" s="30">
        <v>315114614.5</v>
      </c>
      <c r="U23" s="30">
        <v>1004.99</v>
      </c>
      <c r="V23" s="41">
        <v>1004.99</v>
      </c>
      <c r="W23" s="41">
        <v>50249.5</v>
      </c>
      <c r="X23" s="41">
        <v>313550</v>
      </c>
      <c r="Y23" s="41">
        <v>255600</v>
      </c>
      <c r="Z23" s="41">
        <v>57950</v>
      </c>
      <c r="AA23" s="41">
        <v>0</v>
      </c>
      <c r="AB23" s="41"/>
      <c r="AC23" s="41">
        <v>0</v>
      </c>
      <c r="AD23" s="41"/>
      <c r="AE23" s="41">
        <v>0</v>
      </c>
      <c r="AF23" s="41">
        <v>6271</v>
      </c>
      <c r="AG23" s="41">
        <v>6271</v>
      </c>
      <c r="AH23" s="36">
        <v>45322</v>
      </c>
      <c r="AI23" s="36">
        <v>45412</v>
      </c>
      <c r="AJ23" s="36"/>
      <c r="AK23" s="36">
        <v>45352</v>
      </c>
      <c r="AL23" s="36">
        <v>45442</v>
      </c>
      <c r="AM23" s="46"/>
      <c r="AN23" s="40" t="s">
        <v>504</v>
      </c>
      <c r="AO23" s="40" t="s">
        <v>505</v>
      </c>
      <c r="AP23" s="40" t="s">
        <v>506</v>
      </c>
      <c r="AQ23" s="40" t="s">
        <v>58</v>
      </c>
      <c r="AR23" s="48">
        <v>0</v>
      </c>
      <c r="AS23" s="37">
        <v>100</v>
      </c>
      <c r="AT23" s="37" t="s">
        <v>324</v>
      </c>
      <c r="AU23" s="47">
        <v>50</v>
      </c>
      <c r="AV23" s="37" t="s">
        <v>60</v>
      </c>
      <c r="AW23" s="37">
        <v>10</v>
      </c>
      <c r="AX23" s="30">
        <v>24245383.75</v>
      </c>
      <c r="AY23" s="40" t="s">
        <v>402</v>
      </c>
    </row>
    <row r="24" spans="1:51" ht="44.25" customHeight="1" x14ac:dyDescent="0.25">
      <c r="A24" s="44" t="s">
        <v>515</v>
      </c>
      <c r="B24" s="46">
        <v>45211</v>
      </c>
      <c r="C24" s="40">
        <v>545</v>
      </c>
      <c r="D24" s="35" t="s">
        <v>516</v>
      </c>
      <c r="E24" s="39" t="s">
        <v>517</v>
      </c>
      <c r="F24" s="36">
        <v>45230</v>
      </c>
      <c r="G24" s="37" t="s">
        <v>518</v>
      </c>
      <c r="H24" s="40" t="s">
        <v>502</v>
      </c>
      <c r="I24" s="40" t="s">
        <v>519</v>
      </c>
      <c r="J24" s="54">
        <v>7108442.8799999999</v>
      </c>
      <c r="K24" s="54">
        <v>7108442.8799999999</v>
      </c>
      <c r="L24" s="54">
        <v>0</v>
      </c>
      <c r="M24" s="54">
        <v>0</v>
      </c>
      <c r="N24" s="42">
        <v>0</v>
      </c>
      <c r="O24" s="43">
        <v>0</v>
      </c>
      <c r="P24" s="41">
        <v>7108442.8799999999</v>
      </c>
      <c r="Q24" s="43">
        <v>0</v>
      </c>
      <c r="R24" s="41">
        <v>7108442.8799999999</v>
      </c>
      <c r="S24" s="30">
        <v>7108442.8799999999</v>
      </c>
      <c r="T24" s="30">
        <v>7108442.8799999999</v>
      </c>
      <c r="U24" s="30">
        <v>31.9</v>
      </c>
      <c r="V24" s="41">
        <v>31.9</v>
      </c>
      <c r="W24" s="41">
        <v>888555.36</v>
      </c>
      <c r="X24" s="41">
        <v>222835.20000000001</v>
      </c>
      <c r="Y24" s="41">
        <v>222835.20000000001</v>
      </c>
      <c r="Z24" s="41">
        <v>0</v>
      </c>
      <c r="AA24" s="41">
        <v>0</v>
      </c>
      <c r="AB24" s="41"/>
      <c r="AC24" s="41">
        <v>0</v>
      </c>
      <c r="AD24" s="41"/>
      <c r="AE24" s="41">
        <v>0</v>
      </c>
      <c r="AF24" s="41">
        <v>8</v>
      </c>
      <c r="AG24" s="41">
        <v>8</v>
      </c>
      <c r="AH24" s="36">
        <v>45300</v>
      </c>
      <c r="AI24" s="36"/>
      <c r="AJ24" s="36"/>
      <c r="AK24" s="36">
        <v>45332</v>
      </c>
      <c r="AL24" s="36"/>
      <c r="AM24" s="46"/>
      <c r="AN24" s="40" t="s">
        <v>520</v>
      </c>
      <c r="AO24" s="40" t="s">
        <v>521</v>
      </c>
      <c r="AP24" s="40" t="s">
        <v>522</v>
      </c>
      <c r="AQ24" s="40" t="s">
        <v>523</v>
      </c>
      <c r="AR24" s="48">
        <v>0</v>
      </c>
      <c r="AS24" s="37">
        <v>100</v>
      </c>
      <c r="AT24" s="37" t="s">
        <v>324</v>
      </c>
      <c r="AU24" s="52">
        <v>27854.400000000001</v>
      </c>
      <c r="AV24" s="37" t="s">
        <v>219</v>
      </c>
      <c r="AW24" s="37">
        <v>10</v>
      </c>
      <c r="AX24" s="30">
        <v>710844.28799999994</v>
      </c>
      <c r="AY24" s="40" t="s">
        <v>95</v>
      </c>
    </row>
    <row r="25" spans="1:51" ht="44.25" customHeight="1" x14ac:dyDescent="0.25">
      <c r="A25" s="44" t="s">
        <v>524</v>
      </c>
      <c r="B25" s="46">
        <v>45211</v>
      </c>
      <c r="C25" s="40">
        <v>545</v>
      </c>
      <c r="D25" s="35" t="s">
        <v>525</v>
      </c>
      <c r="E25" s="39" t="s">
        <v>526</v>
      </c>
      <c r="F25" s="36">
        <v>45230</v>
      </c>
      <c r="G25" s="37" t="s">
        <v>527</v>
      </c>
      <c r="H25" s="40" t="s">
        <v>86</v>
      </c>
      <c r="I25" s="40" t="s">
        <v>528</v>
      </c>
      <c r="J25" s="54">
        <v>17806060.800000001</v>
      </c>
      <c r="K25" s="54">
        <v>17806060.800000001</v>
      </c>
      <c r="L25" s="54">
        <v>0</v>
      </c>
      <c r="M25" s="54">
        <v>0</v>
      </c>
      <c r="N25" s="42">
        <v>0</v>
      </c>
      <c r="O25" s="43">
        <v>0</v>
      </c>
      <c r="P25" s="41">
        <v>17806060.800000001</v>
      </c>
      <c r="Q25" s="43">
        <v>0</v>
      </c>
      <c r="R25" s="41">
        <v>17806060.800000001</v>
      </c>
      <c r="S25" s="30">
        <v>17806060.800000001</v>
      </c>
      <c r="T25" s="30">
        <v>17806060.800000001</v>
      </c>
      <c r="U25" s="30">
        <v>247306.40000000002</v>
      </c>
      <c r="V25" s="41">
        <v>247306.40000000002</v>
      </c>
      <c r="W25" s="41">
        <v>2967676.8000000003</v>
      </c>
      <c r="X25" s="41">
        <v>72</v>
      </c>
      <c r="Y25" s="41">
        <v>72</v>
      </c>
      <c r="Z25" s="41">
        <v>0</v>
      </c>
      <c r="AA25" s="41">
        <v>0</v>
      </c>
      <c r="AB25" s="41"/>
      <c r="AC25" s="41">
        <v>0</v>
      </c>
      <c r="AD25" s="41"/>
      <c r="AE25" s="41">
        <v>0</v>
      </c>
      <c r="AF25" s="41">
        <v>6</v>
      </c>
      <c r="AG25" s="41">
        <v>6</v>
      </c>
      <c r="AH25" s="36">
        <v>45300</v>
      </c>
      <c r="AI25" s="36"/>
      <c r="AJ25" s="36"/>
      <c r="AK25" s="36">
        <v>45331</v>
      </c>
      <c r="AL25" s="36"/>
      <c r="AM25" s="46"/>
      <c r="AN25" s="40" t="s">
        <v>374</v>
      </c>
      <c r="AO25" s="40" t="s">
        <v>375</v>
      </c>
      <c r="AP25" s="40" t="s">
        <v>529</v>
      </c>
      <c r="AQ25" s="40" t="s">
        <v>58</v>
      </c>
      <c r="AR25" s="48">
        <v>0</v>
      </c>
      <c r="AS25" s="37">
        <v>100</v>
      </c>
      <c r="AT25" s="37" t="s">
        <v>81</v>
      </c>
      <c r="AU25" s="47">
        <v>12</v>
      </c>
      <c r="AV25" s="37" t="s">
        <v>60</v>
      </c>
      <c r="AW25" s="37">
        <v>10</v>
      </c>
      <c r="AX25" s="30">
        <v>1780606.08</v>
      </c>
      <c r="AY25" s="40" t="s">
        <v>95</v>
      </c>
    </row>
    <row r="26" spans="1:51" ht="44.25" customHeight="1" x14ac:dyDescent="0.25">
      <c r="A26" s="44" t="s">
        <v>537</v>
      </c>
      <c r="B26" s="46">
        <v>45211</v>
      </c>
      <c r="C26" s="40">
        <v>545</v>
      </c>
      <c r="D26" s="35" t="s">
        <v>538</v>
      </c>
      <c r="E26" s="39" t="s">
        <v>539</v>
      </c>
      <c r="F26" s="36">
        <v>45230</v>
      </c>
      <c r="G26" s="37" t="s">
        <v>540</v>
      </c>
      <c r="H26" s="40" t="s">
        <v>86</v>
      </c>
      <c r="I26" s="40" t="s">
        <v>338</v>
      </c>
      <c r="J26" s="54">
        <v>24780777.600000001</v>
      </c>
      <c r="K26" s="54">
        <v>24780777.600000001</v>
      </c>
      <c r="L26" s="54">
        <v>0</v>
      </c>
      <c r="M26" s="54">
        <v>0</v>
      </c>
      <c r="N26" s="42">
        <v>0</v>
      </c>
      <c r="O26" s="43">
        <v>0</v>
      </c>
      <c r="P26" s="54">
        <v>24780777.600000001</v>
      </c>
      <c r="Q26" s="43">
        <v>0</v>
      </c>
      <c r="R26" s="41">
        <v>24780777.600000001</v>
      </c>
      <c r="S26" s="30">
        <v>24780777.600000001</v>
      </c>
      <c r="T26" s="30">
        <v>24780777.600000001</v>
      </c>
      <c r="U26" s="30">
        <v>25813.31</v>
      </c>
      <c r="V26" s="41">
        <v>25813.31</v>
      </c>
      <c r="W26" s="41">
        <v>774399.3</v>
      </c>
      <c r="X26" s="41">
        <v>960</v>
      </c>
      <c r="Y26" s="41">
        <v>960</v>
      </c>
      <c r="Z26" s="41">
        <v>0</v>
      </c>
      <c r="AA26" s="41">
        <v>0</v>
      </c>
      <c r="AB26" s="41"/>
      <c r="AC26" s="41">
        <v>0</v>
      </c>
      <c r="AD26" s="41"/>
      <c r="AE26" s="41">
        <v>0</v>
      </c>
      <c r="AF26" s="41">
        <v>32</v>
      </c>
      <c r="AG26" s="41">
        <v>32</v>
      </c>
      <c r="AH26" s="36">
        <v>45300</v>
      </c>
      <c r="AI26" s="36"/>
      <c r="AJ26" s="36"/>
      <c r="AK26" s="36">
        <v>45332</v>
      </c>
      <c r="AL26" s="36"/>
      <c r="AM26" s="46"/>
      <c r="AN26" s="40" t="s">
        <v>339</v>
      </c>
      <c r="AO26" s="40" t="s">
        <v>340</v>
      </c>
      <c r="AP26" s="40" t="s">
        <v>341</v>
      </c>
      <c r="AQ26" s="40" t="s">
        <v>342</v>
      </c>
      <c r="AR26" s="48">
        <v>0</v>
      </c>
      <c r="AS26" s="37">
        <v>100</v>
      </c>
      <c r="AT26" s="37" t="s">
        <v>343</v>
      </c>
      <c r="AU26" s="47">
        <v>30</v>
      </c>
      <c r="AV26" s="37" t="s">
        <v>60</v>
      </c>
      <c r="AW26" s="37">
        <v>10</v>
      </c>
      <c r="AX26" s="30">
        <v>2478077.7599999998</v>
      </c>
      <c r="AY26" s="40" t="s">
        <v>95</v>
      </c>
    </row>
    <row r="27" spans="1:51" ht="44.25" customHeight="1" x14ac:dyDescent="0.25">
      <c r="A27" s="44" t="s">
        <v>541</v>
      </c>
      <c r="B27" s="46">
        <v>45215</v>
      </c>
      <c r="C27" s="40">
        <v>545</v>
      </c>
      <c r="D27" s="35" t="s">
        <v>542</v>
      </c>
      <c r="E27" s="39" t="s">
        <v>543</v>
      </c>
      <c r="F27" s="36">
        <v>45237</v>
      </c>
      <c r="G27" s="37" t="s">
        <v>544</v>
      </c>
      <c r="H27" s="40" t="s">
        <v>86</v>
      </c>
      <c r="I27" s="40" t="s">
        <v>413</v>
      </c>
      <c r="J27" s="54">
        <v>5420807.7000000002</v>
      </c>
      <c r="K27" s="54">
        <v>5420807.7000000002</v>
      </c>
      <c r="L27" s="54">
        <v>0</v>
      </c>
      <c r="M27" s="54">
        <v>0</v>
      </c>
      <c r="N27" s="42">
        <v>0</v>
      </c>
      <c r="O27" s="43">
        <v>0</v>
      </c>
      <c r="P27" s="41">
        <v>5420807.7000000002</v>
      </c>
      <c r="Q27" s="43">
        <v>0</v>
      </c>
      <c r="R27" s="41">
        <v>5420807.7000000002</v>
      </c>
      <c r="S27" s="30">
        <v>5420807.7000000002</v>
      </c>
      <c r="T27" s="30">
        <v>5420807.7000000002</v>
      </c>
      <c r="U27" s="30">
        <v>25813.370000000003</v>
      </c>
      <c r="V27" s="41">
        <v>25813.370000000003</v>
      </c>
      <c r="W27" s="41">
        <v>387200.55000000005</v>
      </c>
      <c r="X27" s="41">
        <v>210</v>
      </c>
      <c r="Y27" s="41">
        <v>210</v>
      </c>
      <c r="Z27" s="41">
        <v>0</v>
      </c>
      <c r="AA27" s="41">
        <v>0</v>
      </c>
      <c r="AB27" s="41"/>
      <c r="AC27" s="41">
        <v>0</v>
      </c>
      <c r="AD27" s="41"/>
      <c r="AE27" s="41">
        <v>0</v>
      </c>
      <c r="AF27" s="41">
        <v>14</v>
      </c>
      <c r="AG27" s="41">
        <v>14</v>
      </c>
      <c r="AH27" s="36">
        <v>45300</v>
      </c>
      <c r="AI27" s="36"/>
      <c r="AJ27" s="36"/>
      <c r="AK27" s="36">
        <v>45332</v>
      </c>
      <c r="AL27" s="36"/>
      <c r="AM27" s="46"/>
      <c r="AN27" s="40" t="s">
        <v>339</v>
      </c>
      <c r="AO27" s="40" t="s">
        <v>545</v>
      </c>
      <c r="AP27" s="40" t="s">
        <v>546</v>
      </c>
      <c r="AQ27" s="40" t="s">
        <v>342</v>
      </c>
      <c r="AR27" s="48">
        <v>0</v>
      </c>
      <c r="AS27" s="37">
        <v>100</v>
      </c>
      <c r="AT27" s="37" t="s">
        <v>343</v>
      </c>
      <c r="AU27" s="47">
        <v>15</v>
      </c>
      <c r="AV27" s="37" t="s">
        <v>60</v>
      </c>
      <c r="AW27" s="37">
        <v>10</v>
      </c>
      <c r="AX27" s="30">
        <v>542080.77</v>
      </c>
      <c r="AY27" s="40" t="s">
        <v>95</v>
      </c>
    </row>
    <row r="28" spans="1:51" ht="126" x14ac:dyDescent="0.25">
      <c r="A28" s="44" t="s">
        <v>547</v>
      </c>
      <c r="B28" s="36">
        <v>45215</v>
      </c>
      <c r="C28" s="37">
        <v>545</v>
      </c>
      <c r="D28" s="35" t="s">
        <v>548</v>
      </c>
      <c r="E28" s="39" t="s">
        <v>549</v>
      </c>
      <c r="F28" s="36">
        <v>45237</v>
      </c>
      <c r="G28" s="37" t="s">
        <v>550</v>
      </c>
      <c r="H28" s="40" t="s">
        <v>86</v>
      </c>
      <c r="I28" s="40" t="s">
        <v>365</v>
      </c>
      <c r="J28" s="41">
        <v>17806060.800000001</v>
      </c>
      <c r="K28" s="41">
        <v>17806060.800000001</v>
      </c>
      <c r="L28" s="54">
        <v>0</v>
      </c>
      <c r="M28" s="54">
        <v>0</v>
      </c>
      <c r="N28" s="42">
        <v>0</v>
      </c>
      <c r="O28" s="43">
        <v>17806060.800000001</v>
      </c>
      <c r="P28" s="41">
        <v>17806060.800000001</v>
      </c>
      <c r="Q28" s="43">
        <v>0</v>
      </c>
      <c r="R28" s="41">
        <v>17806060.800000001</v>
      </c>
      <c r="S28" s="30">
        <v>17806060.800000001</v>
      </c>
      <c r="T28" s="30">
        <v>17806060.800000001</v>
      </c>
      <c r="U28" s="30">
        <v>618266</v>
      </c>
      <c r="V28" s="41">
        <v>618266</v>
      </c>
      <c r="W28" s="41">
        <v>5935353.5999999996</v>
      </c>
      <c r="X28" s="41">
        <v>28.8</v>
      </c>
      <c r="Y28" s="41">
        <v>28.8</v>
      </c>
      <c r="Z28" s="41">
        <v>0</v>
      </c>
      <c r="AA28" s="41">
        <v>0</v>
      </c>
      <c r="AB28" s="41"/>
      <c r="AC28" s="41">
        <v>0</v>
      </c>
      <c r="AD28" s="41"/>
      <c r="AE28" s="41">
        <v>0</v>
      </c>
      <c r="AF28" s="41">
        <v>3</v>
      </c>
      <c r="AG28" s="41">
        <v>3</v>
      </c>
      <c r="AH28" s="36">
        <v>45300</v>
      </c>
      <c r="AI28" s="36"/>
      <c r="AJ28" s="36"/>
      <c r="AK28" s="36">
        <v>45332</v>
      </c>
      <c r="AL28" s="36"/>
      <c r="AM28" s="46"/>
      <c r="AN28" s="40" t="s">
        <v>366</v>
      </c>
      <c r="AO28" s="40" t="s">
        <v>551</v>
      </c>
      <c r="AP28" s="40" t="s">
        <v>368</v>
      </c>
      <c r="AQ28" s="40" t="s">
        <v>58</v>
      </c>
      <c r="AR28" s="48">
        <v>0</v>
      </c>
      <c r="AS28" s="37">
        <v>100</v>
      </c>
      <c r="AT28" s="37" t="s">
        <v>81</v>
      </c>
      <c r="AU28" s="52">
        <v>9.6</v>
      </c>
      <c r="AV28" s="37" t="s">
        <v>60</v>
      </c>
      <c r="AW28" s="37">
        <v>10</v>
      </c>
      <c r="AX28" s="30">
        <v>1780606.08</v>
      </c>
      <c r="AY28" s="40" t="s">
        <v>95</v>
      </c>
    </row>
    <row r="29" spans="1:51" ht="85.5" customHeight="1" x14ac:dyDescent="0.25">
      <c r="A29" s="44" t="s">
        <v>552</v>
      </c>
      <c r="B29" s="36">
        <v>45217</v>
      </c>
      <c r="C29" s="37">
        <v>545</v>
      </c>
      <c r="D29" s="35" t="s">
        <v>553</v>
      </c>
      <c r="E29" s="39" t="s">
        <v>554</v>
      </c>
      <c r="F29" s="36">
        <v>45237</v>
      </c>
      <c r="G29" s="37" t="s">
        <v>555</v>
      </c>
      <c r="H29" s="40" t="s">
        <v>502</v>
      </c>
      <c r="I29" s="40" t="s">
        <v>503</v>
      </c>
      <c r="J29" s="41">
        <v>2210956</v>
      </c>
      <c r="K29" s="41">
        <v>2210956</v>
      </c>
      <c r="L29" s="54">
        <v>0</v>
      </c>
      <c r="M29" s="54">
        <v>0</v>
      </c>
      <c r="N29" s="42">
        <v>0</v>
      </c>
      <c r="O29" s="43">
        <v>2210956</v>
      </c>
      <c r="P29" s="41">
        <v>2210956</v>
      </c>
      <c r="Q29" s="43">
        <v>0</v>
      </c>
      <c r="R29" s="41">
        <v>2210956</v>
      </c>
      <c r="S29" s="30">
        <v>2210956</v>
      </c>
      <c r="T29" s="30">
        <v>2210956</v>
      </c>
      <c r="U29" s="30">
        <v>1004.98</v>
      </c>
      <c r="V29" s="41">
        <v>1004.98</v>
      </c>
      <c r="W29" s="41">
        <v>50249</v>
      </c>
      <c r="X29" s="41">
        <v>2200</v>
      </c>
      <c r="Y29" s="41">
        <v>2200</v>
      </c>
      <c r="Z29" s="41">
        <v>0</v>
      </c>
      <c r="AA29" s="41">
        <v>0</v>
      </c>
      <c r="AB29" s="41"/>
      <c r="AC29" s="41">
        <v>0</v>
      </c>
      <c r="AD29" s="41"/>
      <c r="AE29" s="41">
        <v>0</v>
      </c>
      <c r="AF29" s="41">
        <v>44</v>
      </c>
      <c r="AG29" s="41">
        <v>44</v>
      </c>
      <c r="AH29" s="36">
        <v>45300</v>
      </c>
      <c r="AI29" s="36"/>
      <c r="AJ29" s="36"/>
      <c r="AK29" s="36">
        <v>45332</v>
      </c>
      <c r="AL29" s="36"/>
      <c r="AM29" s="46"/>
      <c r="AN29" s="40" t="s">
        <v>556</v>
      </c>
      <c r="AO29" s="40" t="s">
        <v>557</v>
      </c>
      <c r="AP29" s="40" t="s">
        <v>558</v>
      </c>
      <c r="AQ29" s="40" t="s">
        <v>58</v>
      </c>
      <c r="AR29" s="48">
        <v>0</v>
      </c>
      <c r="AS29" s="37">
        <v>100</v>
      </c>
      <c r="AT29" s="37" t="s">
        <v>324</v>
      </c>
      <c r="AU29" s="47">
        <v>50</v>
      </c>
      <c r="AV29" s="37" t="s">
        <v>219</v>
      </c>
      <c r="AW29" s="37">
        <v>10</v>
      </c>
      <c r="AX29" s="30">
        <v>221095.6</v>
      </c>
      <c r="AY29" s="40" t="s">
        <v>95</v>
      </c>
    </row>
    <row r="30" spans="1:51" ht="75" x14ac:dyDescent="0.25">
      <c r="A30" s="44" t="s">
        <v>559</v>
      </c>
      <c r="B30" s="36">
        <v>45217</v>
      </c>
      <c r="C30" s="37">
        <v>545</v>
      </c>
      <c r="D30" s="35" t="s">
        <v>560</v>
      </c>
      <c r="E30" s="39" t="s">
        <v>561</v>
      </c>
      <c r="F30" s="36">
        <v>45237</v>
      </c>
      <c r="G30" s="37" t="s">
        <v>562</v>
      </c>
      <c r="H30" s="40" t="s">
        <v>563</v>
      </c>
      <c r="I30" s="40" t="s">
        <v>564</v>
      </c>
      <c r="J30" s="41">
        <v>3519984.6</v>
      </c>
      <c r="K30" s="41">
        <v>3519984.6</v>
      </c>
      <c r="L30" s="54">
        <v>0</v>
      </c>
      <c r="M30" s="54">
        <v>0</v>
      </c>
      <c r="N30" s="42">
        <v>0</v>
      </c>
      <c r="O30" s="43">
        <v>3519984.6</v>
      </c>
      <c r="P30" s="41">
        <v>3519984.6</v>
      </c>
      <c r="Q30" s="43">
        <v>0</v>
      </c>
      <c r="R30" s="41">
        <v>3519984.6</v>
      </c>
      <c r="S30" s="30">
        <v>3519984.6</v>
      </c>
      <c r="T30" s="30">
        <v>3519984.6</v>
      </c>
      <c r="U30" s="30">
        <v>5333.31</v>
      </c>
      <c r="V30" s="41">
        <v>5333.31</v>
      </c>
      <c r="W30" s="41">
        <v>319998.60000000003</v>
      </c>
      <c r="X30" s="41">
        <v>660</v>
      </c>
      <c r="Y30" s="41">
        <v>660</v>
      </c>
      <c r="Z30" s="41">
        <v>0</v>
      </c>
      <c r="AA30" s="41">
        <v>0</v>
      </c>
      <c r="AB30" s="41"/>
      <c r="AC30" s="41">
        <v>0</v>
      </c>
      <c r="AD30" s="41"/>
      <c r="AE30" s="41">
        <v>0</v>
      </c>
      <c r="AF30" s="41">
        <v>11</v>
      </c>
      <c r="AG30" s="41">
        <v>11</v>
      </c>
      <c r="AH30" s="36">
        <v>45300</v>
      </c>
      <c r="AI30" s="36"/>
      <c r="AJ30" s="36"/>
      <c r="AK30" s="36">
        <v>45332</v>
      </c>
      <c r="AL30" s="36"/>
      <c r="AM30" s="46"/>
      <c r="AN30" s="40" t="s">
        <v>565</v>
      </c>
      <c r="AO30" s="40" t="s">
        <v>566</v>
      </c>
      <c r="AP30" s="40" t="s">
        <v>567</v>
      </c>
      <c r="AQ30" s="40" t="s">
        <v>80</v>
      </c>
      <c r="AR30" s="48">
        <v>100</v>
      </c>
      <c r="AS30" s="37">
        <v>0</v>
      </c>
      <c r="AT30" s="37" t="s">
        <v>386</v>
      </c>
      <c r="AU30" s="47">
        <v>60</v>
      </c>
      <c r="AV30" s="37" t="s">
        <v>60</v>
      </c>
      <c r="AW30" s="37">
        <v>10</v>
      </c>
      <c r="AX30" s="30">
        <v>351998.46</v>
      </c>
      <c r="AY30" s="40" t="s">
        <v>95</v>
      </c>
    </row>
    <row r="31" spans="1:51" ht="94.5" x14ac:dyDescent="0.25">
      <c r="A31" s="44" t="s">
        <v>568</v>
      </c>
      <c r="B31" s="36">
        <v>45219</v>
      </c>
      <c r="C31" s="37">
        <v>545</v>
      </c>
      <c r="D31" s="35" t="s">
        <v>569</v>
      </c>
      <c r="E31" s="39" t="s">
        <v>570</v>
      </c>
      <c r="F31" s="36">
        <v>45240</v>
      </c>
      <c r="G31" s="37" t="s">
        <v>571</v>
      </c>
      <c r="H31" s="40" t="s">
        <v>319</v>
      </c>
      <c r="I31" s="40" t="s">
        <v>320</v>
      </c>
      <c r="J31" s="41">
        <v>18087484.800000001</v>
      </c>
      <c r="K31" s="41">
        <v>18087484.800000001</v>
      </c>
      <c r="L31" s="54">
        <v>0</v>
      </c>
      <c r="M31" s="54">
        <v>0</v>
      </c>
      <c r="N31" s="42">
        <v>0</v>
      </c>
      <c r="O31" s="43">
        <v>18087484.800000001</v>
      </c>
      <c r="P31" s="41">
        <v>18087484.800000001</v>
      </c>
      <c r="Q31" s="43">
        <v>0</v>
      </c>
      <c r="R31" s="41">
        <v>18087484.800000001</v>
      </c>
      <c r="S31" s="30">
        <v>18087484.800000001</v>
      </c>
      <c r="T31" s="30">
        <v>18087484.800000001</v>
      </c>
      <c r="U31" s="30">
        <v>10766.36</v>
      </c>
      <c r="V31" s="41">
        <v>10766.36</v>
      </c>
      <c r="W31" s="41">
        <v>1507290.4000000001</v>
      </c>
      <c r="X31" s="41">
        <v>1680</v>
      </c>
      <c r="Y31" s="41">
        <v>1680</v>
      </c>
      <c r="Z31" s="41">
        <v>0</v>
      </c>
      <c r="AA31" s="41">
        <v>0</v>
      </c>
      <c r="AB31" s="41"/>
      <c r="AC31" s="41">
        <v>0</v>
      </c>
      <c r="AD31" s="41"/>
      <c r="AE31" s="41">
        <v>0</v>
      </c>
      <c r="AF31" s="41">
        <v>12</v>
      </c>
      <c r="AG31" s="41">
        <v>12</v>
      </c>
      <c r="AH31" s="36">
        <v>45300</v>
      </c>
      <c r="AI31" s="36"/>
      <c r="AJ31" s="36"/>
      <c r="AK31" s="36">
        <v>45332</v>
      </c>
      <c r="AL31" s="36"/>
      <c r="AM31" s="46"/>
      <c r="AN31" s="40" t="s">
        <v>321</v>
      </c>
      <c r="AO31" s="40" t="s">
        <v>322</v>
      </c>
      <c r="AP31" s="40" t="s">
        <v>323</v>
      </c>
      <c r="AQ31" s="40" t="s">
        <v>146</v>
      </c>
      <c r="AR31" s="48">
        <v>0</v>
      </c>
      <c r="AS31" s="37">
        <v>100</v>
      </c>
      <c r="AT31" s="37" t="s">
        <v>324</v>
      </c>
      <c r="AU31" s="47">
        <v>140</v>
      </c>
      <c r="AV31" s="37" t="s">
        <v>60</v>
      </c>
      <c r="AW31" s="37">
        <v>10</v>
      </c>
      <c r="AX31" s="30">
        <v>1808748.48</v>
      </c>
      <c r="AY31" s="40" t="s">
        <v>95</v>
      </c>
    </row>
    <row r="32" spans="1:51" ht="75" x14ac:dyDescent="0.25">
      <c r="A32" s="44" t="s">
        <v>572</v>
      </c>
      <c r="B32" s="36">
        <v>45219</v>
      </c>
      <c r="C32" s="37">
        <v>545</v>
      </c>
      <c r="D32" s="35" t="s">
        <v>573</v>
      </c>
      <c r="E32" s="39" t="s">
        <v>574</v>
      </c>
      <c r="F32" s="36">
        <v>45240</v>
      </c>
      <c r="G32" s="37" t="s">
        <v>575</v>
      </c>
      <c r="H32" s="40" t="s">
        <v>53</v>
      </c>
      <c r="I32" s="40" t="s">
        <v>576</v>
      </c>
      <c r="J32" s="41">
        <v>96768822.079999998</v>
      </c>
      <c r="K32" s="41">
        <v>96768822.079999998</v>
      </c>
      <c r="L32" s="54">
        <v>0</v>
      </c>
      <c r="M32" s="54">
        <v>0</v>
      </c>
      <c r="N32" s="42">
        <v>0</v>
      </c>
      <c r="O32" s="43">
        <v>96768822.079999998</v>
      </c>
      <c r="P32" s="41">
        <v>96768822.079999998</v>
      </c>
      <c r="Q32" s="43">
        <v>0</v>
      </c>
      <c r="R32" s="41">
        <v>96768822.079999998</v>
      </c>
      <c r="S32" s="30">
        <v>125663073.48</v>
      </c>
      <c r="T32" s="30">
        <v>125663073.48</v>
      </c>
      <c r="U32" s="30">
        <v>1281.9100000000001</v>
      </c>
      <c r="V32" s="41">
        <v>1281.9100000000001</v>
      </c>
      <c r="W32" s="41">
        <v>35893.480000000003</v>
      </c>
      <c r="X32" s="41">
        <v>98028</v>
      </c>
      <c r="Y32" s="41">
        <v>98028</v>
      </c>
      <c r="Z32" s="41">
        <v>0</v>
      </c>
      <c r="AA32" s="41">
        <v>0</v>
      </c>
      <c r="AB32" s="41"/>
      <c r="AC32" s="41">
        <v>0</v>
      </c>
      <c r="AD32" s="41"/>
      <c r="AE32" s="41">
        <v>0</v>
      </c>
      <c r="AF32" s="41">
        <v>3501</v>
      </c>
      <c r="AG32" s="41">
        <v>3501</v>
      </c>
      <c r="AH32" s="36">
        <v>45352</v>
      </c>
      <c r="AI32" s="36"/>
      <c r="AJ32" s="36"/>
      <c r="AK32" s="36">
        <v>45383</v>
      </c>
      <c r="AL32" s="36"/>
      <c r="AM32" s="46"/>
      <c r="AN32" s="40" t="s">
        <v>577</v>
      </c>
      <c r="AO32" s="40" t="s">
        <v>578</v>
      </c>
      <c r="AP32" s="40" t="s">
        <v>579</v>
      </c>
      <c r="AQ32" s="40" t="s">
        <v>385</v>
      </c>
      <c r="AR32" s="48">
        <v>0</v>
      </c>
      <c r="AS32" s="37">
        <v>100</v>
      </c>
      <c r="AT32" s="37" t="s">
        <v>386</v>
      </c>
      <c r="AU32" s="47">
        <v>28</v>
      </c>
      <c r="AV32" s="37" t="s">
        <v>60</v>
      </c>
      <c r="AW32" s="37">
        <v>10</v>
      </c>
      <c r="AX32" s="30">
        <v>9676882.2079999987</v>
      </c>
      <c r="AY32" s="40" t="s">
        <v>402</v>
      </c>
    </row>
    <row r="33" spans="1:51" ht="75" x14ac:dyDescent="0.25">
      <c r="A33" s="44" t="s">
        <v>580</v>
      </c>
      <c r="B33" s="36">
        <v>45222</v>
      </c>
      <c r="C33" s="37">
        <v>545</v>
      </c>
      <c r="D33" s="35" t="s">
        <v>581</v>
      </c>
      <c r="E33" s="39" t="s">
        <v>582</v>
      </c>
      <c r="F33" s="36">
        <v>45243</v>
      </c>
      <c r="G33" s="37" t="s">
        <v>583</v>
      </c>
      <c r="H33" s="40" t="s">
        <v>269</v>
      </c>
      <c r="I33" s="40" t="s">
        <v>584</v>
      </c>
      <c r="J33" s="41">
        <v>21516462</v>
      </c>
      <c r="K33" s="41">
        <v>21516462</v>
      </c>
      <c r="L33" s="54">
        <v>0</v>
      </c>
      <c r="M33" s="54">
        <v>0</v>
      </c>
      <c r="N33" s="42">
        <v>0</v>
      </c>
      <c r="O33" s="43">
        <v>21516462</v>
      </c>
      <c r="P33" s="41">
        <v>21516462</v>
      </c>
      <c r="Q33" s="43">
        <v>0</v>
      </c>
      <c r="R33" s="41">
        <v>21516462</v>
      </c>
      <c r="S33" s="30">
        <v>27076896</v>
      </c>
      <c r="T33" s="30">
        <v>27076896</v>
      </c>
      <c r="U33" s="30">
        <v>4029.3</v>
      </c>
      <c r="V33" s="41">
        <v>4029.3</v>
      </c>
      <c r="W33" s="41">
        <v>241758</v>
      </c>
      <c r="X33" s="41">
        <v>6720</v>
      </c>
      <c r="Y33" s="41">
        <v>6720</v>
      </c>
      <c r="Z33" s="41">
        <v>0</v>
      </c>
      <c r="AA33" s="41">
        <v>0</v>
      </c>
      <c r="AB33" s="41"/>
      <c r="AC33" s="41">
        <v>0</v>
      </c>
      <c r="AD33" s="41"/>
      <c r="AE33" s="41">
        <v>0</v>
      </c>
      <c r="AF33" s="41">
        <v>112</v>
      </c>
      <c r="AG33" s="41">
        <v>112</v>
      </c>
      <c r="AH33" s="36">
        <v>45306</v>
      </c>
      <c r="AI33" s="36"/>
      <c r="AJ33" s="36"/>
      <c r="AK33" s="36">
        <v>45337</v>
      </c>
      <c r="AL33" s="36"/>
      <c r="AM33" s="46"/>
      <c r="AN33" s="40" t="s">
        <v>585</v>
      </c>
      <c r="AO33" s="40" t="s">
        <v>586</v>
      </c>
      <c r="AP33" s="40" t="s">
        <v>587</v>
      </c>
      <c r="AQ33" s="40" t="s">
        <v>92</v>
      </c>
      <c r="AR33" s="48">
        <v>0</v>
      </c>
      <c r="AS33" s="37">
        <v>100</v>
      </c>
      <c r="AT33" s="37" t="s">
        <v>386</v>
      </c>
      <c r="AU33" s="47">
        <v>60</v>
      </c>
      <c r="AV33" s="37" t="s">
        <v>60</v>
      </c>
      <c r="AW33" s="37">
        <v>10</v>
      </c>
      <c r="AX33" s="30">
        <v>2151646.2000000002</v>
      </c>
      <c r="AY33" s="40" t="s">
        <v>95</v>
      </c>
    </row>
    <row r="34" spans="1:51" ht="75" x14ac:dyDescent="0.25">
      <c r="A34" s="44" t="s">
        <v>588</v>
      </c>
      <c r="B34" s="36">
        <v>45222</v>
      </c>
      <c r="C34" s="37">
        <v>545</v>
      </c>
      <c r="D34" s="35" t="s">
        <v>431</v>
      </c>
      <c r="E34" s="39" t="s">
        <v>589</v>
      </c>
      <c r="F34" s="36" t="s">
        <v>431</v>
      </c>
      <c r="G34" s="37" t="s">
        <v>431</v>
      </c>
      <c r="H34" s="40" t="s">
        <v>431</v>
      </c>
      <c r="I34" s="40" t="s">
        <v>590</v>
      </c>
      <c r="J34" s="41">
        <v>11962491.300000001</v>
      </c>
      <c r="K34" s="41">
        <v>11962491.300000001</v>
      </c>
      <c r="L34" s="41"/>
      <c r="M34" s="41"/>
      <c r="N34" s="42">
        <v>100</v>
      </c>
      <c r="O34" s="43">
        <v>11962491.300000001</v>
      </c>
      <c r="P34" s="41"/>
      <c r="Q34" s="43">
        <v>11962491.300000001</v>
      </c>
      <c r="R34" s="41">
        <v>0</v>
      </c>
      <c r="S34" s="30">
        <v>0</v>
      </c>
      <c r="T34" s="30">
        <v>0</v>
      </c>
      <c r="U34" s="30" t="e">
        <v>#DIV/0!</v>
      </c>
      <c r="V34" s="41" t="e">
        <v>#DIV/0!</v>
      </c>
      <c r="W34" s="41" t="e">
        <v>#DIV/0!</v>
      </c>
      <c r="X34" s="41">
        <v>0</v>
      </c>
      <c r="Y34" s="41">
        <v>0</v>
      </c>
      <c r="Z34" s="41">
        <v>0</v>
      </c>
      <c r="AA34" s="41">
        <v>0</v>
      </c>
      <c r="AB34" s="41"/>
      <c r="AC34" s="41" t="e">
        <v>#DIV/0!</v>
      </c>
      <c r="AD34" s="41"/>
      <c r="AE34" s="41" t="e">
        <v>#DIV/0!</v>
      </c>
      <c r="AF34" s="41" t="e">
        <v>#DIV/0!</v>
      </c>
      <c r="AG34" s="41" t="e">
        <v>#DIV/0!</v>
      </c>
      <c r="AH34" s="36"/>
      <c r="AI34" s="36"/>
      <c r="AJ34" s="36"/>
      <c r="AK34" s="36"/>
      <c r="AL34" s="36"/>
      <c r="AM34" s="46"/>
      <c r="AN34" s="40"/>
      <c r="AO34" s="40"/>
      <c r="AP34" s="40"/>
      <c r="AQ34" s="40"/>
      <c r="AR34" s="48"/>
      <c r="AS34" s="37"/>
      <c r="AT34" s="37"/>
      <c r="AU34" s="47"/>
      <c r="AV34" s="37"/>
      <c r="AW34" s="37">
        <v>10</v>
      </c>
      <c r="AX34" s="30">
        <v>1196249.1299999999</v>
      </c>
      <c r="AY34" s="40" t="s">
        <v>431</v>
      </c>
    </row>
    <row r="35" spans="1:51" ht="75" x14ac:dyDescent="0.25">
      <c r="A35" s="44" t="s">
        <v>591</v>
      </c>
      <c r="B35" s="36">
        <v>45223</v>
      </c>
      <c r="C35" s="37">
        <v>545</v>
      </c>
      <c r="D35" s="35" t="s">
        <v>431</v>
      </c>
      <c r="E35" s="39" t="s">
        <v>592</v>
      </c>
      <c r="F35" s="36" t="s">
        <v>431</v>
      </c>
      <c r="G35" s="37" t="s">
        <v>431</v>
      </c>
      <c r="H35" s="40" t="s">
        <v>431</v>
      </c>
      <c r="I35" s="40" t="s">
        <v>593</v>
      </c>
      <c r="J35" s="41">
        <v>11225026.560000001</v>
      </c>
      <c r="K35" s="41">
        <v>11225026.560000001</v>
      </c>
      <c r="L35" s="41"/>
      <c r="M35" s="41"/>
      <c r="N35" s="42">
        <v>100</v>
      </c>
      <c r="O35" s="43">
        <v>11225026.560000001</v>
      </c>
      <c r="P35" s="41"/>
      <c r="Q35" s="43">
        <v>11225026.560000001</v>
      </c>
      <c r="R35" s="41">
        <v>0</v>
      </c>
      <c r="S35" s="30">
        <v>0</v>
      </c>
      <c r="T35" s="30">
        <v>0</v>
      </c>
      <c r="U35" s="30" t="e">
        <v>#DIV/0!</v>
      </c>
      <c r="V35" s="41" t="e">
        <v>#DIV/0!</v>
      </c>
      <c r="W35" s="41" t="e">
        <v>#DIV/0!</v>
      </c>
      <c r="X35" s="41">
        <v>0</v>
      </c>
      <c r="Y35" s="41">
        <v>0</v>
      </c>
      <c r="Z35" s="41">
        <v>0</v>
      </c>
      <c r="AA35" s="41">
        <v>0</v>
      </c>
      <c r="AB35" s="41"/>
      <c r="AC35" s="41" t="e">
        <v>#DIV/0!</v>
      </c>
      <c r="AD35" s="41"/>
      <c r="AE35" s="41" t="e">
        <v>#DIV/0!</v>
      </c>
      <c r="AF35" s="41" t="e">
        <v>#DIV/0!</v>
      </c>
      <c r="AG35" s="41" t="e">
        <v>#DIV/0!</v>
      </c>
      <c r="AH35" s="36"/>
      <c r="AI35" s="36"/>
      <c r="AJ35" s="36"/>
      <c r="AK35" s="36"/>
      <c r="AL35" s="36"/>
      <c r="AM35" s="46"/>
      <c r="AN35" s="40"/>
      <c r="AO35" s="40"/>
      <c r="AP35" s="40"/>
      <c r="AQ35" s="40"/>
      <c r="AR35" s="48"/>
      <c r="AS35" s="37"/>
      <c r="AT35" s="37"/>
      <c r="AU35" s="47"/>
      <c r="AV35" s="37"/>
      <c r="AW35" s="37">
        <v>10</v>
      </c>
      <c r="AX35" s="30">
        <v>1122502.6560000002</v>
      </c>
      <c r="AY35" s="40" t="s">
        <v>431</v>
      </c>
    </row>
    <row r="36" spans="1:51" ht="75" x14ac:dyDescent="0.25">
      <c r="A36" s="44" t="s">
        <v>594</v>
      </c>
      <c r="B36" s="36">
        <v>45225</v>
      </c>
      <c r="C36" s="37">
        <v>545</v>
      </c>
      <c r="D36" s="35" t="s">
        <v>595</v>
      </c>
      <c r="E36" s="39" t="s">
        <v>596</v>
      </c>
      <c r="F36" s="36">
        <v>45254</v>
      </c>
      <c r="G36" s="37" t="s">
        <v>597</v>
      </c>
      <c r="H36" s="40" t="s">
        <v>86</v>
      </c>
      <c r="I36" s="40" t="s">
        <v>598</v>
      </c>
      <c r="J36" s="41">
        <v>12464242.560000001</v>
      </c>
      <c r="K36" s="41">
        <v>12464242.560000001</v>
      </c>
      <c r="L36" s="41">
        <v>0</v>
      </c>
      <c r="M36" s="41">
        <v>0</v>
      </c>
      <c r="N36" s="42">
        <v>0</v>
      </c>
      <c r="O36" s="43">
        <v>12464242.560000001</v>
      </c>
      <c r="P36" s="41">
        <v>12464242.560000001</v>
      </c>
      <c r="Q36" s="43">
        <v>0</v>
      </c>
      <c r="R36" s="41">
        <v>12464242.560000001</v>
      </c>
      <c r="S36" s="30">
        <v>12464242.560000001</v>
      </c>
      <c r="T36" s="30">
        <v>12464242.560000001</v>
      </c>
      <c r="U36" s="30">
        <v>247306.40000000002</v>
      </c>
      <c r="V36" s="41">
        <v>247306.40000000002</v>
      </c>
      <c r="W36" s="41">
        <v>2077373.7600000002</v>
      </c>
      <c r="X36" s="41">
        <v>50.4</v>
      </c>
      <c r="Y36" s="41">
        <v>50.4</v>
      </c>
      <c r="Z36" s="41">
        <v>0</v>
      </c>
      <c r="AA36" s="41">
        <v>0</v>
      </c>
      <c r="AB36" s="41"/>
      <c r="AC36" s="41">
        <v>0</v>
      </c>
      <c r="AD36" s="41"/>
      <c r="AE36" s="41">
        <v>0</v>
      </c>
      <c r="AF36" s="41">
        <v>6</v>
      </c>
      <c r="AG36" s="41">
        <v>6</v>
      </c>
      <c r="AH36" s="36">
        <v>45306</v>
      </c>
      <c r="AI36" s="36">
        <v>45536</v>
      </c>
      <c r="AJ36" s="36"/>
      <c r="AK36" s="36">
        <v>45337</v>
      </c>
      <c r="AL36" s="36">
        <v>45200</v>
      </c>
      <c r="AM36" s="46"/>
      <c r="AN36" s="40" t="s">
        <v>599</v>
      </c>
      <c r="AO36" s="40" t="s">
        <v>600</v>
      </c>
      <c r="AP36" s="40" t="s">
        <v>601</v>
      </c>
      <c r="AQ36" s="40" t="s">
        <v>58</v>
      </c>
      <c r="AR36" s="48">
        <v>0</v>
      </c>
      <c r="AS36" s="37">
        <v>100</v>
      </c>
      <c r="AT36" s="37" t="s">
        <v>81</v>
      </c>
      <c r="AU36" s="47">
        <v>8.4</v>
      </c>
      <c r="AV36" s="37" t="s">
        <v>60</v>
      </c>
      <c r="AW36" s="37">
        <v>10</v>
      </c>
      <c r="AX36" s="30">
        <v>1246424.2560000001</v>
      </c>
      <c r="AY36" s="40" t="s">
        <v>95</v>
      </c>
    </row>
    <row r="37" spans="1:51" ht="69" customHeight="1" x14ac:dyDescent="0.25">
      <c r="A37" s="44" t="s">
        <v>643</v>
      </c>
      <c r="B37" s="46">
        <v>45237</v>
      </c>
      <c r="C37" s="40">
        <v>545</v>
      </c>
      <c r="D37" s="35" t="s">
        <v>644</v>
      </c>
      <c r="E37" s="39" t="s">
        <v>645</v>
      </c>
      <c r="F37" s="36">
        <v>45258</v>
      </c>
      <c r="G37" s="37" t="s">
        <v>646</v>
      </c>
      <c r="H37" s="40" t="s">
        <v>269</v>
      </c>
      <c r="I37" s="40" t="s">
        <v>590</v>
      </c>
      <c r="J37" s="54">
        <v>13158732.6</v>
      </c>
      <c r="K37" s="54">
        <v>13158732.6</v>
      </c>
      <c r="L37" s="41">
        <v>0</v>
      </c>
      <c r="M37" s="41">
        <v>0</v>
      </c>
      <c r="N37" s="42">
        <v>0</v>
      </c>
      <c r="O37" s="43">
        <v>0</v>
      </c>
      <c r="P37" s="41">
        <v>13158732.6</v>
      </c>
      <c r="Q37" s="43">
        <v>0</v>
      </c>
      <c r="R37" s="41">
        <v>13158732.6</v>
      </c>
      <c r="S37" s="30">
        <v>16788727.800000001</v>
      </c>
      <c r="T37" s="30">
        <v>16788727.800000001</v>
      </c>
      <c r="U37" s="30">
        <v>5041.66</v>
      </c>
      <c r="V37" s="41">
        <v>5041.66</v>
      </c>
      <c r="W37" s="41">
        <v>453749.39999999997</v>
      </c>
      <c r="X37" s="41">
        <v>3330</v>
      </c>
      <c r="Y37" s="41">
        <v>1530</v>
      </c>
      <c r="Z37" s="41">
        <v>1800</v>
      </c>
      <c r="AA37" s="41">
        <v>0</v>
      </c>
      <c r="AB37" s="41"/>
      <c r="AC37" s="41">
        <v>0</v>
      </c>
      <c r="AD37" s="41"/>
      <c r="AE37" s="41">
        <v>0</v>
      </c>
      <c r="AF37" s="41">
        <v>37</v>
      </c>
      <c r="AG37" s="41">
        <v>37</v>
      </c>
      <c r="AH37" s="36">
        <v>45322</v>
      </c>
      <c r="AI37" s="36">
        <v>45352</v>
      </c>
      <c r="AJ37" s="36"/>
      <c r="AK37" s="36">
        <v>45382</v>
      </c>
      <c r="AL37" s="36">
        <v>45383</v>
      </c>
      <c r="AM37" s="46"/>
      <c r="AN37" s="40" t="s">
        <v>647</v>
      </c>
      <c r="AO37" s="40" t="s">
        <v>648</v>
      </c>
      <c r="AP37" s="40" t="s">
        <v>649</v>
      </c>
      <c r="AQ37" s="40" t="s">
        <v>385</v>
      </c>
      <c r="AR37" s="48">
        <v>0</v>
      </c>
      <c r="AS37" s="37">
        <v>100</v>
      </c>
      <c r="AT37" s="37" t="s">
        <v>386</v>
      </c>
      <c r="AU37" s="47">
        <v>90</v>
      </c>
      <c r="AV37" s="37" t="s">
        <v>60</v>
      </c>
      <c r="AW37" s="37">
        <v>10</v>
      </c>
      <c r="AX37" s="30">
        <v>1315873.26</v>
      </c>
      <c r="AY37" s="40" t="s">
        <v>325</v>
      </c>
    </row>
    <row r="38" spans="1:51" ht="69" customHeight="1" x14ac:dyDescent="0.25">
      <c r="A38" s="44" t="s">
        <v>650</v>
      </c>
      <c r="B38" s="46">
        <v>45239</v>
      </c>
      <c r="C38" s="40">
        <v>545</v>
      </c>
      <c r="D38" s="35" t="s">
        <v>431</v>
      </c>
      <c r="E38" s="40"/>
      <c r="F38" s="36" t="s">
        <v>431</v>
      </c>
      <c r="G38" s="37" t="s">
        <v>431</v>
      </c>
      <c r="H38" s="40" t="s">
        <v>431</v>
      </c>
      <c r="I38" s="40" t="s">
        <v>651</v>
      </c>
      <c r="J38" s="54">
        <v>4595525000</v>
      </c>
      <c r="K38" s="54">
        <v>4595525000</v>
      </c>
      <c r="L38" s="54"/>
      <c r="M38" s="54"/>
      <c r="N38" s="42">
        <v>100</v>
      </c>
      <c r="O38" s="43">
        <v>4595525000</v>
      </c>
      <c r="P38" s="41"/>
      <c r="Q38" s="43">
        <v>4595525000</v>
      </c>
      <c r="R38" s="41">
        <v>0</v>
      </c>
      <c r="S38" s="30">
        <v>0</v>
      </c>
      <c r="T38" s="30">
        <v>0</v>
      </c>
      <c r="U38" s="30" t="e">
        <v>#DIV/0!</v>
      </c>
      <c r="V38" s="41" t="e">
        <v>#DIV/0!</v>
      </c>
      <c r="W38" s="41" t="e">
        <v>#DIV/0!</v>
      </c>
      <c r="X38" s="41">
        <v>0</v>
      </c>
      <c r="Y38" s="41">
        <v>0</v>
      </c>
      <c r="Z38" s="41">
        <v>0</v>
      </c>
      <c r="AA38" s="41">
        <v>0</v>
      </c>
      <c r="AB38" s="41"/>
      <c r="AC38" s="41" t="e">
        <v>#DIV/0!</v>
      </c>
      <c r="AD38" s="41"/>
      <c r="AE38" s="41" t="e">
        <v>#DIV/0!</v>
      </c>
      <c r="AF38" s="41" t="e">
        <v>#DIV/0!</v>
      </c>
      <c r="AG38" s="41" t="e">
        <v>#DIV/0!</v>
      </c>
      <c r="AH38" s="36">
        <v>45657</v>
      </c>
      <c r="AI38" s="36"/>
      <c r="AJ38" s="36"/>
      <c r="AK38" s="36"/>
      <c r="AL38" s="36"/>
      <c r="AM38" s="46"/>
      <c r="AN38" s="40"/>
      <c r="AO38" s="40"/>
      <c r="AP38" s="40"/>
      <c r="AQ38" s="40"/>
      <c r="AR38" s="48"/>
      <c r="AS38" s="37"/>
      <c r="AT38" s="37"/>
      <c r="AU38" s="47"/>
      <c r="AV38" s="37"/>
      <c r="AW38" s="37">
        <v>10</v>
      </c>
      <c r="AX38" s="30">
        <v>459552500</v>
      </c>
      <c r="AY38" s="40" t="s">
        <v>431</v>
      </c>
    </row>
    <row r="39" spans="1:51" ht="60.75" customHeight="1" x14ac:dyDescent="0.25">
      <c r="A39" s="44" t="s">
        <v>743</v>
      </c>
      <c r="B39" s="46">
        <v>45252</v>
      </c>
      <c r="C39" s="40">
        <v>545</v>
      </c>
      <c r="D39" s="35" t="s">
        <v>744</v>
      </c>
      <c r="E39" s="39" t="s">
        <v>745</v>
      </c>
      <c r="F39" s="36">
        <v>45272</v>
      </c>
      <c r="G39" s="37" t="s">
        <v>746</v>
      </c>
      <c r="H39" s="40" t="s">
        <v>269</v>
      </c>
      <c r="I39" s="40" t="s">
        <v>747</v>
      </c>
      <c r="J39" s="54">
        <v>236402362.34999999</v>
      </c>
      <c r="K39" s="54">
        <v>236402362.34999999</v>
      </c>
      <c r="L39" s="54">
        <v>0</v>
      </c>
      <c r="M39" s="54">
        <v>0</v>
      </c>
      <c r="N39" s="42">
        <v>0</v>
      </c>
      <c r="O39" s="43">
        <v>0</v>
      </c>
      <c r="P39" s="41">
        <v>236402362.34999999</v>
      </c>
      <c r="Q39" s="43">
        <v>0</v>
      </c>
      <c r="R39" s="41">
        <v>236402362.34999999</v>
      </c>
      <c r="S39" s="30">
        <v>236402362.34999999</v>
      </c>
      <c r="T39" s="30">
        <v>236402362.34999999</v>
      </c>
      <c r="U39" s="30">
        <v>204411.9</v>
      </c>
      <c r="V39" s="41">
        <v>204411.9</v>
      </c>
      <c r="W39" s="41">
        <v>919853.54999999993</v>
      </c>
      <c r="X39" s="41">
        <v>1156.5</v>
      </c>
      <c r="Y39" s="41">
        <v>1156.5</v>
      </c>
      <c r="Z39" s="41">
        <v>0</v>
      </c>
      <c r="AA39" s="41">
        <v>0</v>
      </c>
      <c r="AB39" s="41"/>
      <c r="AC39" s="41">
        <v>0</v>
      </c>
      <c r="AD39" s="41"/>
      <c r="AE39" s="41">
        <v>0</v>
      </c>
      <c r="AF39" s="41">
        <v>257</v>
      </c>
      <c r="AG39" s="41">
        <v>257</v>
      </c>
      <c r="AH39" s="36">
        <v>45322</v>
      </c>
      <c r="AI39" s="36"/>
      <c r="AJ39" s="36"/>
      <c r="AK39" s="36">
        <v>45352</v>
      </c>
      <c r="AL39" s="36"/>
      <c r="AM39" s="46"/>
      <c r="AN39" s="40" t="s">
        <v>748</v>
      </c>
      <c r="AO39" s="40" t="s">
        <v>749</v>
      </c>
      <c r="AP39" s="40" t="s">
        <v>750</v>
      </c>
      <c r="AQ39" s="40" t="s">
        <v>146</v>
      </c>
      <c r="AR39" s="48">
        <v>0</v>
      </c>
      <c r="AS39" s="37">
        <v>100</v>
      </c>
      <c r="AT39" s="37" t="s">
        <v>81</v>
      </c>
      <c r="AU39" s="52">
        <v>4.5</v>
      </c>
      <c r="AV39" s="37" t="s">
        <v>60</v>
      </c>
      <c r="AW39" s="37">
        <v>10</v>
      </c>
      <c r="AX39" s="30">
        <v>23640236.234999999</v>
      </c>
      <c r="AY39" s="40" t="s">
        <v>95</v>
      </c>
    </row>
    <row r="40" spans="1:51" ht="60.75" customHeight="1" x14ac:dyDescent="0.25">
      <c r="A40" s="44" t="s">
        <v>789</v>
      </c>
      <c r="B40" s="46">
        <v>45254</v>
      </c>
      <c r="C40" s="40">
        <v>545</v>
      </c>
      <c r="D40" s="35" t="s">
        <v>790</v>
      </c>
      <c r="E40" s="39" t="s">
        <v>791</v>
      </c>
      <c r="F40" s="36">
        <v>45275</v>
      </c>
      <c r="G40" s="37" t="s">
        <v>792</v>
      </c>
      <c r="H40" s="40" t="s">
        <v>269</v>
      </c>
      <c r="I40" s="40" t="s">
        <v>793</v>
      </c>
      <c r="J40" s="54">
        <v>15491197.199999999</v>
      </c>
      <c r="K40" s="54">
        <v>15491197.199999999</v>
      </c>
      <c r="L40" s="54">
        <v>0</v>
      </c>
      <c r="M40" s="54">
        <v>0</v>
      </c>
      <c r="N40" s="42">
        <v>0</v>
      </c>
      <c r="O40" s="43">
        <v>0</v>
      </c>
      <c r="P40" s="41">
        <v>15491197.199999999</v>
      </c>
      <c r="Q40" s="43">
        <v>0</v>
      </c>
      <c r="R40" s="41">
        <v>15491197.199999999</v>
      </c>
      <c r="S40" s="30">
        <v>19634191.800000001</v>
      </c>
      <c r="T40" s="30">
        <v>19634191.800000001</v>
      </c>
      <c r="U40" s="30">
        <v>3002.17</v>
      </c>
      <c r="V40" s="41">
        <v>3002.17</v>
      </c>
      <c r="W40" s="41">
        <v>180130.2</v>
      </c>
      <c r="X40" s="41">
        <v>6540</v>
      </c>
      <c r="Y40" s="41">
        <v>6540</v>
      </c>
      <c r="Z40" s="41">
        <v>0</v>
      </c>
      <c r="AA40" s="41">
        <v>0</v>
      </c>
      <c r="AB40" s="41"/>
      <c r="AC40" s="41">
        <v>0</v>
      </c>
      <c r="AD40" s="41"/>
      <c r="AE40" s="41">
        <v>0</v>
      </c>
      <c r="AF40" s="41">
        <v>109</v>
      </c>
      <c r="AG40" s="41">
        <v>109</v>
      </c>
      <c r="AH40" s="36">
        <v>45301</v>
      </c>
      <c r="AI40" s="36"/>
      <c r="AJ40" s="36"/>
      <c r="AK40" s="36">
        <v>45332</v>
      </c>
      <c r="AL40" s="36"/>
      <c r="AM40" s="46"/>
      <c r="AN40" s="40" t="s">
        <v>427</v>
      </c>
      <c r="AO40" s="40" t="s">
        <v>448</v>
      </c>
      <c r="AP40" s="40" t="s">
        <v>429</v>
      </c>
      <c r="AQ40" s="40" t="s">
        <v>92</v>
      </c>
      <c r="AR40" s="48">
        <v>0</v>
      </c>
      <c r="AS40" s="37">
        <v>100</v>
      </c>
      <c r="AT40" s="37" t="s">
        <v>386</v>
      </c>
      <c r="AU40" s="47">
        <v>60</v>
      </c>
      <c r="AV40" s="37" t="s">
        <v>60</v>
      </c>
      <c r="AW40" s="37">
        <v>10</v>
      </c>
      <c r="AX40" s="30">
        <v>1549119.72</v>
      </c>
      <c r="AY40" s="40" t="s">
        <v>95</v>
      </c>
    </row>
    <row r="41" spans="1:51" ht="32.450000000000003" customHeight="1" x14ac:dyDescent="0.25">
      <c r="A41" s="44" t="s">
        <v>794</v>
      </c>
      <c r="B41" s="46">
        <v>45258</v>
      </c>
      <c r="C41" s="40">
        <v>545</v>
      </c>
      <c r="D41" s="35" t="s">
        <v>795</v>
      </c>
      <c r="E41" s="39" t="s">
        <v>796</v>
      </c>
      <c r="F41" s="36">
        <v>45278</v>
      </c>
      <c r="G41" s="37" t="s">
        <v>797</v>
      </c>
      <c r="H41" s="40" t="s">
        <v>269</v>
      </c>
      <c r="I41" s="40" t="s">
        <v>426</v>
      </c>
      <c r="J41" s="54">
        <v>9798465.5999999996</v>
      </c>
      <c r="K41" s="54">
        <v>9798465.5999999996</v>
      </c>
      <c r="L41" s="54">
        <v>0</v>
      </c>
      <c r="M41" s="54">
        <v>0</v>
      </c>
      <c r="N41" s="42">
        <v>0</v>
      </c>
      <c r="O41" s="43">
        <v>0</v>
      </c>
      <c r="P41" s="41">
        <v>9798465.5999999996</v>
      </c>
      <c r="Q41" s="43">
        <v>0</v>
      </c>
      <c r="R41" s="41">
        <v>9798465.5999999996</v>
      </c>
      <c r="S41" s="30">
        <v>9798465.5999999996</v>
      </c>
      <c r="T41" s="30">
        <v>9798465.5999999996</v>
      </c>
      <c r="U41" s="30">
        <v>2916.21</v>
      </c>
      <c r="V41" s="41">
        <v>2916.21</v>
      </c>
      <c r="W41" s="41">
        <v>174972.6</v>
      </c>
      <c r="X41" s="41">
        <v>3360</v>
      </c>
      <c r="Y41" s="41">
        <v>3360</v>
      </c>
      <c r="Z41" s="41">
        <v>0</v>
      </c>
      <c r="AA41" s="41">
        <v>0</v>
      </c>
      <c r="AB41" s="41"/>
      <c r="AC41" s="41">
        <v>0</v>
      </c>
      <c r="AD41" s="41"/>
      <c r="AE41" s="41">
        <v>0</v>
      </c>
      <c r="AF41" s="41">
        <v>56</v>
      </c>
      <c r="AG41" s="41">
        <v>56</v>
      </c>
      <c r="AH41" s="36">
        <v>45306</v>
      </c>
      <c r="AI41" s="36"/>
      <c r="AJ41" s="36"/>
      <c r="AK41" s="36">
        <v>45332</v>
      </c>
      <c r="AL41" s="36"/>
      <c r="AM41" s="46"/>
      <c r="AN41" s="40" t="s">
        <v>427</v>
      </c>
      <c r="AO41" s="40" t="s">
        <v>428</v>
      </c>
      <c r="AP41" s="40" t="s">
        <v>429</v>
      </c>
      <c r="AQ41" s="40" t="s">
        <v>92</v>
      </c>
      <c r="AR41" s="48">
        <v>0</v>
      </c>
      <c r="AS41" s="37">
        <v>100</v>
      </c>
      <c r="AT41" s="37" t="s">
        <v>386</v>
      </c>
      <c r="AU41" s="47">
        <v>60</v>
      </c>
      <c r="AV41" s="37" t="s">
        <v>60</v>
      </c>
      <c r="AW41" s="37">
        <v>10</v>
      </c>
      <c r="AX41" s="30">
        <v>979846.56</v>
      </c>
      <c r="AY41" s="40" t="s">
        <v>95</v>
      </c>
    </row>
    <row r="42" spans="1:51" ht="80.25" customHeight="1" x14ac:dyDescent="0.25">
      <c r="A42" s="44" t="s">
        <v>871</v>
      </c>
      <c r="B42" s="46">
        <v>45266</v>
      </c>
      <c r="C42" s="40">
        <v>545</v>
      </c>
      <c r="D42" s="35" t="s">
        <v>872</v>
      </c>
      <c r="E42" s="39" t="s">
        <v>873</v>
      </c>
      <c r="F42" s="36">
        <v>45303</v>
      </c>
      <c r="G42" s="37" t="s">
        <v>874</v>
      </c>
      <c r="H42" s="40" t="s">
        <v>86</v>
      </c>
      <c r="I42" s="40" t="s">
        <v>875</v>
      </c>
      <c r="J42" s="54">
        <v>4675000000</v>
      </c>
      <c r="K42" s="54">
        <v>4675000000</v>
      </c>
      <c r="L42" s="54">
        <v>0</v>
      </c>
      <c r="M42" s="54">
        <v>0</v>
      </c>
      <c r="N42" s="42">
        <v>0</v>
      </c>
      <c r="O42" s="43">
        <v>0</v>
      </c>
      <c r="P42" s="41">
        <v>4675000000</v>
      </c>
      <c r="Q42" s="43">
        <v>0</v>
      </c>
      <c r="R42" s="41">
        <v>4675000000</v>
      </c>
      <c r="S42" s="30">
        <v>4675000000</v>
      </c>
      <c r="T42" s="30">
        <v>4675000000</v>
      </c>
      <c r="U42" s="30">
        <v>93500000</v>
      </c>
      <c r="V42" s="41">
        <v>93500000</v>
      </c>
      <c r="W42" s="41">
        <v>93500000</v>
      </c>
      <c r="X42" s="41">
        <v>50</v>
      </c>
      <c r="Y42" s="41">
        <v>50</v>
      </c>
      <c r="Z42" s="41">
        <v>0</v>
      </c>
      <c r="AA42" s="41">
        <v>0</v>
      </c>
      <c r="AB42" s="41"/>
      <c r="AC42" s="41">
        <v>0</v>
      </c>
      <c r="AD42" s="41"/>
      <c r="AE42" s="41">
        <v>0</v>
      </c>
      <c r="AF42" s="41">
        <v>50</v>
      </c>
      <c r="AG42" s="41">
        <v>50</v>
      </c>
      <c r="AH42" s="36">
        <v>45657</v>
      </c>
      <c r="AI42" s="36"/>
      <c r="AJ42" s="36"/>
      <c r="AK42" s="36"/>
      <c r="AL42" s="36"/>
      <c r="AM42" s="46"/>
      <c r="AN42" s="40" t="s">
        <v>876</v>
      </c>
      <c r="AO42" s="40" t="s">
        <v>877</v>
      </c>
      <c r="AP42" s="40" t="s">
        <v>878</v>
      </c>
      <c r="AQ42" s="40" t="s">
        <v>385</v>
      </c>
      <c r="AR42" s="48">
        <v>0</v>
      </c>
      <c r="AS42" s="37">
        <v>100</v>
      </c>
      <c r="AT42" s="37" t="s">
        <v>386</v>
      </c>
      <c r="AU42" s="47">
        <v>1</v>
      </c>
      <c r="AV42" s="37" t="s">
        <v>60</v>
      </c>
      <c r="AW42" s="37">
        <v>10</v>
      </c>
      <c r="AX42" s="30">
        <v>467500000</v>
      </c>
      <c r="AY42" s="40" t="s">
        <v>402</v>
      </c>
    </row>
    <row r="43" spans="1:51" ht="94.5" x14ac:dyDescent="0.25">
      <c r="A43" s="44" t="s">
        <v>1021</v>
      </c>
      <c r="B43" s="46">
        <v>45274</v>
      </c>
      <c r="C43" s="40">
        <v>545</v>
      </c>
      <c r="D43" s="35" t="s">
        <v>1022</v>
      </c>
      <c r="E43" s="39" t="s">
        <v>1023</v>
      </c>
      <c r="F43" s="36">
        <v>45313</v>
      </c>
      <c r="G43" s="37" t="s">
        <v>1024</v>
      </c>
      <c r="H43" s="40" t="s">
        <v>319</v>
      </c>
      <c r="I43" s="40" t="s">
        <v>320</v>
      </c>
      <c r="J43" s="54">
        <v>675266099.20000005</v>
      </c>
      <c r="K43" s="54">
        <v>675266099.20000005</v>
      </c>
      <c r="L43" s="54">
        <v>0</v>
      </c>
      <c r="M43" s="54">
        <v>0</v>
      </c>
      <c r="N43" s="42">
        <v>0</v>
      </c>
      <c r="O43" s="43">
        <v>0</v>
      </c>
      <c r="P43" s="41">
        <v>675266099.20000005</v>
      </c>
      <c r="Q43" s="43">
        <v>0</v>
      </c>
      <c r="R43" s="41">
        <v>675266099.20000005</v>
      </c>
      <c r="S43" s="30">
        <v>813936816</v>
      </c>
      <c r="T43" s="30">
        <v>813936816</v>
      </c>
      <c r="U43" s="30">
        <v>10766.36</v>
      </c>
      <c r="V43" s="41">
        <v>10766.36</v>
      </c>
      <c r="W43" s="41">
        <v>1507290.4000000001</v>
      </c>
      <c r="X43" s="41">
        <v>75600</v>
      </c>
      <c r="Y43" s="41">
        <v>43400</v>
      </c>
      <c r="Z43" s="41">
        <v>32200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540</v>
      </c>
      <c r="AG43" s="41">
        <v>540</v>
      </c>
      <c r="AH43" s="36">
        <v>45444</v>
      </c>
      <c r="AI43" s="36">
        <v>45505</v>
      </c>
      <c r="AJ43" s="36"/>
      <c r="AK43" s="36">
        <v>45474</v>
      </c>
      <c r="AL43" s="36">
        <v>45536</v>
      </c>
      <c r="AM43" s="46"/>
      <c r="AN43" s="40" t="s">
        <v>321</v>
      </c>
      <c r="AO43" s="40" t="s">
        <v>322</v>
      </c>
      <c r="AP43" s="40" t="s">
        <v>323</v>
      </c>
      <c r="AQ43" s="40" t="s">
        <v>146</v>
      </c>
      <c r="AR43" s="48">
        <v>0</v>
      </c>
      <c r="AS43" s="37">
        <v>100</v>
      </c>
      <c r="AT43" s="37" t="s">
        <v>324</v>
      </c>
      <c r="AU43" s="47">
        <v>140</v>
      </c>
      <c r="AV43" s="37" t="s">
        <v>60</v>
      </c>
      <c r="AW43" s="37">
        <v>10</v>
      </c>
      <c r="AX43" s="30">
        <v>67526609.920000002</v>
      </c>
      <c r="AY43" s="40" t="s">
        <v>402</v>
      </c>
    </row>
    <row r="44" spans="1:51" ht="66" customHeight="1" x14ac:dyDescent="0.25">
      <c r="A44" s="44" t="s">
        <v>1071</v>
      </c>
      <c r="B44" s="46">
        <v>45278</v>
      </c>
      <c r="C44" s="40">
        <v>545</v>
      </c>
      <c r="D44" s="35" t="s">
        <v>1072</v>
      </c>
      <c r="E44" s="39" t="s">
        <v>1073</v>
      </c>
      <c r="F44" s="36">
        <v>45307</v>
      </c>
      <c r="G44" s="37" t="s">
        <v>1074</v>
      </c>
      <c r="H44" s="40" t="s">
        <v>139</v>
      </c>
      <c r="I44" s="40" t="s">
        <v>1075</v>
      </c>
      <c r="J44" s="54">
        <v>3719931.6</v>
      </c>
      <c r="K44" s="54">
        <v>3719931.6</v>
      </c>
      <c r="L44" s="54">
        <v>0</v>
      </c>
      <c r="M44" s="54">
        <v>0</v>
      </c>
      <c r="N44" s="42">
        <v>0</v>
      </c>
      <c r="O44" s="43">
        <v>0</v>
      </c>
      <c r="P44" s="54">
        <v>3719931.6</v>
      </c>
      <c r="Q44" s="43">
        <v>0</v>
      </c>
      <c r="R44" s="54">
        <v>3719931.6</v>
      </c>
      <c r="S44" s="30">
        <v>4835911.08</v>
      </c>
      <c r="T44" s="30">
        <v>4835911.08</v>
      </c>
      <c r="U44" s="30">
        <v>4428.49</v>
      </c>
      <c r="V44" s="41">
        <v>4428.49</v>
      </c>
      <c r="W44" s="41">
        <v>123997.72</v>
      </c>
      <c r="X44" s="41">
        <v>1092</v>
      </c>
      <c r="Y44" s="41">
        <v>1092</v>
      </c>
      <c r="Z44" s="41">
        <v>0</v>
      </c>
      <c r="AA44" s="41">
        <v>0</v>
      </c>
      <c r="AB44" s="41"/>
      <c r="AC44" s="41">
        <v>0</v>
      </c>
      <c r="AD44" s="41"/>
      <c r="AE44" s="41">
        <v>0</v>
      </c>
      <c r="AF44" s="41">
        <v>39</v>
      </c>
      <c r="AG44" s="41">
        <v>39</v>
      </c>
      <c r="AH44" s="36">
        <v>45337</v>
      </c>
      <c r="AI44" s="36"/>
      <c r="AJ44" s="36"/>
      <c r="AK44" s="36">
        <v>45366</v>
      </c>
      <c r="AL44" s="36"/>
      <c r="AM44" s="46"/>
      <c r="AN44" s="40" t="s">
        <v>1076</v>
      </c>
      <c r="AO44" s="40" t="s">
        <v>1077</v>
      </c>
      <c r="AP44" s="40" t="s">
        <v>1078</v>
      </c>
      <c r="AQ44" s="40" t="s">
        <v>58</v>
      </c>
      <c r="AR44" s="48">
        <v>0</v>
      </c>
      <c r="AS44" s="37">
        <v>100</v>
      </c>
      <c r="AT44" s="37" t="s">
        <v>386</v>
      </c>
      <c r="AU44" s="47">
        <v>28</v>
      </c>
      <c r="AV44" s="37" t="s">
        <v>60</v>
      </c>
      <c r="AW44" s="37">
        <v>10</v>
      </c>
      <c r="AX44" s="30">
        <v>371993.16</v>
      </c>
      <c r="AY44" s="40" t="s">
        <v>402</v>
      </c>
    </row>
    <row r="45" spans="1:51" ht="58.5" customHeight="1" x14ac:dyDescent="0.25">
      <c r="A45" s="44" t="s">
        <v>1155</v>
      </c>
      <c r="B45" s="46">
        <v>45280</v>
      </c>
      <c r="C45" s="40">
        <v>545</v>
      </c>
      <c r="D45" s="35" t="s">
        <v>1156</v>
      </c>
      <c r="E45" s="39" t="s">
        <v>1157</v>
      </c>
      <c r="F45" s="36">
        <v>45313</v>
      </c>
      <c r="G45" s="37" t="s">
        <v>1158</v>
      </c>
      <c r="H45" s="40" t="s">
        <v>269</v>
      </c>
      <c r="I45" s="40" t="s">
        <v>1159</v>
      </c>
      <c r="J45" s="54">
        <v>293433282.44999999</v>
      </c>
      <c r="K45" s="54">
        <v>293433282.44999999</v>
      </c>
      <c r="L45" s="54">
        <v>0</v>
      </c>
      <c r="M45" s="54">
        <v>0</v>
      </c>
      <c r="N45" s="42">
        <v>0</v>
      </c>
      <c r="O45" s="43">
        <v>0</v>
      </c>
      <c r="P45" s="41">
        <v>293433282.44999999</v>
      </c>
      <c r="Q45" s="43">
        <v>0</v>
      </c>
      <c r="R45" s="41">
        <v>293433282.44999999</v>
      </c>
      <c r="S45" s="30">
        <v>293433282.44999999</v>
      </c>
      <c r="T45" s="30">
        <v>293433282.44999999</v>
      </c>
      <c r="U45" s="30">
        <v>204411.9</v>
      </c>
      <c r="V45" s="41">
        <v>204411.9</v>
      </c>
      <c r="W45" s="41">
        <v>919853.54999999993</v>
      </c>
      <c r="X45" s="41">
        <v>1435.5</v>
      </c>
      <c r="Y45" s="41">
        <v>1435.5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319</v>
      </c>
      <c r="AG45" s="41">
        <v>319</v>
      </c>
      <c r="AH45" s="36">
        <v>45352</v>
      </c>
      <c r="AI45" s="36"/>
      <c r="AJ45" s="36"/>
      <c r="AK45" s="36">
        <v>45383</v>
      </c>
      <c r="AL45" s="36"/>
      <c r="AM45" s="46"/>
      <c r="AN45" s="40" t="s">
        <v>748</v>
      </c>
      <c r="AO45" s="40" t="s">
        <v>1160</v>
      </c>
      <c r="AP45" s="40" t="s">
        <v>750</v>
      </c>
      <c r="AQ45" s="40" t="s">
        <v>146</v>
      </c>
      <c r="AR45" s="48">
        <v>0</v>
      </c>
      <c r="AS45" s="37">
        <v>100</v>
      </c>
      <c r="AT45" s="37" t="s">
        <v>81</v>
      </c>
      <c r="AU45" s="52">
        <v>4.5</v>
      </c>
      <c r="AV45" s="37" t="s">
        <v>60</v>
      </c>
      <c r="AW45" s="37">
        <v>10</v>
      </c>
      <c r="AX45" s="30">
        <v>29343328.245000001</v>
      </c>
      <c r="AY45" s="40" t="s">
        <v>402</v>
      </c>
    </row>
    <row r="46" spans="1:51" ht="58.5" customHeight="1" x14ac:dyDescent="0.25">
      <c r="A46" s="44" t="s">
        <v>1208</v>
      </c>
      <c r="B46" s="46">
        <v>45287</v>
      </c>
      <c r="C46" s="40">
        <v>545</v>
      </c>
      <c r="D46" s="35" t="s">
        <v>1209</v>
      </c>
      <c r="E46" s="39" t="s">
        <v>1210</v>
      </c>
      <c r="F46" s="36">
        <v>45320</v>
      </c>
      <c r="G46" s="37" t="s">
        <v>1211</v>
      </c>
      <c r="H46" s="40" t="s">
        <v>86</v>
      </c>
      <c r="I46" s="40" t="s">
        <v>381</v>
      </c>
      <c r="J46" s="54">
        <v>445962000</v>
      </c>
      <c r="K46" s="54">
        <v>445962000</v>
      </c>
      <c r="L46" s="54">
        <v>0</v>
      </c>
      <c r="M46" s="54">
        <v>0</v>
      </c>
      <c r="N46" s="42">
        <v>0</v>
      </c>
      <c r="O46" s="43">
        <v>0</v>
      </c>
      <c r="P46" s="41">
        <v>445962000</v>
      </c>
      <c r="Q46" s="43">
        <v>0</v>
      </c>
      <c r="R46" s="41">
        <v>445962000</v>
      </c>
      <c r="S46" s="30">
        <v>445962000</v>
      </c>
      <c r="T46" s="30">
        <v>445962000</v>
      </c>
      <c r="U46" s="30">
        <v>15950</v>
      </c>
      <c r="V46" s="41">
        <v>15950</v>
      </c>
      <c r="W46" s="41">
        <v>957000</v>
      </c>
      <c r="X46" s="41">
        <v>27960</v>
      </c>
      <c r="Y46" s="41">
        <v>27960</v>
      </c>
      <c r="Z46" s="41">
        <v>0</v>
      </c>
      <c r="AA46" s="41">
        <v>0</v>
      </c>
      <c r="AB46" s="41"/>
      <c r="AC46" s="41">
        <v>0</v>
      </c>
      <c r="AD46" s="41"/>
      <c r="AE46" s="41">
        <v>0</v>
      </c>
      <c r="AF46" s="41">
        <v>466</v>
      </c>
      <c r="AG46" s="41">
        <v>466</v>
      </c>
      <c r="AH46" s="36">
        <v>45352</v>
      </c>
      <c r="AI46" s="36"/>
      <c r="AJ46" s="36"/>
      <c r="AK46" s="36">
        <v>45383</v>
      </c>
      <c r="AL46" s="36"/>
      <c r="AM46" s="46"/>
      <c r="AN46" s="40" t="s">
        <v>382</v>
      </c>
      <c r="AO46" s="40" t="s">
        <v>1212</v>
      </c>
      <c r="AP46" s="40" t="s">
        <v>384</v>
      </c>
      <c r="AQ46" s="40" t="s">
        <v>385</v>
      </c>
      <c r="AR46" s="48">
        <v>100</v>
      </c>
      <c r="AS46" s="37">
        <v>0</v>
      </c>
      <c r="AT46" s="37" t="s">
        <v>386</v>
      </c>
      <c r="AU46" s="47">
        <v>60</v>
      </c>
      <c r="AV46" s="37" t="s">
        <v>60</v>
      </c>
      <c r="AW46" s="37">
        <v>10</v>
      </c>
      <c r="AX46" s="30">
        <v>44596200</v>
      </c>
      <c r="AY46" s="40" t="s">
        <v>402</v>
      </c>
    </row>
    <row r="47" spans="1:51" ht="58.5" customHeight="1" x14ac:dyDescent="0.25">
      <c r="A47" s="44" t="s">
        <v>1261</v>
      </c>
      <c r="B47" s="46">
        <v>45287</v>
      </c>
      <c r="C47" s="40">
        <v>545</v>
      </c>
      <c r="D47" s="35" t="s">
        <v>1262</v>
      </c>
      <c r="E47" s="39" t="s">
        <v>1263</v>
      </c>
      <c r="F47" s="36">
        <v>45320</v>
      </c>
      <c r="G47" s="37" t="s">
        <v>1264</v>
      </c>
      <c r="H47" s="40" t="s">
        <v>53</v>
      </c>
      <c r="I47" s="40" t="s">
        <v>1265</v>
      </c>
      <c r="J47" s="54">
        <v>9071705.1600000001</v>
      </c>
      <c r="K47" s="54">
        <v>9071705.1600000001</v>
      </c>
      <c r="L47" s="54">
        <v>0</v>
      </c>
      <c r="M47" s="54">
        <v>0</v>
      </c>
      <c r="N47" s="42">
        <v>0</v>
      </c>
      <c r="O47" s="43">
        <v>0</v>
      </c>
      <c r="P47" s="41">
        <v>9071705.1600000001</v>
      </c>
      <c r="Q47" s="43">
        <v>0</v>
      </c>
      <c r="R47" s="41">
        <v>9071705.1600000001</v>
      </c>
      <c r="S47" s="30">
        <v>11663620.92</v>
      </c>
      <c r="T47" s="30">
        <v>11663620.92</v>
      </c>
      <c r="U47" s="30">
        <v>2204.0099999999998</v>
      </c>
      <c r="V47" s="41">
        <v>2204.0099999999998</v>
      </c>
      <c r="W47" s="41">
        <v>185136.83999999997</v>
      </c>
      <c r="X47" s="41">
        <v>5292</v>
      </c>
      <c r="Y47" s="41">
        <v>5292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63</v>
      </c>
      <c r="AG47" s="41">
        <v>63</v>
      </c>
      <c r="AH47" s="36">
        <v>45337</v>
      </c>
      <c r="AI47" s="36"/>
      <c r="AJ47" s="36"/>
      <c r="AK47" s="36">
        <v>45366</v>
      </c>
      <c r="AL47" s="36"/>
      <c r="AM47" s="46"/>
      <c r="AN47" s="40" t="s">
        <v>577</v>
      </c>
      <c r="AO47" s="40" t="s">
        <v>1266</v>
      </c>
      <c r="AP47" s="40" t="s">
        <v>833</v>
      </c>
      <c r="AQ47" s="40" t="s">
        <v>58</v>
      </c>
      <c r="AR47" s="48">
        <v>0</v>
      </c>
      <c r="AS47" s="37">
        <v>100</v>
      </c>
      <c r="AT47" s="37" t="s">
        <v>386</v>
      </c>
      <c r="AU47" s="47">
        <v>84</v>
      </c>
      <c r="AV47" s="37" t="s">
        <v>60</v>
      </c>
      <c r="AW47" s="37">
        <v>10</v>
      </c>
      <c r="AX47" s="30">
        <v>907170.51599999995</v>
      </c>
      <c r="AY47" s="40" t="s">
        <v>95</v>
      </c>
    </row>
    <row r="48" spans="1:51" ht="58.5" customHeight="1" x14ac:dyDescent="0.25">
      <c r="A48" s="44" t="s">
        <v>1301</v>
      </c>
      <c r="B48" s="46">
        <v>45287</v>
      </c>
      <c r="C48" s="40">
        <v>545</v>
      </c>
      <c r="D48" s="35" t="s">
        <v>1302</v>
      </c>
      <c r="E48" s="39" t="s">
        <v>1303</v>
      </c>
      <c r="F48" s="36">
        <v>45320</v>
      </c>
      <c r="G48" s="37" t="s">
        <v>1304</v>
      </c>
      <c r="H48" s="40" t="s">
        <v>86</v>
      </c>
      <c r="I48" s="40" t="s">
        <v>1305</v>
      </c>
      <c r="J48" s="54">
        <v>182434602.63</v>
      </c>
      <c r="K48" s="54">
        <v>182434602.63</v>
      </c>
      <c r="L48" s="54">
        <v>0</v>
      </c>
      <c r="M48" s="54">
        <v>0</v>
      </c>
      <c r="N48" s="42">
        <v>0</v>
      </c>
      <c r="O48" s="43">
        <v>0</v>
      </c>
      <c r="P48" s="41">
        <v>182434602.63</v>
      </c>
      <c r="Q48" s="43">
        <v>0</v>
      </c>
      <c r="R48" s="41">
        <v>182434602.63</v>
      </c>
      <c r="S48" s="30">
        <v>217923400.71000001</v>
      </c>
      <c r="T48" s="30">
        <v>217923400.71000001</v>
      </c>
      <c r="U48" s="30">
        <v>554512.47</v>
      </c>
      <c r="V48" s="41">
        <v>554512.47</v>
      </c>
      <c r="W48" s="41">
        <v>554512.47</v>
      </c>
      <c r="X48" s="41">
        <v>393</v>
      </c>
      <c r="Y48" s="41">
        <v>393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393</v>
      </c>
      <c r="AG48" s="41">
        <v>393</v>
      </c>
      <c r="AH48" s="36">
        <v>45337</v>
      </c>
      <c r="AI48" s="36"/>
      <c r="AJ48" s="36"/>
      <c r="AK48" s="36">
        <v>45366</v>
      </c>
      <c r="AL48" s="36"/>
      <c r="AM48" s="46"/>
      <c r="AN48" s="40" t="s">
        <v>290</v>
      </c>
      <c r="AO48" s="40" t="s">
        <v>392</v>
      </c>
      <c r="AP48" s="40" t="s">
        <v>292</v>
      </c>
      <c r="AQ48" s="40" t="s">
        <v>293</v>
      </c>
      <c r="AR48" s="48">
        <v>0</v>
      </c>
      <c r="AS48" s="37">
        <v>100</v>
      </c>
      <c r="AT48" s="37" t="s">
        <v>81</v>
      </c>
      <c r="AU48" s="47">
        <v>1</v>
      </c>
      <c r="AV48" s="37" t="s">
        <v>60</v>
      </c>
      <c r="AW48" s="37">
        <v>10</v>
      </c>
      <c r="AX48" s="30">
        <v>18243460.263</v>
      </c>
      <c r="AY48" s="40" t="s">
        <v>95</v>
      </c>
    </row>
    <row r="49" spans="1:51" ht="58.5" customHeight="1" x14ac:dyDescent="0.25">
      <c r="A49" s="44" t="s">
        <v>1306</v>
      </c>
      <c r="B49" s="46">
        <v>45287</v>
      </c>
      <c r="C49" s="40">
        <v>545</v>
      </c>
      <c r="D49" s="35" t="s">
        <v>1307</v>
      </c>
      <c r="E49" s="39" t="s">
        <v>1308</v>
      </c>
      <c r="F49" s="36">
        <v>45320</v>
      </c>
      <c r="G49" s="37" t="s">
        <v>1309</v>
      </c>
      <c r="H49" s="40" t="s">
        <v>86</v>
      </c>
      <c r="I49" s="40" t="s">
        <v>1310</v>
      </c>
      <c r="J49" s="54">
        <v>183995961.59999999</v>
      </c>
      <c r="K49" s="54">
        <v>183995961.59999999</v>
      </c>
      <c r="L49" s="54">
        <v>0</v>
      </c>
      <c r="M49" s="54">
        <v>0</v>
      </c>
      <c r="N49" s="42">
        <v>0</v>
      </c>
      <c r="O49" s="43">
        <v>0</v>
      </c>
      <c r="P49" s="41">
        <v>183995961.59999999</v>
      </c>
      <c r="Q49" s="43">
        <v>0</v>
      </c>
      <c r="R49" s="41">
        <v>183995961.59999999</v>
      </c>
      <c r="S49" s="30">
        <v>183995961.59999999</v>
      </c>
      <c r="T49" s="30">
        <v>183995961.59999999</v>
      </c>
      <c r="U49" s="30">
        <v>618265.99999999988</v>
      </c>
      <c r="V49" s="41">
        <v>618265.99999999988</v>
      </c>
      <c r="W49" s="41">
        <v>5935353.5999999987</v>
      </c>
      <c r="X49" s="41">
        <v>297.60000000000002</v>
      </c>
      <c r="Y49" s="41">
        <v>297.60000000000002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31.000000000000004</v>
      </c>
      <c r="AG49" s="41">
        <v>31</v>
      </c>
      <c r="AH49" s="36">
        <v>45337</v>
      </c>
      <c r="AI49" s="36"/>
      <c r="AJ49" s="36"/>
      <c r="AK49" s="36">
        <v>45366</v>
      </c>
      <c r="AL49" s="36"/>
      <c r="AM49" s="46"/>
      <c r="AN49" s="40" t="s">
        <v>366</v>
      </c>
      <c r="AO49" s="40" t="s">
        <v>551</v>
      </c>
      <c r="AP49" s="40" t="s">
        <v>368</v>
      </c>
      <c r="AQ49" s="40" t="s">
        <v>58</v>
      </c>
      <c r="AR49" s="48">
        <v>0</v>
      </c>
      <c r="AS49" s="37">
        <v>100</v>
      </c>
      <c r="AT49" s="37" t="s">
        <v>81</v>
      </c>
      <c r="AU49" s="52">
        <v>9.6</v>
      </c>
      <c r="AV49" s="37" t="s">
        <v>60</v>
      </c>
      <c r="AW49" s="37">
        <v>10</v>
      </c>
      <c r="AX49" s="30">
        <v>18399596.16</v>
      </c>
      <c r="AY49" s="40" t="s">
        <v>402</v>
      </c>
    </row>
    <row r="50" spans="1:51" ht="58.5" customHeight="1" x14ac:dyDescent="0.25">
      <c r="A50" s="44" t="s">
        <v>1311</v>
      </c>
      <c r="B50" s="46">
        <v>45287</v>
      </c>
      <c r="C50" s="40">
        <v>545</v>
      </c>
      <c r="D50" s="35" t="s">
        <v>431</v>
      </c>
      <c r="E50" s="39" t="s">
        <v>1312</v>
      </c>
      <c r="F50" s="36" t="s">
        <v>431</v>
      </c>
      <c r="G50" s="37" t="s">
        <v>431</v>
      </c>
      <c r="H50" s="40" t="s">
        <v>431</v>
      </c>
      <c r="I50" s="40" t="s">
        <v>407</v>
      </c>
      <c r="J50" s="54">
        <v>704734800</v>
      </c>
      <c r="K50" s="54">
        <v>704734800</v>
      </c>
      <c r="L50" s="54">
        <v>0</v>
      </c>
      <c r="M50" s="54">
        <v>0</v>
      </c>
      <c r="N50" s="42">
        <v>100</v>
      </c>
      <c r="O50" s="43">
        <v>704734800</v>
      </c>
      <c r="P50" s="41"/>
      <c r="Q50" s="43">
        <v>704734800</v>
      </c>
      <c r="R50" s="41">
        <v>0</v>
      </c>
      <c r="S50" s="30">
        <v>0</v>
      </c>
      <c r="T50" s="30">
        <v>0</v>
      </c>
      <c r="U50" s="30" t="e">
        <v>#DIV/0!</v>
      </c>
      <c r="V50" s="41" t="e">
        <v>#DIV/0!</v>
      </c>
      <c r="W50" s="41" t="e">
        <v>#DIV/0!</v>
      </c>
      <c r="X50" s="41">
        <v>0</v>
      </c>
      <c r="Y50" s="41">
        <v>0</v>
      </c>
      <c r="Z50" s="41">
        <v>0</v>
      </c>
      <c r="AA50" s="41">
        <v>0</v>
      </c>
      <c r="AB50" s="41"/>
      <c r="AC50" s="41" t="e">
        <v>#DIV/0!</v>
      </c>
      <c r="AD50" s="41"/>
      <c r="AE50" s="41" t="e">
        <v>#DIV/0!</v>
      </c>
      <c r="AF50" s="41" t="e">
        <v>#DIV/0!</v>
      </c>
      <c r="AG50" s="41" t="e">
        <v>#DIV/0!</v>
      </c>
      <c r="AH50" s="36">
        <v>45352</v>
      </c>
      <c r="AI50" s="36"/>
      <c r="AJ50" s="36"/>
      <c r="AK50" s="36"/>
      <c r="AL50" s="36"/>
      <c r="AM50" s="46"/>
      <c r="AN50" s="40"/>
      <c r="AO50" s="40"/>
      <c r="AP50" s="40"/>
      <c r="AQ50" s="40"/>
      <c r="AR50" s="48"/>
      <c r="AS50" s="37"/>
      <c r="AT50" s="37"/>
      <c r="AU50" s="47"/>
      <c r="AV50" s="37"/>
      <c r="AW50" s="37">
        <v>10</v>
      </c>
      <c r="AX50" s="30">
        <v>70473480</v>
      </c>
      <c r="AY50" s="40" t="s">
        <v>431</v>
      </c>
    </row>
    <row r="51" spans="1:51" ht="58.5" customHeight="1" x14ac:dyDescent="0.25">
      <c r="A51" s="44" t="s">
        <v>1313</v>
      </c>
      <c r="B51" s="46">
        <v>45287</v>
      </c>
      <c r="C51" s="40">
        <v>545</v>
      </c>
      <c r="D51" s="35" t="s">
        <v>431</v>
      </c>
      <c r="E51" s="39" t="s">
        <v>1314</v>
      </c>
      <c r="F51" s="36" t="s">
        <v>431</v>
      </c>
      <c r="G51" s="37" t="s">
        <v>431</v>
      </c>
      <c r="H51" s="40" t="s">
        <v>431</v>
      </c>
      <c r="I51" s="40" t="s">
        <v>1315</v>
      </c>
      <c r="J51" s="54">
        <v>21439906.199999999</v>
      </c>
      <c r="K51" s="54">
        <v>21439906.199999999</v>
      </c>
      <c r="L51" s="54">
        <v>0</v>
      </c>
      <c r="M51" s="54">
        <v>0</v>
      </c>
      <c r="N51" s="42">
        <v>100</v>
      </c>
      <c r="O51" s="43">
        <v>21439906.199999999</v>
      </c>
      <c r="P51" s="41"/>
      <c r="Q51" s="43">
        <v>21439906.199999999</v>
      </c>
      <c r="R51" s="41">
        <v>0</v>
      </c>
      <c r="S51" s="30">
        <v>0</v>
      </c>
      <c r="T51" s="30">
        <v>0</v>
      </c>
      <c r="U51" s="30" t="e">
        <v>#DIV/0!</v>
      </c>
      <c r="V51" s="41" t="e">
        <v>#DIV/0!</v>
      </c>
      <c r="W51" s="41" t="e">
        <v>#DIV/0!</v>
      </c>
      <c r="X51" s="41">
        <v>0</v>
      </c>
      <c r="Y51" s="41">
        <v>0</v>
      </c>
      <c r="Z51" s="41">
        <v>0</v>
      </c>
      <c r="AA51" s="41">
        <v>0</v>
      </c>
      <c r="AB51" s="41"/>
      <c r="AC51" s="41" t="e">
        <v>#DIV/0!</v>
      </c>
      <c r="AD51" s="41"/>
      <c r="AE51" s="41" t="e">
        <v>#DIV/0!</v>
      </c>
      <c r="AF51" s="41" t="e">
        <v>#DIV/0!</v>
      </c>
      <c r="AG51" s="41" t="e">
        <v>#DIV/0!</v>
      </c>
      <c r="AH51" s="36">
        <v>45337</v>
      </c>
      <c r="AI51" s="36"/>
      <c r="AJ51" s="36"/>
      <c r="AK51" s="36"/>
      <c r="AL51" s="36"/>
      <c r="AM51" s="46"/>
      <c r="AN51" s="40"/>
      <c r="AO51" s="40"/>
      <c r="AP51" s="40"/>
      <c r="AQ51" s="40"/>
      <c r="AR51" s="48"/>
      <c r="AS51" s="37"/>
      <c r="AT51" s="37"/>
      <c r="AU51" s="47"/>
      <c r="AV51" s="37"/>
      <c r="AW51" s="37">
        <v>10</v>
      </c>
      <c r="AX51" s="30">
        <v>2143990.62</v>
      </c>
      <c r="AY51" s="40" t="s">
        <v>431</v>
      </c>
    </row>
    <row r="52" spans="1:51" ht="58.5" customHeight="1" x14ac:dyDescent="0.25">
      <c r="A52" s="44" t="s">
        <v>1316</v>
      </c>
      <c r="B52" s="46">
        <v>45287</v>
      </c>
      <c r="C52" s="40">
        <v>545</v>
      </c>
      <c r="D52" s="35" t="s">
        <v>1317</v>
      </c>
      <c r="E52" s="39" t="s">
        <v>1318</v>
      </c>
      <c r="F52" s="36">
        <v>45320</v>
      </c>
      <c r="G52" s="37" t="s">
        <v>1319</v>
      </c>
      <c r="H52" s="40" t="s">
        <v>319</v>
      </c>
      <c r="I52" s="40" t="s">
        <v>1320</v>
      </c>
      <c r="J52" s="54">
        <v>77134640</v>
      </c>
      <c r="K52" s="54">
        <v>77134640</v>
      </c>
      <c r="L52" s="54">
        <v>0</v>
      </c>
      <c r="M52" s="54">
        <v>0</v>
      </c>
      <c r="N52" s="42">
        <v>0</v>
      </c>
      <c r="O52" s="43">
        <v>0</v>
      </c>
      <c r="P52" s="41">
        <v>77134640</v>
      </c>
      <c r="Q52" s="43">
        <v>0</v>
      </c>
      <c r="R52" s="41">
        <v>77134640</v>
      </c>
      <c r="S52" s="30">
        <v>92770040</v>
      </c>
      <c r="T52" s="30">
        <v>92770040</v>
      </c>
      <c r="U52" s="30">
        <v>521180</v>
      </c>
      <c r="V52" s="41">
        <v>521180</v>
      </c>
      <c r="W52" s="41">
        <v>1042360</v>
      </c>
      <c r="X52" s="41">
        <v>178</v>
      </c>
      <c r="Y52" s="41">
        <v>178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89</v>
      </c>
      <c r="AG52" s="41">
        <v>89</v>
      </c>
      <c r="AH52" s="36">
        <v>45337</v>
      </c>
      <c r="AI52" s="36"/>
      <c r="AJ52" s="36"/>
      <c r="AK52" s="36">
        <v>45366</v>
      </c>
      <c r="AL52" s="36"/>
      <c r="AM52" s="46"/>
      <c r="AN52" s="40" t="s">
        <v>469</v>
      </c>
      <c r="AO52" s="40" t="s">
        <v>470</v>
      </c>
      <c r="AP52" s="40" t="s">
        <v>471</v>
      </c>
      <c r="AQ52" s="40" t="s">
        <v>92</v>
      </c>
      <c r="AR52" s="48">
        <v>0</v>
      </c>
      <c r="AS52" s="37">
        <v>100</v>
      </c>
      <c r="AT52" s="37" t="s">
        <v>81</v>
      </c>
      <c r="AU52" s="47">
        <v>2</v>
      </c>
      <c r="AV52" s="37" t="s">
        <v>60</v>
      </c>
      <c r="AW52" s="37">
        <v>10</v>
      </c>
      <c r="AX52" s="30">
        <v>7713464</v>
      </c>
      <c r="AY52" s="40" t="s">
        <v>402</v>
      </c>
    </row>
    <row r="53" spans="1:51" ht="58.5" customHeight="1" x14ac:dyDescent="0.25">
      <c r="A53" s="44" t="s">
        <v>1321</v>
      </c>
      <c r="B53" s="46">
        <v>45288</v>
      </c>
      <c r="C53" s="40">
        <v>545</v>
      </c>
      <c r="D53" s="35" t="s">
        <v>1322</v>
      </c>
      <c r="E53" s="39" t="s">
        <v>1323</v>
      </c>
      <c r="F53" s="36">
        <v>45320</v>
      </c>
      <c r="G53" s="37" t="s">
        <v>1324</v>
      </c>
      <c r="H53" s="40" t="s">
        <v>86</v>
      </c>
      <c r="I53" s="40" t="s">
        <v>1325</v>
      </c>
      <c r="J53" s="54">
        <v>41547475.200000003</v>
      </c>
      <c r="K53" s="54">
        <v>41547475.200000003</v>
      </c>
      <c r="L53" s="54">
        <v>0</v>
      </c>
      <c r="M53" s="54">
        <v>0</v>
      </c>
      <c r="N53" s="42">
        <v>0</v>
      </c>
      <c r="O53" s="43">
        <v>0</v>
      </c>
      <c r="P53" s="41">
        <v>41547475.200000003</v>
      </c>
      <c r="Q53" s="43">
        <v>0</v>
      </c>
      <c r="R53" s="41">
        <v>41547475.200000003</v>
      </c>
      <c r="S53" s="30">
        <v>41547475.200000003</v>
      </c>
      <c r="T53" s="30">
        <v>41547475.200000003</v>
      </c>
      <c r="U53" s="30">
        <v>247306.40000000002</v>
      </c>
      <c r="V53" s="41">
        <v>247306.40000000002</v>
      </c>
      <c r="W53" s="41">
        <v>2967676.8000000003</v>
      </c>
      <c r="X53" s="41">
        <v>168</v>
      </c>
      <c r="Y53" s="41">
        <v>168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14</v>
      </c>
      <c r="AG53" s="41">
        <v>14</v>
      </c>
      <c r="AH53" s="36">
        <v>45342</v>
      </c>
      <c r="AI53" s="36"/>
      <c r="AJ53" s="36"/>
      <c r="AK53" s="36">
        <v>45371</v>
      </c>
      <c r="AL53" s="36"/>
      <c r="AM53" s="46"/>
      <c r="AN53" s="40" t="s">
        <v>366</v>
      </c>
      <c r="AO53" s="40" t="s">
        <v>1326</v>
      </c>
      <c r="AP53" s="40" t="s">
        <v>368</v>
      </c>
      <c r="AQ53" s="40" t="s">
        <v>58</v>
      </c>
      <c r="AR53" s="48">
        <v>0</v>
      </c>
      <c r="AS53" s="37">
        <v>100</v>
      </c>
      <c r="AT53" s="37" t="s">
        <v>81</v>
      </c>
      <c r="AU53" s="47">
        <v>12</v>
      </c>
      <c r="AV53" s="37" t="s">
        <v>60</v>
      </c>
      <c r="AW53" s="37">
        <v>10</v>
      </c>
      <c r="AX53" s="30">
        <v>4154747.52</v>
      </c>
      <c r="AY53" s="40" t="s">
        <v>402</v>
      </c>
    </row>
    <row r="54" spans="1:51" ht="58.5" customHeight="1" x14ac:dyDescent="0.25">
      <c r="A54" s="44" t="s">
        <v>1505</v>
      </c>
      <c r="B54" s="46">
        <v>45289</v>
      </c>
      <c r="C54" s="40">
        <v>545</v>
      </c>
      <c r="D54" s="35" t="s">
        <v>1506</v>
      </c>
      <c r="E54" s="39" t="s">
        <v>1507</v>
      </c>
      <c r="F54" s="36">
        <v>45321</v>
      </c>
      <c r="G54" s="37" t="s">
        <v>1508</v>
      </c>
      <c r="H54" s="40" t="s">
        <v>139</v>
      </c>
      <c r="I54" s="40" t="s">
        <v>348</v>
      </c>
      <c r="J54" s="54">
        <v>195352434</v>
      </c>
      <c r="K54" s="54">
        <v>195352434</v>
      </c>
      <c r="L54" s="54">
        <v>0</v>
      </c>
      <c r="M54" s="54">
        <v>0</v>
      </c>
      <c r="N54" s="42">
        <v>0</v>
      </c>
      <c r="O54" s="43">
        <v>0</v>
      </c>
      <c r="P54" s="41">
        <v>195352434</v>
      </c>
      <c r="Q54" s="43">
        <v>0</v>
      </c>
      <c r="R54" s="41">
        <v>195352434</v>
      </c>
      <c r="S54" s="30">
        <v>247446416.40000001</v>
      </c>
      <c r="T54" s="30">
        <v>247446416.40000001</v>
      </c>
      <c r="U54" s="30">
        <v>868233.04</v>
      </c>
      <c r="V54" s="41">
        <v>868233.04</v>
      </c>
      <c r="W54" s="41">
        <v>4341165.2</v>
      </c>
      <c r="X54" s="41">
        <v>285</v>
      </c>
      <c r="Y54" s="41">
        <v>285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57</v>
      </c>
      <c r="AG54" s="41">
        <v>57</v>
      </c>
      <c r="AH54" s="36">
        <v>45342</v>
      </c>
      <c r="AI54" s="36"/>
      <c r="AJ54" s="36"/>
      <c r="AK54" s="36">
        <v>45371</v>
      </c>
      <c r="AL54" s="36"/>
      <c r="AM54" s="46"/>
      <c r="AN54" s="40" t="s">
        <v>1509</v>
      </c>
      <c r="AO54" s="40" t="s">
        <v>1510</v>
      </c>
      <c r="AP54" s="40" t="s">
        <v>1511</v>
      </c>
      <c r="AQ54" s="40" t="s">
        <v>146</v>
      </c>
      <c r="AR54" s="48">
        <v>0</v>
      </c>
      <c r="AS54" s="37">
        <v>100</v>
      </c>
      <c r="AT54" s="37" t="s">
        <v>81</v>
      </c>
      <c r="AU54" s="47">
        <v>5</v>
      </c>
      <c r="AV54" s="37" t="s">
        <v>60</v>
      </c>
      <c r="AW54" s="37">
        <v>10</v>
      </c>
      <c r="AX54" s="30">
        <v>19535243.399999999</v>
      </c>
      <c r="AY54" s="40" t="s">
        <v>402</v>
      </c>
    </row>
    <row r="55" spans="1:51" ht="48.75" customHeight="1" x14ac:dyDescent="0.25">
      <c r="A55" s="59" t="s">
        <v>1593</v>
      </c>
      <c r="B55" s="60">
        <v>45313</v>
      </c>
      <c r="C55" s="40">
        <v>545</v>
      </c>
      <c r="D55" s="35" t="s">
        <v>431</v>
      </c>
      <c r="E55" s="39" t="s">
        <v>1594</v>
      </c>
      <c r="F55" s="36" t="s">
        <v>431</v>
      </c>
      <c r="G55" s="37" t="s">
        <v>431</v>
      </c>
      <c r="H55" s="40" t="s">
        <v>431</v>
      </c>
      <c r="I55" s="37" t="s">
        <v>590</v>
      </c>
      <c r="J55" s="61">
        <v>11343667.5</v>
      </c>
      <c r="K55" s="41">
        <v>0</v>
      </c>
      <c r="L55" s="54">
        <v>0</v>
      </c>
      <c r="M55" s="54">
        <v>0</v>
      </c>
      <c r="N55" s="42">
        <v>100</v>
      </c>
      <c r="O55" s="43">
        <v>11343667.5</v>
      </c>
      <c r="P55" s="41"/>
      <c r="Q55" s="43">
        <v>11343667.5</v>
      </c>
      <c r="R55" s="41">
        <v>0</v>
      </c>
      <c r="S55" s="30">
        <v>0</v>
      </c>
      <c r="T55" s="30">
        <v>0</v>
      </c>
      <c r="U55" s="30" t="e">
        <v>#DIV/0!</v>
      </c>
      <c r="V55" s="41" t="e">
        <v>#DIV/0!</v>
      </c>
      <c r="W55" s="41" t="e">
        <v>#DIV/0!</v>
      </c>
      <c r="X55" s="41">
        <v>0</v>
      </c>
      <c r="Y55" s="41">
        <v>0</v>
      </c>
      <c r="Z55" s="41">
        <v>0</v>
      </c>
      <c r="AA55" s="41">
        <v>0</v>
      </c>
      <c r="AB55" s="41"/>
      <c r="AC55" s="41" t="e">
        <v>#DIV/0!</v>
      </c>
      <c r="AD55" s="41"/>
      <c r="AE55" s="41" t="e">
        <v>#DIV/0!</v>
      </c>
      <c r="AF55" s="41" t="e">
        <v>#DIV/0!</v>
      </c>
      <c r="AG55" s="41" t="e">
        <v>#DIV/0!</v>
      </c>
      <c r="AH55" s="36">
        <v>45383</v>
      </c>
      <c r="AI55" s="36"/>
      <c r="AJ55" s="36"/>
      <c r="AK55" s="36"/>
      <c r="AL55" s="36"/>
      <c r="AM55" s="46"/>
      <c r="AN55" s="40"/>
      <c r="AO55" s="40"/>
      <c r="AP55" s="40"/>
      <c r="AQ55" s="40"/>
      <c r="AR55" s="48"/>
      <c r="AS55" s="37"/>
      <c r="AT55" s="37"/>
      <c r="AU55" s="47"/>
      <c r="AV55" s="37"/>
      <c r="AW55" s="37">
        <v>10</v>
      </c>
      <c r="AX55" s="30">
        <v>1134366.75</v>
      </c>
      <c r="AY55" s="40" t="s">
        <v>431</v>
      </c>
    </row>
    <row r="56" spans="1:51" ht="48.75" customHeight="1" x14ac:dyDescent="0.25">
      <c r="A56" s="59" t="s">
        <v>1598</v>
      </c>
      <c r="B56" s="60">
        <v>45315</v>
      </c>
      <c r="C56" s="40">
        <v>545</v>
      </c>
      <c r="D56" s="35" t="s">
        <v>1599</v>
      </c>
      <c r="E56" s="39" t="s">
        <v>1600</v>
      </c>
      <c r="F56" s="36">
        <v>45348</v>
      </c>
      <c r="G56" s="37" t="s">
        <v>1601</v>
      </c>
      <c r="H56" s="40" t="s">
        <v>86</v>
      </c>
      <c r="I56" s="40" t="s">
        <v>338</v>
      </c>
      <c r="J56" s="61">
        <v>395718042.30000001</v>
      </c>
      <c r="K56" s="41">
        <v>0</v>
      </c>
      <c r="L56" s="54">
        <v>0</v>
      </c>
      <c r="M56" s="54">
        <v>0</v>
      </c>
      <c r="N56" s="42">
        <v>0</v>
      </c>
      <c r="O56" s="43">
        <v>0</v>
      </c>
      <c r="P56" s="41">
        <v>395718042.30000001</v>
      </c>
      <c r="Q56" s="43">
        <v>0</v>
      </c>
      <c r="R56" s="41">
        <v>395718042.30000001</v>
      </c>
      <c r="S56" s="30">
        <v>470834774.39999998</v>
      </c>
      <c r="T56" s="30">
        <v>470834774.39999998</v>
      </c>
      <c r="U56" s="30">
        <v>25813.309999999998</v>
      </c>
      <c r="V56" s="41">
        <v>25813.309999999998</v>
      </c>
      <c r="W56" s="41">
        <v>774399.29999999993</v>
      </c>
      <c r="X56" s="41">
        <v>18240</v>
      </c>
      <c r="Y56" s="41">
        <v>18240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608</v>
      </c>
      <c r="AG56" s="41">
        <v>608</v>
      </c>
      <c r="AH56" s="36">
        <v>45383</v>
      </c>
      <c r="AI56" s="36"/>
      <c r="AJ56" s="36"/>
      <c r="AK56" s="36">
        <v>45413</v>
      </c>
      <c r="AL56" s="36"/>
      <c r="AM56" s="46"/>
      <c r="AN56" s="40" t="s">
        <v>339</v>
      </c>
      <c r="AO56" s="40" t="s">
        <v>340</v>
      </c>
      <c r="AP56" s="40" t="s">
        <v>341</v>
      </c>
      <c r="AQ56" s="40" t="s">
        <v>342</v>
      </c>
      <c r="AR56" s="48">
        <v>0</v>
      </c>
      <c r="AS56" s="37">
        <v>100</v>
      </c>
      <c r="AT56" s="37" t="s">
        <v>343</v>
      </c>
      <c r="AU56" s="47">
        <v>30</v>
      </c>
      <c r="AV56" s="37" t="s">
        <v>60</v>
      </c>
      <c r="AW56" s="37">
        <v>10</v>
      </c>
      <c r="AX56" s="30">
        <v>39571804.229999997</v>
      </c>
      <c r="AY56" s="40" t="s">
        <v>402</v>
      </c>
    </row>
    <row r="57" spans="1:51" ht="48.75" customHeight="1" x14ac:dyDescent="0.25">
      <c r="A57" s="59" t="s">
        <v>1602</v>
      </c>
      <c r="B57" s="60">
        <v>45315</v>
      </c>
      <c r="C57" s="40">
        <v>545</v>
      </c>
      <c r="D57" s="35" t="s">
        <v>1603</v>
      </c>
      <c r="E57" s="39" t="s">
        <v>1604</v>
      </c>
      <c r="F57" s="36">
        <v>45341</v>
      </c>
      <c r="G57" s="37" t="s">
        <v>1605</v>
      </c>
      <c r="H57" s="40" t="s">
        <v>86</v>
      </c>
      <c r="I57" s="40" t="s">
        <v>413</v>
      </c>
      <c r="J57" s="61">
        <v>32524846.199999999</v>
      </c>
      <c r="K57" s="41">
        <v>0</v>
      </c>
      <c r="L57" s="54">
        <v>0</v>
      </c>
      <c r="M57" s="54">
        <v>0</v>
      </c>
      <c r="N57" s="42">
        <v>0</v>
      </c>
      <c r="O57" s="43">
        <v>0</v>
      </c>
      <c r="P57" s="41">
        <v>32524846.199999999</v>
      </c>
      <c r="Q57" s="43">
        <v>0</v>
      </c>
      <c r="R57" s="41">
        <v>32524846.199999999</v>
      </c>
      <c r="S57" s="30">
        <v>42204859.950000003</v>
      </c>
      <c r="T57" s="30">
        <v>42204859.950000003</v>
      </c>
      <c r="U57" s="30">
        <v>25813.370000000003</v>
      </c>
      <c r="V57" s="41">
        <v>25813.370000000003</v>
      </c>
      <c r="W57" s="41">
        <v>387200.55000000005</v>
      </c>
      <c r="X57" s="41">
        <v>1635</v>
      </c>
      <c r="Y57" s="41">
        <v>1635</v>
      </c>
      <c r="Z57" s="41">
        <v>0</v>
      </c>
      <c r="AA57" s="41">
        <v>0</v>
      </c>
      <c r="AB57" s="41"/>
      <c r="AC57" s="41">
        <v>0</v>
      </c>
      <c r="AD57" s="41"/>
      <c r="AE57" s="41">
        <v>0</v>
      </c>
      <c r="AF57" s="41">
        <v>109</v>
      </c>
      <c r="AG57" s="41">
        <v>109</v>
      </c>
      <c r="AH57" s="36">
        <v>45383</v>
      </c>
      <c r="AI57" s="36"/>
      <c r="AJ57" s="36"/>
      <c r="AK57" s="36">
        <v>45413</v>
      </c>
      <c r="AL57" s="36"/>
      <c r="AM57" s="46"/>
      <c r="AN57" s="40" t="s">
        <v>339</v>
      </c>
      <c r="AO57" s="40" t="s">
        <v>339</v>
      </c>
      <c r="AP57" s="40" t="s">
        <v>339</v>
      </c>
      <c r="AQ57" s="40" t="s">
        <v>342</v>
      </c>
      <c r="AR57" s="48">
        <v>0</v>
      </c>
      <c r="AS57" s="37">
        <v>100</v>
      </c>
      <c r="AT57" s="37" t="s">
        <v>343</v>
      </c>
      <c r="AU57" s="47">
        <v>15</v>
      </c>
      <c r="AV57" s="37" t="s">
        <v>60</v>
      </c>
      <c r="AW57" s="37">
        <v>10</v>
      </c>
      <c r="AX57" s="30">
        <v>3252484.62</v>
      </c>
      <c r="AY57" s="40" t="s">
        <v>402</v>
      </c>
    </row>
    <row r="58" spans="1:51" ht="48.75" customHeight="1" x14ac:dyDescent="0.25">
      <c r="A58" s="59" t="s">
        <v>1606</v>
      </c>
      <c r="B58" s="60">
        <v>45315</v>
      </c>
      <c r="C58" s="40">
        <v>545</v>
      </c>
      <c r="D58" s="35" t="s">
        <v>1607</v>
      </c>
      <c r="E58" s="39" t="s">
        <v>1608</v>
      </c>
      <c r="F58" s="36">
        <v>45335</v>
      </c>
      <c r="G58" s="37" t="s">
        <v>1609</v>
      </c>
      <c r="H58" s="40" t="s">
        <v>356</v>
      </c>
      <c r="I58" s="40" t="s">
        <v>1610</v>
      </c>
      <c r="J58" s="61">
        <v>80605931.120000005</v>
      </c>
      <c r="K58" s="41">
        <v>0</v>
      </c>
      <c r="L58" s="54">
        <v>0</v>
      </c>
      <c r="M58" s="54">
        <v>0</v>
      </c>
      <c r="N58" s="42">
        <v>0</v>
      </c>
      <c r="O58" s="43">
        <v>0</v>
      </c>
      <c r="P58" s="41">
        <v>80605931.120000005</v>
      </c>
      <c r="Q58" s="43">
        <v>0</v>
      </c>
      <c r="R58" s="41">
        <v>80605931.120000005</v>
      </c>
      <c r="S58" s="30">
        <v>80605931.120000005</v>
      </c>
      <c r="T58" s="30">
        <v>80605931.120000005</v>
      </c>
      <c r="U58" s="30">
        <v>333082.36000000004</v>
      </c>
      <c r="V58" s="41">
        <v>333082.36000000004</v>
      </c>
      <c r="W58" s="41">
        <v>666164.72000000009</v>
      </c>
      <c r="X58" s="41">
        <v>242</v>
      </c>
      <c r="Y58" s="41">
        <v>242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121</v>
      </c>
      <c r="AG58" s="41">
        <v>121</v>
      </c>
      <c r="AH58" s="36">
        <v>45352</v>
      </c>
      <c r="AI58" s="36"/>
      <c r="AJ58" s="36"/>
      <c r="AK58" s="36">
        <v>45383</v>
      </c>
      <c r="AL58" s="36"/>
      <c r="AM58" s="46"/>
      <c r="AN58" s="40" t="s">
        <v>1611</v>
      </c>
      <c r="AO58" s="40" t="s">
        <v>1612</v>
      </c>
      <c r="AP58" s="40" t="s">
        <v>1613</v>
      </c>
      <c r="AQ58" s="40" t="s">
        <v>293</v>
      </c>
      <c r="AR58" s="48">
        <v>0</v>
      </c>
      <c r="AS58" s="37">
        <v>100</v>
      </c>
      <c r="AT58" s="37" t="s">
        <v>343</v>
      </c>
      <c r="AU58" s="47">
        <v>2</v>
      </c>
      <c r="AV58" s="37" t="s">
        <v>60</v>
      </c>
      <c r="AW58" s="37">
        <v>10</v>
      </c>
      <c r="AX58" s="30">
        <v>8060593.1120000007</v>
      </c>
      <c r="AY58" s="40" t="s">
        <v>402</v>
      </c>
    </row>
    <row r="59" spans="1:51" ht="48.75" customHeight="1" x14ac:dyDescent="0.25">
      <c r="A59" s="59" t="s">
        <v>1846</v>
      </c>
      <c r="B59" s="60">
        <v>45320</v>
      </c>
      <c r="C59" s="40" t="s">
        <v>1847</v>
      </c>
      <c r="D59" s="35" t="s">
        <v>1848</v>
      </c>
      <c r="E59" s="39" t="s">
        <v>1849</v>
      </c>
      <c r="F59" s="36">
        <v>45330</v>
      </c>
      <c r="G59" s="37" t="s">
        <v>1850</v>
      </c>
      <c r="H59" s="40" t="s">
        <v>269</v>
      </c>
      <c r="I59" s="40" t="s">
        <v>462</v>
      </c>
      <c r="J59" s="61">
        <v>3756093</v>
      </c>
      <c r="K59" s="41">
        <v>0</v>
      </c>
      <c r="L59" s="54">
        <v>0</v>
      </c>
      <c r="M59" s="54">
        <v>0</v>
      </c>
      <c r="N59" s="42">
        <v>0</v>
      </c>
      <c r="O59" s="43">
        <v>0</v>
      </c>
      <c r="P59" s="41">
        <v>3756093</v>
      </c>
      <c r="Q59" s="43">
        <v>0</v>
      </c>
      <c r="R59" s="41">
        <v>3756093</v>
      </c>
      <c r="S59" s="30">
        <v>3756093</v>
      </c>
      <c r="T59" s="30">
        <v>3756093</v>
      </c>
      <c r="U59" s="30">
        <v>1455.85</v>
      </c>
      <c r="V59" s="41">
        <v>1455.85</v>
      </c>
      <c r="W59" s="41">
        <v>43675.5</v>
      </c>
      <c r="X59" s="41">
        <v>2580</v>
      </c>
      <c r="Y59" s="41">
        <v>2580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86</v>
      </c>
      <c r="AG59" s="41">
        <v>86</v>
      </c>
      <c r="AH59" s="36">
        <v>45352</v>
      </c>
      <c r="AI59" s="36"/>
      <c r="AJ59" s="36"/>
      <c r="AK59" s="36">
        <v>45383</v>
      </c>
      <c r="AL59" s="36"/>
      <c r="AM59" s="46"/>
      <c r="AN59" s="40" t="s">
        <v>440</v>
      </c>
      <c r="AO59" s="40" t="s">
        <v>463</v>
      </c>
      <c r="AP59" s="40" t="s">
        <v>442</v>
      </c>
      <c r="AQ59" s="40" t="s">
        <v>293</v>
      </c>
      <c r="AR59" s="48">
        <v>0</v>
      </c>
      <c r="AS59" s="37">
        <v>100</v>
      </c>
      <c r="AT59" s="37" t="s">
        <v>386</v>
      </c>
      <c r="AU59" s="47">
        <v>30</v>
      </c>
      <c r="AV59" s="37" t="s">
        <v>219</v>
      </c>
      <c r="AW59" s="37">
        <v>10</v>
      </c>
      <c r="AX59" s="30">
        <v>375609.3</v>
      </c>
      <c r="AY59" s="40" t="s">
        <v>402</v>
      </c>
    </row>
    <row r="60" spans="1:51" ht="43.5" customHeight="1" x14ac:dyDescent="0.25">
      <c r="A60" s="59" t="s">
        <v>1851</v>
      </c>
      <c r="B60" s="60">
        <v>45320</v>
      </c>
      <c r="C60" s="40">
        <v>545</v>
      </c>
      <c r="D60" s="35" t="s">
        <v>431</v>
      </c>
      <c r="E60" s="39" t="s">
        <v>1852</v>
      </c>
      <c r="F60" s="36" t="s">
        <v>431</v>
      </c>
      <c r="G60" s="37" t="s">
        <v>431</v>
      </c>
      <c r="H60" s="40" t="s">
        <v>431</v>
      </c>
      <c r="I60" s="40" t="s">
        <v>1159</v>
      </c>
      <c r="J60" s="61">
        <v>266757529.5</v>
      </c>
      <c r="K60" s="41">
        <v>0</v>
      </c>
      <c r="L60" s="54">
        <v>0</v>
      </c>
      <c r="M60" s="54">
        <v>0</v>
      </c>
      <c r="N60" s="42">
        <v>100</v>
      </c>
      <c r="O60" s="43">
        <v>266757529.5</v>
      </c>
      <c r="P60" s="41"/>
      <c r="Q60" s="43">
        <v>266757529.5</v>
      </c>
      <c r="R60" s="41">
        <v>0</v>
      </c>
      <c r="S60" s="30">
        <v>0</v>
      </c>
      <c r="T60" s="30">
        <v>0</v>
      </c>
      <c r="U60" s="30">
        <v>204411.9</v>
      </c>
      <c r="V60" s="41">
        <v>0</v>
      </c>
      <c r="W60" s="41">
        <v>0</v>
      </c>
      <c r="X60" s="41">
        <v>1305</v>
      </c>
      <c r="Y60" s="41">
        <v>1305</v>
      </c>
      <c r="Z60" s="41">
        <v>0</v>
      </c>
      <c r="AA60" s="41">
        <v>0</v>
      </c>
      <c r="AB60" s="41"/>
      <c r="AC60" s="41">
        <v>0</v>
      </c>
      <c r="AD60" s="41"/>
      <c r="AE60" s="41">
        <v>0</v>
      </c>
      <c r="AF60" s="41" t="e">
        <v>#DIV/0!</v>
      </c>
      <c r="AG60" s="41" t="e">
        <v>#DIV/0!</v>
      </c>
      <c r="AH60" s="36">
        <v>45366</v>
      </c>
      <c r="AI60" s="36"/>
      <c r="AJ60" s="36"/>
      <c r="AK60" s="36"/>
      <c r="AL60" s="36"/>
      <c r="AM60" s="46"/>
      <c r="AN60" s="40"/>
      <c r="AO60" s="40"/>
      <c r="AP60" s="40"/>
      <c r="AQ60" s="40"/>
      <c r="AR60" s="48"/>
      <c r="AS60" s="37"/>
      <c r="AT60" s="37"/>
      <c r="AU60" s="47"/>
      <c r="AV60" s="37"/>
      <c r="AW60" s="37">
        <v>10</v>
      </c>
      <c r="AX60" s="30">
        <v>26675752.949999999</v>
      </c>
      <c r="AY60" s="40" t="s">
        <v>431</v>
      </c>
    </row>
    <row r="61" spans="1:51" ht="48" customHeight="1" x14ac:dyDescent="0.25">
      <c r="A61" s="59" t="s">
        <v>1853</v>
      </c>
      <c r="B61" s="60">
        <v>45320</v>
      </c>
      <c r="C61" s="40">
        <v>545</v>
      </c>
      <c r="D61" s="37" t="s">
        <v>431</v>
      </c>
      <c r="E61" s="39" t="s">
        <v>1854</v>
      </c>
      <c r="F61" s="37" t="s">
        <v>431</v>
      </c>
      <c r="G61" s="37" t="s">
        <v>431</v>
      </c>
      <c r="H61" s="37" t="s">
        <v>431</v>
      </c>
      <c r="I61" s="40" t="s">
        <v>564</v>
      </c>
      <c r="J61" s="61">
        <v>28479928.800000001</v>
      </c>
      <c r="K61" s="41">
        <v>0</v>
      </c>
      <c r="L61" s="54">
        <v>0</v>
      </c>
      <c r="M61" s="54">
        <v>0</v>
      </c>
      <c r="N61" s="42">
        <v>100</v>
      </c>
      <c r="O61" s="43">
        <v>28479928.800000001</v>
      </c>
      <c r="P61" s="41"/>
      <c r="Q61" s="43">
        <v>28479928.800000001</v>
      </c>
      <c r="R61" s="41">
        <v>0</v>
      </c>
      <c r="S61" s="30">
        <v>0</v>
      </c>
      <c r="T61" s="30">
        <v>0</v>
      </c>
      <c r="U61" s="30">
        <v>5333.32</v>
      </c>
      <c r="V61" s="41">
        <v>0</v>
      </c>
      <c r="W61" s="41">
        <v>0</v>
      </c>
      <c r="X61" s="41">
        <v>5340</v>
      </c>
      <c r="Y61" s="41">
        <v>5340</v>
      </c>
      <c r="Z61" s="41">
        <v>0</v>
      </c>
      <c r="AA61" s="41">
        <v>0</v>
      </c>
      <c r="AB61" s="41"/>
      <c r="AC61" s="41">
        <v>0</v>
      </c>
      <c r="AD61" s="41"/>
      <c r="AE61" s="41">
        <v>0</v>
      </c>
      <c r="AF61" s="41" t="e">
        <v>#DIV/0!</v>
      </c>
      <c r="AG61" s="41" t="e">
        <v>#DIV/0!</v>
      </c>
      <c r="AH61" s="36">
        <v>45382</v>
      </c>
      <c r="AI61" s="36"/>
      <c r="AJ61" s="36"/>
      <c r="AK61" s="36"/>
      <c r="AL61" s="36"/>
      <c r="AM61" s="46"/>
      <c r="AN61" s="40"/>
      <c r="AO61" s="40"/>
      <c r="AP61" s="40"/>
      <c r="AQ61" s="40"/>
      <c r="AR61" s="48"/>
      <c r="AS61" s="37"/>
      <c r="AT61" s="37"/>
      <c r="AU61" s="47"/>
      <c r="AV61" s="37"/>
      <c r="AW61" s="37">
        <v>10</v>
      </c>
      <c r="AX61" s="30">
        <v>2847992.88</v>
      </c>
      <c r="AY61" s="40" t="s">
        <v>431</v>
      </c>
    </row>
    <row r="62" spans="1:51" ht="48" customHeight="1" x14ac:dyDescent="0.25">
      <c r="A62" s="59" t="s">
        <v>1880</v>
      </c>
      <c r="B62" s="60">
        <v>45322</v>
      </c>
      <c r="C62" s="40">
        <v>545</v>
      </c>
      <c r="D62" s="35" t="s">
        <v>1881</v>
      </c>
      <c r="E62" s="39" t="s">
        <v>1882</v>
      </c>
      <c r="F62" s="36">
        <v>45348</v>
      </c>
      <c r="G62" s="37" t="s">
        <v>1883</v>
      </c>
      <c r="H62" s="40" t="s">
        <v>1884</v>
      </c>
      <c r="I62" s="64" t="s">
        <v>407</v>
      </c>
      <c r="J62" s="61">
        <v>19720324.800000001</v>
      </c>
      <c r="K62" s="41">
        <v>0</v>
      </c>
      <c r="L62" s="54">
        <v>0</v>
      </c>
      <c r="M62" s="54">
        <v>0</v>
      </c>
      <c r="N62" s="42">
        <v>0</v>
      </c>
      <c r="O62" s="43">
        <v>0</v>
      </c>
      <c r="P62" s="61">
        <v>19720324.800000001</v>
      </c>
      <c r="Q62" s="43">
        <v>0</v>
      </c>
      <c r="R62" s="61">
        <v>19720324.800000001</v>
      </c>
      <c r="S62" s="30">
        <v>19720324.800000001</v>
      </c>
      <c r="T62" s="30">
        <v>19720324.800000001</v>
      </c>
      <c r="U62" s="30">
        <v>6201.36</v>
      </c>
      <c r="V62" s="41">
        <v>6201.3600000000006</v>
      </c>
      <c r="W62" s="41">
        <v>372081.60000000003</v>
      </c>
      <c r="X62" s="41">
        <v>3180</v>
      </c>
      <c r="Y62" s="41">
        <v>3180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53</v>
      </c>
      <c r="AG62" s="41">
        <v>53</v>
      </c>
      <c r="AH62" s="36">
        <v>45366</v>
      </c>
      <c r="AI62" s="36"/>
      <c r="AJ62" s="36"/>
      <c r="AK62" s="36">
        <v>45397</v>
      </c>
      <c r="AL62" s="36"/>
      <c r="AM62" s="46"/>
      <c r="AN62" s="40" t="s">
        <v>382</v>
      </c>
      <c r="AO62" s="40" t="s">
        <v>1885</v>
      </c>
      <c r="AP62" s="40" t="s">
        <v>384</v>
      </c>
      <c r="AQ62" s="40" t="s">
        <v>385</v>
      </c>
      <c r="AR62" s="48">
        <v>0</v>
      </c>
      <c r="AS62" s="37">
        <v>100</v>
      </c>
      <c r="AT62" s="37" t="s">
        <v>386</v>
      </c>
      <c r="AU62" s="47">
        <v>60</v>
      </c>
      <c r="AV62" s="37" t="s">
        <v>219</v>
      </c>
      <c r="AW62" s="37">
        <v>10</v>
      </c>
      <c r="AX62" s="30">
        <v>1972032.48</v>
      </c>
      <c r="AY62" s="40" t="s">
        <v>402</v>
      </c>
    </row>
    <row r="63" spans="1:51" ht="48" customHeight="1" x14ac:dyDescent="0.25">
      <c r="A63" s="59" t="s">
        <v>1886</v>
      </c>
      <c r="B63" s="60">
        <v>45322</v>
      </c>
      <c r="C63" s="40">
        <v>545</v>
      </c>
      <c r="D63" s="35" t="s">
        <v>1887</v>
      </c>
      <c r="E63" s="39" t="s">
        <v>1888</v>
      </c>
      <c r="F63" s="36">
        <v>45348</v>
      </c>
      <c r="G63" s="37" t="s">
        <v>1889</v>
      </c>
      <c r="H63" s="40" t="s">
        <v>1884</v>
      </c>
      <c r="I63" s="64" t="s">
        <v>407</v>
      </c>
      <c r="J63" s="61">
        <v>18231998.399999999</v>
      </c>
      <c r="K63" s="41">
        <v>0</v>
      </c>
      <c r="L63" s="54">
        <v>0</v>
      </c>
      <c r="M63" s="54">
        <v>0</v>
      </c>
      <c r="N63" s="42">
        <v>0</v>
      </c>
      <c r="O63" s="43">
        <v>0</v>
      </c>
      <c r="P63" s="61">
        <v>18231998.399999999</v>
      </c>
      <c r="Q63" s="43">
        <v>0</v>
      </c>
      <c r="R63" s="61">
        <v>18231998.399999999</v>
      </c>
      <c r="S63" s="30">
        <v>18231998.399999999</v>
      </c>
      <c r="T63" s="30">
        <v>18231998.399999999</v>
      </c>
      <c r="U63" s="30">
        <v>6201.36</v>
      </c>
      <c r="V63" s="41">
        <v>6201.36</v>
      </c>
      <c r="W63" s="41">
        <v>372081.6</v>
      </c>
      <c r="X63" s="41">
        <v>2940</v>
      </c>
      <c r="Y63" s="41">
        <v>2940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49</v>
      </c>
      <c r="AG63" s="41">
        <v>49</v>
      </c>
      <c r="AH63" s="36">
        <v>45366</v>
      </c>
      <c r="AI63" s="36"/>
      <c r="AJ63" s="36"/>
      <c r="AK63" s="36">
        <v>45397</v>
      </c>
      <c r="AL63" s="36"/>
      <c r="AM63" s="46"/>
      <c r="AN63" s="40" t="s">
        <v>382</v>
      </c>
      <c r="AO63" s="40" t="s">
        <v>1885</v>
      </c>
      <c r="AP63" s="40" t="s">
        <v>384</v>
      </c>
      <c r="AQ63" s="40" t="s">
        <v>385</v>
      </c>
      <c r="AR63" s="48">
        <v>0</v>
      </c>
      <c r="AS63" s="37">
        <v>100</v>
      </c>
      <c r="AT63" s="37" t="s">
        <v>386</v>
      </c>
      <c r="AU63" s="47">
        <v>60</v>
      </c>
      <c r="AV63" s="37" t="s">
        <v>219</v>
      </c>
      <c r="AW63" s="37">
        <v>10</v>
      </c>
      <c r="AX63" s="30">
        <v>1823199.84</v>
      </c>
      <c r="AY63" s="40" t="s">
        <v>402</v>
      </c>
    </row>
    <row r="64" spans="1:51" ht="48" customHeight="1" x14ac:dyDescent="0.25">
      <c r="A64" s="59" t="s">
        <v>1890</v>
      </c>
      <c r="B64" s="60">
        <v>45322</v>
      </c>
      <c r="C64" s="40">
        <v>545</v>
      </c>
      <c r="D64" s="35" t="s">
        <v>1891</v>
      </c>
      <c r="E64" s="39" t="s">
        <v>1892</v>
      </c>
      <c r="F64" s="36">
        <v>45348</v>
      </c>
      <c r="G64" s="37" t="s">
        <v>1893</v>
      </c>
      <c r="H64" s="40" t="s">
        <v>1884</v>
      </c>
      <c r="I64" s="64" t="s">
        <v>407</v>
      </c>
      <c r="J64" s="61">
        <v>19720324.800000001</v>
      </c>
      <c r="K64" s="41">
        <v>0</v>
      </c>
      <c r="L64" s="54">
        <v>0</v>
      </c>
      <c r="M64" s="54">
        <v>0</v>
      </c>
      <c r="N64" s="42">
        <v>0</v>
      </c>
      <c r="O64" s="43">
        <v>0</v>
      </c>
      <c r="P64" s="61">
        <v>19720324.800000001</v>
      </c>
      <c r="Q64" s="43">
        <v>0</v>
      </c>
      <c r="R64" s="61">
        <v>19720324.800000001</v>
      </c>
      <c r="S64" s="30">
        <v>19720324.800000001</v>
      </c>
      <c r="T64" s="30">
        <v>19720324.800000001</v>
      </c>
      <c r="U64" s="30">
        <v>6201.36</v>
      </c>
      <c r="V64" s="41">
        <v>6201.3600000000006</v>
      </c>
      <c r="W64" s="41">
        <v>372081.60000000003</v>
      </c>
      <c r="X64" s="41">
        <v>3180</v>
      </c>
      <c r="Y64" s="41">
        <v>3180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53</v>
      </c>
      <c r="AG64" s="41">
        <v>53</v>
      </c>
      <c r="AH64" s="36">
        <v>45366</v>
      </c>
      <c r="AI64" s="36"/>
      <c r="AJ64" s="36"/>
      <c r="AK64" s="36">
        <v>45397</v>
      </c>
      <c r="AL64" s="36"/>
      <c r="AM64" s="46"/>
      <c r="AN64" s="40" t="s">
        <v>382</v>
      </c>
      <c r="AO64" s="40" t="s">
        <v>1885</v>
      </c>
      <c r="AP64" s="40" t="s">
        <v>384</v>
      </c>
      <c r="AQ64" s="40" t="s">
        <v>385</v>
      </c>
      <c r="AR64" s="48">
        <v>0</v>
      </c>
      <c r="AS64" s="37">
        <v>100</v>
      </c>
      <c r="AT64" s="37" t="s">
        <v>386</v>
      </c>
      <c r="AU64" s="47">
        <v>60</v>
      </c>
      <c r="AV64" s="37" t="s">
        <v>219</v>
      </c>
      <c r="AW64" s="37">
        <v>10</v>
      </c>
      <c r="AX64" s="30">
        <v>1972032.48</v>
      </c>
      <c r="AY64" s="40" t="s">
        <v>402</v>
      </c>
    </row>
    <row r="65" spans="1:51" ht="48" customHeight="1" x14ac:dyDescent="0.25">
      <c r="A65" s="59" t="s">
        <v>1894</v>
      </c>
      <c r="B65" s="60">
        <v>45322</v>
      </c>
      <c r="C65" s="40">
        <v>545</v>
      </c>
      <c r="D65" s="35" t="s">
        <v>1895</v>
      </c>
      <c r="E65" s="39" t="s">
        <v>1896</v>
      </c>
      <c r="F65" s="36">
        <v>45348</v>
      </c>
      <c r="G65" s="37" t="s">
        <v>1897</v>
      </c>
      <c r="H65" s="40" t="s">
        <v>1884</v>
      </c>
      <c r="I65" s="64" t="s">
        <v>407</v>
      </c>
      <c r="J65" s="61">
        <v>19348243.199999999</v>
      </c>
      <c r="K65" s="41">
        <v>0</v>
      </c>
      <c r="L65" s="54">
        <v>0</v>
      </c>
      <c r="M65" s="54">
        <v>0</v>
      </c>
      <c r="N65" s="42">
        <v>0</v>
      </c>
      <c r="O65" s="43">
        <v>0</v>
      </c>
      <c r="P65" s="61">
        <v>19348243.199999999</v>
      </c>
      <c r="Q65" s="43">
        <v>0</v>
      </c>
      <c r="R65" s="61">
        <v>19348243.199999999</v>
      </c>
      <c r="S65" s="30">
        <v>19348243.199999999</v>
      </c>
      <c r="T65" s="30">
        <v>19348243.199999999</v>
      </c>
      <c r="U65" s="30">
        <v>6201.36</v>
      </c>
      <c r="V65" s="41">
        <v>6201.36</v>
      </c>
      <c r="W65" s="41">
        <v>372081.6</v>
      </c>
      <c r="X65" s="41">
        <v>3120</v>
      </c>
      <c r="Y65" s="41">
        <v>3120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52</v>
      </c>
      <c r="AG65" s="41">
        <v>52</v>
      </c>
      <c r="AH65" s="36">
        <v>45366</v>
      </c>
      <c r="AI65" s="36"/>
      <c r="AJ65" s="36"/>
      <c r="AK65" s="36">
        <v>45397</v>
      </c>
      <c r="AL65" s="36"/>
      <c r="AM65" s="46"/>
      <c r="AN65" s="40" t="s">
        <v>382</v>
      </c>
      <c r="AO65" s="40" t="s">
        <v>1885</v>
      </c>
      <c r="AP65" s="40" t="s">
        <v>384</v>
      </c>
      <c r="AQ65" s="40" t="s">
        <v>385</v>
      </c>
      <c r="AR65" s="48">
        <v>0</v>
      </c>
      <c r="AS65" s="37">
        <v>100</v>
      </c>
      <c r="AT65" s="37" t="s">
        <v>386</v>
      </c>
      <c r="AU65" s="47">
        <v>60</v>
      </c>
      <c r="AV65" s="37" t="s">
        <v>219</v>
      </c>
      <c r="AW65" s="37">
        <v>10</v>
      </c>
      <c r="AX65" s="30">
        <v>1934824.32</v>
      </c>
      <c r="AY65" s="40" t="s">
        <v>402</v>
      </c>
    </row>
    <row r="66" spans="1:51" ht="48" customHeight="1" x14ac:dyDescent="0.25">
      <c r="A66" s="59" t="s">
        <v>1898</v>
      </c>
      <c r="B66" s="60">
        <v>45322</v>
      </c>
      <c r="C66" s="40">
        <v>545</v>
      </c>
      <c r="D66" s="35" t="s">
        <v>1899</v>
      </c>
      <c r="E66" s="39" t="s">
        <v>1900</v>
      </c>
      <c r="F66" s="36">
        <v>45348</v>
      </c>
      <c r="G66" s="37" t="s">
        <v>1901</v>
      </c>
      <c r="H66" s="40" t="s">
        <v>1884</v>
      </c>
      <c r="I66" s="64" t="s">
        <v>407</v>
      </c>
      <c r="J66" s="61">
        <v>19720324.800000001</v>
      </c>
      <c r="K66" s="41">
        <v>0</v>
      </c>
      <c r="L66" s="54">
        <v>0</v>
      </c>
      <c r="M66" s="54">
        <v>0</v>
      </c>
      <c r="N66" s="42">
        <v>0</v>
      </c>
      <c r="O66" s="43">
        <v>0</v>
      </c>
      <c r="P66" s="61">
        <v>19720324.800000001</v>
      </c>
      <c r="Q66" s="43">
        <v>0</v>
      </c>
      <c r="R66" s="61">
        <v>19720324.800000001</v>
      </c>
      <c r="S66" s="30">
        <v>19720324.800000001</v>
      </c>
      <c r="T66" s="30">
        <v>19720324.800000001</v>
      </c>
      <c r="U66" s="30">
        <v>6201.36</v>
      </c>
      <c r="V66" s="41">
        <v>6201.3600000000006</v>
      </c>
      <c r="W66" s="41">
        <v>372081.60000000003</v>
      </c>
      <c r="X66" s="41">
        <v>3180</v>
      </c>
      <c r="Y66" s="41">
        <v>3180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53</v>
      </c>
      <c r="AG66" s="41">
        <v>53</v>
      </c>
      <c r="AH66" s="36">
        <v>45366</v>
      </c>
      <c r="AI66" s="36"/>
      <c r="AJ66" s="36"/>
      <c r="AK66" s="36">
        <v>45397</v>
      </c>
      <c r="AL66" s="36"/>
      <c r="AM66" s="46"/>
      <c r="AN66" s="40" t="s">
        <v>382</v>
      </c>
      <c r="AO66" s="40" t="s">
        <v>1885</v>
      </c>
      <c r="AP66" s="40" t="s">
        <v>384</v>
      </c>
      <c r="AQ66" s="40" t="s">
        <v>385</v>
      </c>
      <c r="AR66" s="48">
        <v>0</v>
      </c>
      <c r="AS66" s="37">
        <v>100</v>
      </c>
      <c r="AT66" s="37" t="s">
        <v>386</v>
      </c>
      <c r="AU66" s="47">
        <v>60</v>
      </c>
      <c r="AV66" s="37" t="s">
        <v>219</v>
      </c>
      <c r="AW66" s="37">
        <v>10</v>
      </c>
      <c r="AX66" s="30">
        <v>1972032.48</v>
      </c>
      <c r="AY66" s="40" t="s">
        <v>402</v>
      </c>
    </row>
    <row r="67" spans="1:51" ht="48" customHeight="1" x14ac:dyDescent="0.25">
      <c r="A67" s="59" t="s">
        <v>1902</v>
      </c>
      <c r="B67" s="60">
        <v>45322</v>
      </c>
      <c r="C67" s="40">
        <v>545</v>
      </c>
      <c r="D67" s="35" t="s">
        <v>1903</v>
      </c>
      <c r="E67" s="39" t="s">
        <v>1904</v>
      </c>
      <c r="F67" s="36">
        <v>45348</v>
      </c>
      <c r="G67" s="37" t="s">
        <v>1905</v>
      </c>
      <c r="H67" s="40" t="s">
        <v>1884</v>
      </c>
      <c r="I67" s="64" t="s">
        <v>407</v>
      </c>
      <c r="J67" s="61">
        <v>18604080</v>
      </c>
      <c r="K67" s="41">
        <v>0</v>
      </c>
      <c r="L67" s="54">
        <v>0</v>
      </c>
      <c r="M67" s="54">
        <v>0</v>
      </c>
      <c r="N67" s="42">
        <v>0</v>
      </c>
      <c r="O67" s="43">
        <v>0</v>
      </c>
      <c r="P67" s="61">
        <v>18604080</v>
      </c>
      <c r="Q67" s="43">
        <v>0</v>
      </c>
      <c r="R67" s="61">
        <v>18604080</v>
      </c>
      <c r="S67" s="30">
        <v>20836569.600000001</v>
      </c>
      <c r="T67" s="30">
        <v>20836569.600000001</v>
      </c>
      <c r="U67" s="30">
        <v>6201.36</v>
      </c>
      <c r="V67" s="41">
        <v>6201.3600000000006</v>
      </c>
      <c r="W67" s="41">
        <v>372081.60000000003</v>
      </c>
      <c r="X67" s="41">
        <v>3360</v>
      </c>
      <c r="Y67" s="41">
        <v>3360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56</v>
      </c>
      <c r="AG67" s="41">
        <v>56</v>
      </c>
      <c r="AH67" s="36">
        <v>45366</v>
      </c>
      <c r="AI67" s="36"/>
      <c r="AJ67" s="36"/>
      <c r="AK67" s="36">
        <v>45397</v>
      </c>
      <c r="AL67" s="36"/>
      <c r="AM67" s="46"/>
      <c r="AN67" s="40" t="s">
        <v>382</v>
      </c>
      <c r="AO67" s="40" t="s">
        <v>1885</v>
      </c>
      <c r="AP67" s="40" t="s">
        <v>384</v>
      </c>
      <c r="AQ67" s="40" t="s">
        <v>385</v>
      </c>
      <c r="AR67" s="48">
        <v>0</v>
      </c>
      <c r="AS67" s="37">
        <v>100</v>
      </c>
      <c r="AT67" s="37" t="s">
        <v>386</v>
      </c>
      <c r="AU67" s="47">
        <v>60</v>
      </c>
      <c r="AV67" s="37" t="s">
        <v>219</v>
      </c>
      <c r="AW67" s="37">
        <v>10</v>
      </c>
      <c r="AX67" s="30">
        <v>1860408</v>
      </c>
      <c r="AY67" s="40" t="s">
        <v>402</v>
      </c>
    </row>
    <row r="68" spans="1:51" ht="48" customHeight="1" x14ac:dyDescent="0.25">
      <c r="A68" s="59" t="s">
        <v>1906</v>
      </c>
      <c r="B68" s="60">
        <v>45322</v>
      </c>
      <c r="C68" s="40">
        <v>545</v>
      </c>
      <c r="D68" s="35" t="s">
        <v>1907</v>
      </c>
      <c r="E68" s="39" t="s">
        <v>1908</v>
      </c>
      <c r="F68" s="36">
        <v>45348</v>
      </c>
      <c r="G68" s="37" t="s">
        <v>1909</v>
      </c>
      <c r="H68" s="40" t="s">
        <v>1884</v>
      </c>
      <c r="I68" s="64" t="s">
        <v>407</v>
      </c>
      <c r="J68" s="61">
        <v>18231998.399999999</v>
      </c>
      <c r="K68" s="41">
        <v>0</v>
      </c>
      <c r="L68" s="54">
        <v>0</v>
      </c>
      <c r="M68" s="54">
        <v>0</v>
      </c>
      <c r="N68" s="42">
        <v>0</v>
      </c>
      <c r="O68" s="43">
        <v>0</v>
      </c>
      <c r="P68" s="61">
        <v>18231998.399999999</v>
      </c>
      <c r="Q68" s="43">
        <v>0</v>
      </c>
      <c r="R68" s="61">
        <v>18231998.399999999</v>
      </c>
      <c r="S68" s="30">
        <v>18231998.399999999</v>
      </c>
      <c r="T68" s="30">
        <v>18231998.399999999</v>
      </c>
      <c r="U68" s="30">
        <v>6201.36</v>
      </c>
      <c r="V68" s="41">
        <v>6201.36</v>
      </c>
      <c r="W68" s="41">
        <v>372081.6</v>
      </c>
      <c r="X68" s="41">
        <v>2940</v>
      </c>
      <c r="Y68" s="41">
        <v>2940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49</v>
      </c>
      <c r="AG68" s="41">
        <v>49</v>
      </c>
      <c r="AH68" s="36">
        <v>45366</v>
      </c>
      <c r="AI68" s="36"/>
      <c r="AJ68" s="36"/>
      <c r="AK68" s="36">
        <v>45397</v>
      </c>
      <c r="AL68" s="36"/>
      <c r="AM68" s="46"/>
      <c r="AN68" s="40" t="s">
        <v>382</v>
      </c>
      <c r="AO68" s="40" t="s">
        <v>1885</v>
      </c>
      <c r="AP68" s="40" t="s">
        <v>384</v>
      </c>
      <c r="AQ68" s="40" t="s">
        <v>385</v>
      </c>
      <c r="AR68" s="48">
        <v>0</v>
      </c>
      <c r="AS68" s="37">
        <v>100</v>
      </c>
      <c r="AT68" s="37" t="s">
        <v>386</v>
      </c>
      <c r="AU68" s="47">
        <v>60</v>
      </c>
      <c r="AV68" s="37" t="s">
        <v>219</v>
      </c>
      <c r="AW68" s="37">
        <v>10</v>
      </c>
      <c r="AX68" s="30">
        <v>1823199.84</v>
      </c>
      <c r="AY68" s="40" t="s">
        <v>402</v>
      </c>
    </row>
    <row r="69" spans="1:51" ht="48" customHeight="1" x14ac:dyDescent="0.25">
      <c r="A69" s="59" t="s">
        <v>1941</v>
      </c>
      <c r="B69" s="60">
        <v>45323</v>
      </c>
      <c r="C69" s="40">
        <v>545</v>
      </c>
      <c r="D69" s="35"/>
      <c r="E69" s="39" t="s">
        <v>1942</v>
      </c>
      <c r="F69" s="36">
        <v>45348</v>
      </c>
      <c r="G69" s="37" t="s">
        <v>1943</v>
      </c>
      <c r="H69" s="40" t="s">
        <v>86</v>
      </c>
      <c r="I69" s="62" t="s">
        <v>1944</v>
      </c>
      <c r="J69" s="61">
        <v>120806571.59999999</v>
      </c>
      <c r="K69" s="41">
        <v>0</v>
      </c>
      <c r="L69" s="54">
        <v>0</v>
      </c>
      <c r="M69" s="54">
        <v>0</v>
      </c>
      <c r="N69" s="42">
        <v>0</v>
      </c>
      <c r="O69" s="43">
        <v>0</v>
      </c>
      <c r="P69" s="61">
        <v>120806571.59999999</v>
      </c>
      <c r="Q69" s="43">
        <v>0</v>
      </c>
      <c r="R69" s="61">
        <v>120806571.59999999</v>
      </c>
      <c r="S69" s="30">
        <v>120806571.59999999</v>
      </c>
      <c r="T69" s="30">
        <v>120806571.59999999</v>
      </c>
      <c r="U69" s="30">
        <v>25813.37</v>
      </c>
      <c r="V69" s="41">
        <v>25813.37</v>
      </c>
      <c r="W69" s="41">
        <v>3097604.4</v>
      </c>
      <c r="X69" s="41">
        <v>4680</v>
      </c>
      <c r="Y69" s="41">
        <v>4680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39</v>
      </c>
      <c r="AG69" s="41">
        <v>39</v>
      </c>
      <c r="AH69" s="36">
        <v>45366</v>
      </c>
      <c r="AI69" s="36"/>
      <c r="AJ69" s="36"/>
      <c r="AK69" s="36">
        <v>45397</v>
      </c>
      <c r="AL69" s="36"/>
      <c r="AM69" s="46"/>
      <c r="AN69" s="40" t="s">
        <v>339</v>
      </c>
      <c r="AO69" s="40" t="s">
        <v>421</v>
      </c>
      <c r="AP69" s="40" t="s">
        <v>341</v>
      </c>
      <c r="AQ69" s="40" t="s">
        <v>342</v>
      </c>
      <c r="AR69" s="48">
        <v>0</v>
      </c>
      <c r="AS69" s="37">
        <v>100</v>
      </c>
      <c r="AT69" s="37" t="s">
        <v>343</v>
      </c>
      <c r="AU69" s="47">
        <v>120</v>
      </c>
      <c r="AV69" s="37" t="s">
        <v>60</v>
      </c>
      <c r="AW69" s="37">
        <v>10</v>
      </c>
      <c r="AX69" s="30">
        <v>12080657.16</v>
      </c>
      <c r="AY69" s="40" t="s">
        <v>402</v>
      </c>
    </row>
    <row r="70" spans="1:51" ht="39" customHeight="1" x14ac:dyDescent="0.25">
      <c r="A70" s="59" t="s">
        <v>2055</v>
      </c>
      <c r="B70" s="60">
        <v>45328</v>
      </c>
      <c r="C70" s="40">
        <v>545</v>
      </c>
      <c r="D70" s="35"/>
      <c r="E70" s="39" t="s">
        <v>2056</v>
      </c>
      <c r="F70" s="36">
        <v>45352</v>
      </c>
      <c r="G70" s="37" t="s">
        <v>2057</v>
      </c>
      <c r="H70" s="40" t="s">
        <v>1884</v>
      </c>
      <c r="I70" s="62" t="s">
        <v>1325</v>
      </c>
      <c r="J70" s="61">
        <v>62321212.799999997</v>
      </c>
      <c r="K70" s="41">
        <v>0</v>
      </c>
      <c r="L70" s="54">
        <v>0</v>
      </c>
      <c r="M70" s="54">
        <v>0</v>
      </c>
      <c r="N70" s="42">
        <v>0</v>
      </c>
      <c r="O70" s="43">
        <v>0</v>
      </c>
      <c r="P70" s="61">
        <v>62321212.799999997</v>
      </c>
      <c r="Q70" s="43">
        <v>0</v>
      </c>
      <c r="R70" s="61">
        <v>62321212.799999997</v>
      </c>
      <c r="S70" s="30">
        <v>62321212.799999997</v>
      </c>
      <c r="T70" s="30">
        <v>62321212.799999997</v>
      </c>
      <c r="U70" s="30">
        <v>247306.4</v>
      </c>
      <c r="V70" s="41">
        <v>247306.4</v>
      </c>
      <c r="W70" s="41">
        <v>2967676.8</v>
      </c>
      <c r="X70" s="41">
        <v>252</v>
      </c>
      <c r="Y70" s="41">
        <v>252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21</v>
      </c>
      <c r="AG70" s="41">
        <v>21</v>
      </c>
      <c r="AH70" s="36">
        <v>45371</v>
      </c>
      <c r="AI70" s="36"/>
      <c r="AJ70" s="36"/>
      <c r="AK70" s="36">
        <v>45402</v>
      </c>
      <c r="AL70" s="36"/>
      <c r="AM70" s="46"/>
      <c r="AN70" s="40" t="s">
        <v>599</v>
      </c>
      <c r="AO70" s="40" t="s">
        <v>2058</v>
      </c>
      <c r="AP70" s="40" t="s">
        <v>601</v>
      </c>
      <c r="AQ70" s="40" t="s">
        <v>58</v>
      </c>
      <c r="AR70" s="48">
        <v>0</v>
      </c>
      <c r="AS70" s="37">
        <v>100</v>
      </c>
      <c r="AT70" s="37" t="s">
        <v>81</v>
      </c>
      <c r="AU70" s="47">
        <v>12</v>
      </c>
      <c r="AV70" s="37" t="s">
        <v>219</v>
      </c>
      <c r="AW70" s="37">
        <v>10</v>
      </c>
      <c r="AX70" s="30">
        <v>6232121.2800000003</v>
      </c>
      <c r="AY70" s="40" t="s">
        <v>402</v>
      </c>
    </row>
    <row r="71" spans="1:51" ht="41.25" customHeight="1" x14ac:dyDescent="0.25">
      <c r="A71" s="35" t="s">
        <v>2145</v>
      </c>
      <c r="B71" s="36">
        <v>45335</v>
      </c>
      <c r="C71" s="40">
        <v>545</v>
      </c>
      <c r="D71" s="37" t="s">
        <v>431</v>
      </c>
      <c r="E71" s="39" t="s">
        <v>2146</v>
      </c>
      <c r="F71" s="37" t="s">
        <v>431</v>
      </c>
      <c r="G71" s="37" t="s">
        <v>431</v>
      </c>
      <c r="H71" s="37" t="s">
        <v>431</v>
      </c>
      <c r="I71" s="55" t="s">
        <v>590</v>
      </c>
      <c r="J71" s="41">
        <v>11343735</v>
      </c>
      <c r="K71" s="41">
        <v>0</v>
      </c>
      <c r="L71" s="54">
        <v>0</v>
      </c>
      <c r="M71" s="54">
        <v>0</v>
      </c>
      <c r="N71" s="42">
        <v>100</v>
      </c>
      <c r="O71" s="43">
        <v>11343735</v>
      </c>
      <c r="P71" s="41"/>
      <c r="Q71" s="43">
        <v>11343735</v>
      </c>
      <c r="R71" s="41">
        <v>0</v>
      </c>
      <c r="S71" s="30">
        <v>0</v>
      </c>
      <c r="T71" s="30">
        <v>0</v>
      </c>
      <c r="U71" s="30" t="e">
        <v>#DIV/0!</v>
      </c>
      <c r="V71" s="41" t="e">
        <v>#DIV/0!</v>
      </c>
      <c r="W71" s="41" t="e">
        <v>#DIV/0!</v>
      </c>
      <c r="X71" s="41">
        <v>0</v>
      </c>
      <c r="Y71" s="41">
        <v>0</v>
      </c>
      <c r="Z71" s="41">
        <v>0</v>
      </c>
      <c r="AA71" s="41">
        <v>0</v>
      </c>
      <c r="AB71" s="41"/>
      <c r="AC71" s="41" t="e">
        <v>#DIV/0!</v>
      </c>
      <c r="AD71" s="41"/>
      <c r="AE71" s="41" t="e">
        <v>#DIV/0!</v>
      </c>
      <c r="AF71" s="41" t="e">
        <v>#DIV/0!</v>
      </c>
      <c r="AG71" s="41" t="e">
        <v>#DIV/0!</v>
      </c>
      <c r="AH71" s="36">
        <v>45371</v>
      </c>
      <c r="AI71" s="36"/>
      <c r="AJ71" s="36"/>
      <c r="AK71" s="36"/>
      <c r="AL71" s="36"/>
      <c r="AM71" s="46"/>
      <c r="AN71" s="40"/>
      <c r="AO71" s="40"/>
      <c r="AP71" s="40"/>
      <c r="AQ71" s="40"/>
      <c r="AR71" s="48"/>
      <c r="AS71" s="37"/>
      <c r="AT71" s="37"/>
      <c r="AU71" s="47"/>
      <c r="AV71" s="37"/>
      <c r="AW71" s="37">
        <v>10</v>
      </c>
      <c r="AX71" s="30">
        <v>1134373.5</v>
      </c>
      <c r="AY71" s="40" t="s">
        <v>431</v>
      </c>
    </row>
    <row r="72" spans="1:51" ht="48" customHeight="1" x14ac:dyDescent="0.25">
      <c r="A72" s="59" t="s">
        <v>2236</v>
      </c>
      <c r="B72" s="60">
        <v>45338</v>
      </c>
      <c r="C72" s="37">
        <v>545</v>
      </c>
      <c r="D72" s="35"/>
      <c r="E72" s="39" t="s">
        <v>2237</v>
      </c>
      <c r="F72" s="36"/>
      <c r="G72" s="37"/>
      <c r="H72" s="40"/>
      <c r="I72" s="64" t="s">
        <v>407</v>
      </c>
      <c r="J72" s="61">
        <v>19348243.199999999</v>
      </c>
      <c r="K72" s="41">
        <v>0</v>
      </c>
      <c r="L72" s="54">
        <v>0</v>
      </c>
      <c r="M72" s="54">
        <v>0</v>
      </c>
      <c r="N72" s="42">
        <v>100</v>
      </c>
      <c r="O72" s="43">
        <v>19348243.199999999</v>
      </c>
      <c r="P72" s="41"/>
      <c r="Q72" s="43">
        <v>19348243.199999999</v>
      </c>
      <c r="R72" s="41">
        <v>0</v>
      </c>
      <c r="S72" s="30">
        <v>0</v>
      </c>
      <c r="T72" s="30">
        <v>0</v>
      </c>
      <c r="U72" s="30" t="e">
        <v>#DIV/0!</v>
      </c>
      <c r="V72" s="41" t="e">
        <v>#DIV/0!</v>
      </c>
      <c r="W72" s="41" t="e">
        <v>#DIV/0!</v>
      </c>
      <c r="X72" s="41">
        <v>0</v>
      </c>
      <c r="Y72" s="41">
        <v>0</v>
      </c>
      <c r="Z72" s="41">
        <v>0</v>
      </c>
      <c r="AA72" s="41">
        <v>0</v>
      </c>
      <c r="AB72" s="41"/>
      <c r="AC72" s="41" t="e">
        <v>#DIV/0!</v>
      </c>
      <c r="AD72" s="41"/>
      <c r="AE72" s="41" t="e">
        <v>#DIV/0!</v>
      </c>
      <c r="AF72" s="41" t="e">
        <v>#DIV/0!</v>
      </c>
      <c r="AG72" s="41" t="e">
        <v>#DIV/0!</v>
      </c>
      <c r="AH72" s="36">
        <v>45376</v>
      </c>
      <c r="AI72" s="36"/>
      <c r="AJ72" s="36"/>
      <c r="AK72" s="36"/>
      <c r="AL72" s="36"/>
      <c r="AM72" s="46"/>
      <c r="AN72" s="40"/>
      <c r="AO72" s="40"/>
      <c r="AP72" s="40"/>
      <c r="AQ72" s="40"/>
      <c r="AR72" s="48"/>
      <c r="AS72" s="37"/>
      <c r="AT72" s="37"/>
      <c r="AU72" s="47"/>
      <c r="AV72" s="37"/>
      <c r="AW72" s="37">
        <v>10</v>
      </c>
      <c r="AX72" s="30">
        <v>1934824.32</v>
      </c>
      <c r="AY72" s="40"/>
    </row>
    <row r="73" spans="1:51" ht="48" customHeight="1" x14ac:dyDescent="0.25">
      <c r="A73" s="59" t="s">
        <v>2238</v>
      </c>
      <c r="B73" s="60">
        <v>45338</v>
      </c>
      <c r="C73" s="37">
        <v>545</v>
      </c>
      <c r="D73" s="35"/>
      <c r="E73" s="39" t="s">
        <v>2239</v>
      </c>
      <c r="F73" s="36"/>
      <c r="G73" s="37"/>
      <c r="H73" s="40"/>
      <c r="I73" s="64" t="s">
        <v>407</v>
      </c>
      <c r="J73" s="61">
        <v>18231998.399999999</v>
      </c>
      <c r="K73" s="41">
        <v>0</v>
      </c>
      <c r="L73" s="54">
        <v>0</v>
      </c>
      <c r="M73" s="54">
        <v>0</v>
      </c>
      <c r="N73" s="42">
        <v>100</v>
      </c>
      <c r="O73" s="43">
        <v>18231998.399999999</v>
      </c>
      <c r="P73" s="41"/>
      <c r="Q73" s="43">
        <v>18231998.399999999</v>
      </c>
      <c r="R73" s="41">
        <v>0</v>
      </c>
      <c r="S73" s="30">
        <v>0</v>
      </c>
      <c r="T73" s="30">
        <v>0</v>
      </c>
      <c r="U73" s="30" t="e">
        <v>#DIV/0!</v>
      </c>
      <c r="V73" s="41" t="e">
        <v>#DIV/0!</v>
      </c>
      <c r="W73" s="41" t="e">
        <v>#DIV/0!</v>
      </c>
      <c r="X73" s="41">
        <v>0</v>
      </c>
      <c r="Y73" s="41">
        <v>0</v>
      </c>
      <c r="Z73" s="41">
        <v>0</v>
      </c>
      <c r="AA73" s="41">
        <v>0</v>
      </c>
      <c r="AB73" s="41"/>
      <c r="AC73" s="41" t="e">
        <v>#DIV/0!</v>
      </c>
      <c r="AD73" s="41"/>
      <c r="AE73" s="41" t="e">
        <v>#DIV/0!</v>
      </c>
      <c r="AF73" s="41" t="e">
        <v>#DIV/0!</v>
      </c>
      <c r="AG73" s="41" t="e">
        <v>#DIV/0!</v>
      </c>
      <c r="AH73" s="36">
        <v>45376</v>
      </c>
      <c r="AI73" s="36"/>
      <c r="AJ73" s="36"/>
      <c r="AK73" s="36"/>
      <c r="AL73" s="36"/>
      <c r="AM73" s="46"/>
      <c r="AN73" s="40"/>
      <c r="AO73" s="40"/>
      <c r="AP73" s="40"/>
      <c r="AQ73" s="40"/>
      <c r="AR73" s="48"/>
      <c r="AS73" s="37"/>
      <c r="AT73" s="37"/>
      <c r="AU73" s="47"/>
      <c r="AV73" s="37"/>
      <c r="AW73" s="37">
        <v>10</v>
      </c>
      <c r="AX73" s="30">
        <v>1823199.84</v>
      </c>
      <c r="AY73" s="40"/>
    </row>
    <row r="74" spans="1:51" ht="48" customHeight="1" x14ac:dyDescent="0.25">
      <c r="A74" s="59" t="s">
        <v>2240</v>
      </c>
      <c r="B74" s="60">
        <v>45338</v>
      </c>
      <c r="C74" s="37">
        <v>545</v>
      </c>
      <c r="D74" s="35"/>
      <c r="E74" s="39" t="s">
        <v>2241</v>
      </c>
      <c r="F74" s="36"/>
      <c r="G74" s="37"/>
      <c r="H74" s="40"/>
      <c r="I74" s="64" t="s">
        <v>407</v>
      </c>
      <c r="J74" s="61">
        <v>18604080</v>
      </c>
      <c r="K74" s="41">
        <v>0</v>
      </c>
      <c r="L74" s="54">
        <v>0</v>
      </c>
      <c r="M74" s="54">
        <v>0</v>
      </c>
      <c r="N74" s="42">
        <v>100</v>
      </c>
      <c r="O74" s="43">
        <v>18604080</v>
      </c>
      <c r="P74" s="41"/>
      <c r="Q74" s="43">
        <v>18604080</v>
      </c>
      <c r="R74" s="41">
        <v>0</v>
      </c>
      <c r="S74" s="30">
        <v>0</v>
      </c>
      <c r="T74" s="30">
        <v>0</v>
      </c>
      <c r="U74" s="30" t="e">
        <v>#DIV/0!</v>
      </c>
      <c r="V74" s="41" t="e">
        <v>#DIV/0!</v>
      </c>
      <c r="W74" s="41" t="e">
        <v>#DIV/0!</v>
      </c>
      <c r="X74" s="41">
        <v>0</v>
      </c>
      <c r="Y74" s="41">
        <v>0</v>
      </c>
      <c r="Z74" s="41">
        <v>0</v>
      </c>
      <c r="AA74" s="41">
        <v>0</v>
      </c>
      <c r="AB74" s="41"/>
      <c r="AC74" s="41" t="e">
        <v>#DIV/0!</v>
      </c>
      <c r="AD74" s="41"/>
      <c r="AE74" s="41" t="e">
        <v>#DIV/0!</v>
      </c>
      <c r="AF74" s="41" t="e">
        <v>#DIV/0!</v>
      </c>
      <c r="AG74" s="41" t="e">
        <v>#DIV/0!</v>
      </c>
      <c r="AH74" s="36">
        <v>45376</v>
      </c>
      <c r="AI74" s="36"/>
      <c r="AJ74" s="36"/>
      <c r="AK74" s="36"/>
      <c r="AL74" s="36"/>
      <c r="AM74" s="46"/>
      <c r="AN74" s="40"/>
      <c r="AO74" s="40"/>
      <c r="AP74" s="40"/>
      <c r="AQ74" s="40"/>
      <c r="AR74" s="48"/>
      <c r="AS74" s="37"/>
      <c r="AT74" s="37"/>
      <c r="AU74" s="47"/>
      <c r="AV74" s="37"/>
      <c r="AW74" s="37">
        <v>10</v>
      </c>
      <c r="AX74" s="30">
        <v>1860408</v>
      </c>
      <c r="AY74" s="40"/>
    </row>
    <row r="75" spans="1:51" ht="48" customHeight="1" x14ac:dyDescent="0.25">
      <c r="A75" s="59" t="s">
        <v>2242</v>
      </c>
      <c r="B75" s="60">
        <v>45338</v>
      </c>
      <c r="C75" s="37">
        <v>545</v>
      </c>
      <c r="D75" s="35"/>
      <c r="E75" s="39" t="s">
        <v>2243</v>
      </c>
      <c r="F75" s="36"/>
      <c r="G75" s="37"/>
      <c r="H75" s="40"/>
      <c r="I75" s="64" t="s">
        <v>407</v>
      </c>
      <c r="J75" s="61">
        <v>19720324.800000001</v>
      </c>
      <c r="K75" s="41">
        <v>0</v>
      </c>
      <c r="L75" s="54">
        <v>0</v>
      </c>
      <c r="M75" s="54">
        <v>0</v>
      </c>
      <c r="N75" s="42">
        <v>100</v>
      </c>
      <c r="O75" s="43">
        <v>19720324.800000001</v>
      </c>
      <c r="P75" s="41"/>
      <c r="Q75" s="43">
        <v>19720324.800000001</v>
      </c>
      <c r="R75" s="41">
        <v>0</v>
      </c>
      <c r="S75" s="30">
        <v>0</v>
      </c>
      <c r="T75" s="30">
        <v>0</v>
      </c>
      <c r="U75" s="30" t="e">
        <v>#DIV/0!</v>
      </c>
      <c r="V75" s="41" t="e">
        <v>#DIV/0!</v>
      </c>
      <c r="W75" s="41" t="e">
        <v>#DIV/0!</v>
      </c>
      <c r="X75" s="41">
        <v>0</v>
      </c>
      <c r="Y75" s="41">
        <v>0</v>
      </c>
      <c r="Z75" s="41">
        <v>0</v>
      </c>
      <c r="AA75" s="41">
        <v>0</v>
      </c>
      <c r="AB75" s="41"/>
      <c r="AC75" s="41" t="e">
        <v>#DIV/0!</v>
      </c>
      <c r="AD75" s="41"/>
      <c r="AE75" s="41" t="e">
        <v>#DIV/0!</v>
      </c>
      <c r="AF75" s="41" t="e">
        <v>#DIV/0!</v>
      </c>
      <c r="AG75" s="41" t="e">
        <v>#DIV/0!</v>
      </c>
      <c r="AH75" s="36">
        <v>45376</v>
      </c>
      <c r="AI75" s="36"/>
      <c r="AJ75" s="36"/>
      <c r="AK75" s="36"/>
      <c r="AL75" s="36"/>
      <c r="AM75" s="46"/>
      <c r="AN75" s="40"/>
      <c r="AO75" s="40"/>
      <c r="AP75" s="40"/>
      <c r="AQ75" s="40"/>
      <c r="AR75" s="48"/>
      <c r="AS75" s="37"/>
      <c r="AT75" s="37"/>
      <c r="AU75" s="47"/>
      <c r="AV75" s="37"/>
      <c r="AW75" s="37">
        <v>10</v>
      </c>
      <c r="AX75" s="30">
        <v>1972032.48</v>
      </c>
      <c r="AY75" s="40"/>
    </row>
    <row r="76" spans="1:51" ht="48" customHeight="1" x14ac:dyDescent="0.25">
      <c r="A76" s="59" t="s">
        <v>2244</v>
      </c>
      <c r="B76" s="60">
        <v>45338</v>
      </c>
      <c r="C76" s="37">
        <v>545</v>
      </c>
      <c r="D76" s="35"/>
      <c r="E76" s="39" t="s">
        <v>2245</v>
      </c>
      <c r="F76" s="36"/>
      <c r="G76" s="37"/>
      <c r="H76" s="40"/>
      <c r="I76" s="64" t="s">
        <v>407</v>
      </c>
      <c r="J76" s="61">
        <v>18976161.600000001</v>
      </c>
      <c r="K76" s="41">
        <v>0</v>
      </c>
      <c r="L76" s="54">
        <v>0</v>
      </c>
      <c r="M76" s="54">
        <v>0</v>
      </c>
      <c r="N76" s="42">
        <v>100</v>
      </c>
      <c r="O76" s="43">
        <v>18976161.600000001</v>
      </c>
      <c r="P76" s="41"/>
      <c r="Q76" s="43">
        <v>18976161.600000001</v>
      </c>
      <c r="R76" s="41">
        <v>0</v>
      </c>
      <c r="S76" s="30">
        <v>0</v>
      </c>
      <c r="T76" s="30">
        <v>0</v>
      </c>
      <c r="U76" s="30" t="e">
        <v>#DIV/0!</v>
      </c>
      <c r="V76" s="41" t="e">
        <v>#DIV/0!</v>
      </c>
      <c r="W76" s="41" t="e">
        <v>#DIV/0!</v>
      </c>
      <c r="X76" s="41">
        <v>0</v>
      </c>
      <c r="Y76" s="41">
        <v>0</v>
      </c>
      <c r="Z76" s="41">
        <v>0</v>
      </c>
      <c r="AA76" s="41">
        <v>0</v>
      </c>
      <c r="AB76" s="41"/>
      <c r="AC76" s="41" t="e">
        <v>#DIV/0!</v>
      </c>
      <c r="AD76" s="41"/>
      <c r="AE76" s="41" t="e">
        <v>#DIV/0!</v>
      </c>
      <c r="AF76" s="41" t="e">
        <v>#DIV/0!</v>
      </c>
      <c r="AG76" s="41" t="e">
        <v>#DIV/0!</v>
      </c>
      <c r="AH76" s="36">
        <v>45376</v>
      </c>
      <c r="AI76" s="36"/>
      <c r="AJ76" s="36"/>
      <c r="AK76" s="36"/>
      <c r="AL76" s="36"/>
      <c r="AM76" s="46"/>
      <c r="AN76" s="40"/>
      <c r="AO76" s="40"/>
      <c r="AP76" s="40"/>
      <c r="AQ76" s="40"/>
      <c r="AR76" s="48"/>
      <c r="AS76" s="37"/>
      <c r="AT76" s="37"/>
      <c r="AU76" s="47"/>
      <c r="AV76" s="37"/>
      <c r="AW76" s="37">
        <v>10</v>
      </c>
      <c r="AX76" s="30">
        <v>1897616.16</v>
      </c>
      <c r="AY76" s="40"/>
    </row>
    <row r="77" spans="1:51" ht="48" customHeight="1" x14ac:dyDescent="0.25">
      <c r="A77" s="59" t="s">
        <v>2269</v>
      </c>
      <c r="B77" s="60">
        <v>45338</v>
      </c>
      <c r="C77" s="37">
        <v>545</v>
      </c>
      <c r="D77" s="35"/>
      <c r="E77" s="39" t="s">
        <v>2270</v>
      </c>
      <c r="F77" s="36"/>
      <c r="G77" s="37"/>
      <c r="H77" s="40"/>
      <c r="I77" s="64" t="s">
        <v>407</v>
      </c>
      <c r="J77" s="61">
        <v>19348243.199999999</v>
      </c>
      <c r="K77" s="41">
        <v>0</v>
      </c>
      <c r="L77" s="54">
        <v>0</v>
      </c>
      <c r="M77" s="54">
        <v>0</v>
      </c>
      <c r="N77" s="42">
        <v>100</v>
      </c>
      <c r="O77" s="43">
        <v>19348243.199999999</v>
      </c>
      <c r="P77" s="41"/>
      <c r="Q77" s="43">
        <v>19348243.199999999</v>
      </c>
      <c r="R77" s="41">
        <v>0</v>
      </c>
      <c r="S77" s="30">
        <v>0</v>
      </c>
      <c r="T77" s="30">
        <v>0</v>
      </c>
      <c r="U77" s="30" t="e">
        <v>#DIV/0!</v>
      </c>
      <c r="V77" s="41" t="e">
        <v>#DIV/0!</v>
      </c>
      <c r="W77" s="41" t="e">
        <v>#DIV/0!</v>
      </c>
      <c r="X77" s="41">
        <v>0</v>
      </c>
      <c r="Y77" s="41">
        <v>0</v>
      </c>
      <c r="Z77" s="41">
        <v>0</v>
      </c>
      <c r="AA77" s="41">
        <v>0</v>
      </c>
      <c r="AB77" s="41"/>
      <c r="AC77" s="41" t="e">
        <v>#DIV/0!</v>
      </c>
      <c r="AD77" s="41"/>
      <c r="AE77" s="41" t="e">
        <v>#DIV/0!</v>
      </c>
      <c r="AF77" s="41" t="e">
        <v>#DIV/0!</v>
      </c>
      <c r="AG77" s="41" t="e">
        <v>#DIV/0!</v>
      </c>
      <c r="AH77" s="36">
        <v>45376</v>
      </c>
      <c r="AI77" s="36"/>
      <c r="AJ77" s="36"/>
      <c r="AK77" s="36"/>
      <c r="AL77" s="36"/>
      <c r="AM77" s="46"/>
      <c r="AN77" s="40"/>
      <c r="AO77" s="40"/>
      <c r="AP77" s="40"/>
      <c r="AQ77" s="40"/>
      <c r="AR77" s="48"/>
      <c r="AS77" s="37"/>
      <c r="AT77" s="37"/>
      <c r="AU77" s="47"/>
      <c r="AV77" s="37"/>
      <c r="AW77" s="37">
        <v>10</v>
      </c>
      <c r="AX77" s="30">
        <v>1934824.32</v>
      </c>
      <c r="AY77" s="40"/>
    </row>
    <row r="78" spans="1:51" ht="48" customHeight="1" x14ac:dyDescent="0.25">
      <c r="A78" s="59" t="s">
        <v>2271</v>
      </c>
      <c r="B78" s="60">
        <v>45338</v>
      </c>
      <c r="C78" s="37">
        <v>545</v>
      </c>
      <c r="D78" s="35"/>
      <c r="E78" s="39" t="s">
        <v>2272</v>
      </c>
      <c r="F78" s="36"/>
      <c r="G78" s="37"/>
      <c r="H78" s="40"/>
      <c r="I78" s="64" t="s">
        <v>407</v>
      </c>
      <c r="J78" s="61">
        <v>19720324.800000001</v>
      </c>
      <c r="K78" s="41">
        <v>0</v>
      </c>
      <c r="L78" s="54">
        <v>0</v>
      </c>
      <c r="M78" s="54">
        <v>0</v>
      </c>
      <c r="N78" s="42">
        <v>100</v>
      </c>
      <c r="O78" s="43">
        <v>19720324.800000001</v>
      </c>
      <c r="P78" s="41"/>
      <c r="Q78" s="43">
        <v>19720324.800000001</v>
      </c>
      <c r="R78" s="41">
        <v>0</v>
      </c>
      <c r="S78" s="30">
        <v>0</v>
      </c>
      <c r="T78" s="30">
        <v>0</v>
      </c>
      <c r="U78" s="30" t="e">
        <v>#DIV/0!</v>
      </c>
      <c r="V78" s="41" t="e">
        <v>#DIV/0!</v>
      </c>
      <c r="W78" s="41" t="e">
        <v>#DIV/0!</v>
      </c>
      <c r="X78" s="41">
        <v>0</v>
      </c>
      <c r="Y78" s="41">
        <v>0</v>
      </c>
      <c r="Z78" s="41">
        <v>0</v>
      </c>
      <c r="AA78" s="41">
        <v>0</v>
      </c>
      <c r="AB78" s="41"/>
      <c r="AC78" s="41" t="e">
        <v>#DIV/0!</v>
      </c>
      <c r="AD78" s="41"/>
      <c r="AE78" s="41" t="e">
        <v>#DIV/0!</v>
      </c>
      <c r="AF78" s="41" t="e">
        <v>#DIV/0!</v>
      </c>
      <c r="AG78" s="41" t="e">
        <v>#DIV/0!</v>
      </c>
      <c r="AH78" s="36">
        <v>45376</v>
      </c>
      <c r="AI78" s="36"/>
      <c r="AJ78" s="36"/>
      <c r="AK78" s="36"/>
      <c r="AL78" s="36"/>
      <c r="AM78" s="46"/>
      <c r="AN78" s="40"/>
      <c r="AO78" s="40"/>
      <c r="AP78" s="40"/>
      <c r="AQ78" s="40"/>
      <c r="AR78" s="48"/>
      <c r="AS78" s="37"/>
      <c r="AT78" s="37"/>
      <c r="AU78" s="47"/>
      <c r="AV78" s="37"/>
      <c r="AW78" s="37">
        <v>10</v>
      </c>
      <c r="AX78" s="30">
        <v>1972032.48</v>
      </c>
      <c r="AY78" s="40"/>
    </row>
    <row r="79" spans="1:51" ht="48" customHeight="1" x14ac:dyDescent="0.25">
      <c r="A79" s="59" t="s">
        <v>2273</v>
      </c>
      <c r="B79" s="60">
        <v>45338</v>
      </c>
      <c r="C79" s="37">
        <v>545</v>
      </c>
      <c r="D79" s="35"/>
      <c r="E79" s="39" t="s">
        <v>2274</v>
      </c>
      <c r="F79" s="36"/>
      <c r="G79" s="37"/>
      <c r="H79" s="40"/>
      <c r="I79" s="64" t="s">
        <v>407</v>
      </c>
      <c r="J79" s="61">
        <v>18231998.399999999</v>
      </c>
      <c r="K79" s="41">
        <v>0</v>
      </c>
      <c r="L79" s="54">
        <v>0</v>
      </c>
      <c r="M79" s="54">
        <v>0</v>
      </c>
      <c r="N79" s="42">
        <v>100</v>
      </c>
      <c r="O79" s="43">
        <v>18231998.399999999</v>
      </c>
      <c r="P79" s="41"/>
      <c r="Q79" s="43">
        <v>18231998.399999999</v>
      </c>
      <c r="R79" s="41">
        <v>0</v>
      </c>
      <c r="S79" s="30">
        <v>0</v>
      </c>
      <c r="T79" s="30">
        <v>0</v>
      </c>
      <c r="U79" s="30" t="e">
        <v>#DIV/0!</v>
      </c>
      <c r="V79" s="41" t="e">
        <v>#DIV/0!</v>
      </c>
      <c r="W79" s="41" t="e">
        <v>#DIV/0!</v>
      </c>
      <c r="X79" s="41">
        <v>0</v>
      </c>
      <c r="Y79" s="41">
        <v>0</v>
      </c>
      <c r="Z79" s="41">
        <v>0</v>
      </c>
      <c r="AA79" s="41">
        <v>0</v>
      </c>
      <c r="AB79" s="41"/>
      <c r="AC79" s="41" t="e">
        <v>#DIV/0!</v>
      </c>
      <c r="AD79" s="41"/>
      <c r="AE79" s="41" t="e">
        <v>#DIV/0!</v>
      </c>
      <c r="AF79" s="41" t="e">
        <v>#DIV/0!</v>
      </c>
      <c r="AG79" s="41" t="e">
        <v>#DIV/0!</v>
      </c>
      <c r="AH79" s="36">
        <v>45376</v>
      </c>
      <c r="AI79" s="36"/>
      <c r="AJ79" s="36"/>
      <c r="AK79" s="36"/>
      <c r="AL79" s="36"/>
      <c r="AM79" s="46"/>
      <c r="AN79" s="40"/>
      <c r="AO79" s="40"/>
      <c r="AP79" s="40"/>
      <c r="AQ79" s="40"/>
      <c r="AR79" s="48"/>
      <c r="AS79" s="37"/>
      <c r="AT79" s="37"/>
      <c r="AU79" s="47"/>
      <c r="AV79" s="37"/>
      <c r="AW79" s="37">
        <v>10</v>
      </c>
      <c r="AX79" s="30">
        <v>1823199.84</v>
      </c>
      <c r="AY79" s="40"/>
    </row>
    <row r="80" spans="1:51" ht="48" customHeight="1" x14ac:dyDescent="0.25">
      <c r="A80" s="59" t="s">
        <v>2275</v>
      </c>
      <c r="B80" s="60">
        <v>45338</v>
      </c>
      <c r="C80" s="40" t="s">
        <v>1847</v>
      </c>
      <c r="D80" s="35"/>
      <c r="E80" s="39" t="s">
        <v>2276</v>
      </c>
      <c r="F80" s="36">
        <v>45351</v>
      </c>
      <c r="G80" s="37" t="s">
        <v>2277</v>
      </c>
      <c r="H80" s="40" t="s">
        <v>502</v>
      </c>
      <c r="I80" s="62" t="s">
        <v>2278</v>
      </c>
      <c r="J80" s="61">
        <v>9774108.9600000009</v>
      </c>
      <c r="K80" s="41">
        <v>0</v>
      </c>
      <c r="L80" s="54">
        <v>0</v>
      </c>
      <c r="M80" s="54">
        <v>0</v>
      </c>
      <c r="N80" s="42">
        <v>0</v>
      </c>
      <c r="O80" s="43">
        <v>0</v>
      </c>
      <c r="P80" s="41">
        <v>9774108.9600000009</v>
      </c>
      <c r="Q80" s="43">
        <v>0</v>
      </c>
      <c r="R80" s="61">
        <v>9774108.9600000009</v>
      </c>
      <c r="S80" s="30">
        <v>9774108.9600000009</v>
      </c>
      <c r="T80" s="30">
        <v>9774108.9600000009</v>
      </c>
      <c r="U80" s="30">
        <v>31.900000000000002</v>
      </c>
      <c r="V80" s="41">
        <v>31.900000000000002</v>
      </c>
      <c r="W80" s="41">
        <v>888555.3600000001</v>
      </c>
      <c r="X80" s="41">
        <v>306398.40000000002</v>
      </c>
      <c r="Y80" s="41">
        <v>306398.40000000002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11</v>
      </c>
      <c r="AG80" s="41">
        <v>11</v>
      </c>
      <c r="AH80" s="36">
        <v>45371</v>
      </c>
      <c r="AI80" s="36"/>
      <c r="AJ80" s="36"/>
      <c r="AK80" s="36">
        <v>45402</v>
      </c>
      <c r="AL80" s="36"/>
      <c r="AM80" s="46"/>
      <c r="AN80" s="40" t="s">
        <v>2279</v>
      </c>
      <c r="AO80" s="40" t="s">
        <v>2280</v>
      </c>
      <c r="AP80" s="40" t="s">
        <v>2281</v>
      </c>
      <c r="AQ80" s="40" t="s">
        <v>2282</v>
      </c>
      <c r="AR80" s="48">
        <v>0</v>
      </c>
      <c r="AS80" s="37">
        <v>100</v>
      </c>
      <c r="AT80" s="37" t="s">
        <v>324</v>
      </c>
      <c r="AU80" s="52">
        <v>27854.400000000001</v>
      </c>
      <c r="AV80" s="37"/>
      <c r="AW80" s="37">
        <v>10</v>
      </c>
      <c r="AX80" s="30">
        <v>977410.89600000007</v>
      </c>
      <c r="AY80" s="40" t="s">
        <v>402</v>
      </c>
    </row>
    <row r="81" spans="1:51" ht="48" customHeight="1" x14ac:dyDescent="0.25">
      <c r="A81" s="59" t="s">
        <v>2283</v>
      </c>
      <c r="B81" s="60">
        <v>45342</v>
      </c>
      <c r="C81" s="40" t="s">
        <v>1847</v>
      </c>
      <c r="D81" s="35"/>
      <c r="E81" s="39" t="s">
        <v>2284</v>
      </c>
      <c r="F81" s="36"/>
      <c r="G81" s="37"/>
      <c r="H81" s="40"/>
      <c r="I81" s="62" t="s">
        <v>426</v>
      </c>
      <c r="J81" s="61">
        <v>9098575.1999999993</v>
      </c>
      <c r="K81" s="41">
        <v>0</v>
      </c>
      <c r="L81" s="54">
        <v>0</v>
      </c>
      <c r="M81" s="54">
        <v>0</v>
      </c>
      <c r="N81" s="42">
        <v>100</v>
      </c>
      <c r="O81" s="43">
        <v>9098575.1999999993</v>
      </c>
      <c r="P81" s="41"/>
      <c r="Q81" s="43">
        <v>9098575.1999999993</v>
      </c>
      <c r="R81" s="41">
        <v>0</v>
      </c>
      <c r="S81" s="30">
        <v>0</v>
      </c>
      <c r="T81" s="30">
        <v>0</v>
      </c>
      <c r="U81" s="30" t="e">
        <v>#DIV/0!</v>
      </c>
      <c r="V81" s="41" t="e">
        <v>#DIV/0!</v>
      </c>
      <c r="W81" s="41" t="e">
        <v>#DIV/0!</v>
      </c>
      <c r="X81" s="41">
        <v>0</v>
      </c>
      <c r="Y81" s="41">
        <v>0</v>
      </c>
      <c r="Z81" s="41">
        <v>0</v>
      </c>
      <c r="AA81" s="41">
        <v>0</v>
      </c>
      <c r="AB81" s="41"/>
      <c r="AC81" s="41" t="e">
        <v>#DIV/0!</v>
      </c>
      <c r="AD81" s="41"/>
      <c r="AE81" s="41" t="e">
        <v>#DIV/0!</v>
      </c>
      <c r="AF81" s="41" t="e">
        <v>#DIV/0!</v>
      </c>
      <c r="AG81" s="41" t="e">
        <v>#DIV/0!</v>
      </c>
      <c r="AH81" s="36">
        <v>45371</v>
      </c>
      <c r="AI81" s="36"/>
      <c r="AJ81" s="36"/>
      <c r="AK81" s="36"/>
      <c r="AL81" s="36"/>
      <c r="AM81" s="46"/>
      <c r="AN81" s="40"/>
      <c r="AO81" s="40"/>
      <c r="AP81" s="40"/>
      <c r="AQ81" s="40"/>
      <c r="AR81" s="48"/>
      <c r="AS81" s="37"/>
      <c r="AT81" s="37"/>
      <c r="AU81" s="47"/>
      <c r="AV81" s="37"/>
      <c r="AW81" s="37">
        <v>10</v>
      </c>
      <c r="AX81" s="30">
        <v>909857.52</v>
      </c>
      <c r="AY81" s="40"/>
    </row>
    <row r="82" spans="1:51" ht="48" customHeight="1" x14ac:dyDescent="0.25">
      <c r="A82" s="59" t="s">
        <v>2285</v>
      </c>
      <c r="B82" s="60">
        <v>45342</v>
      </c>
      <c r="C82" s="40" t="s">
        <v>1847</v>
      </c>
      <c r="D82" s="35"/>
      <c r="E82" s="39" t="s">
        <v>2286</v>
      </c>
      <c r="F82" s="36"/>
      <c r="G82" s="37"/>
      <c r="H82" s="40"/>
      <c r="I82" s="64" t="s">
        <v>2287</v>
      </c>
      <c r="J82" s="61">
        <v>1454472</v>
      </c>
      <c r="K82" s="41">
        <v>0</v>
      </c>
      <c r="L82" s="54">
        <v>0</v>
      </c>
      <c r="M82" s="54">
        <v>0</v>
      </c>
      <c r="N82" s="42">
        <v>100</v>
      </c>
      <c r="O82" s="43">
        <v>1454472</v>
      </c>
      <c r="P82" s="41"/>
      <c r="Q82" s="43">
        <v>1454472</v>
      </c>
      <c r="R82" s="41">
        <v>0</v>
      </c>
      <c r="S82" s="30">
        <v>0</v>
      </c>
      <c r="T82" s="30">
        <v>0</v>
      </c>
      <c r="U82" s="30" t="e">
        <v>#DIV/0!</v>
      </c>
      <c r="V82" s="41" t="e">
        <v>#DIV/0!</v>
      </c>
      <c r="W82" s="41" t="e">
        <v>#DIV/0!</v>
      </c>
      <c r="X82" s="41">
        <v>0</v>
      </c>
      <c r="Y82" s="41">
        <v>0</v>
      </c>
      <c r="Z82" s="41">
        <v>0</v>
      </c>
      <c r="AA82" s="41">
        <v>0</v>
      </c>
      <c r="AB82" s="41"/>
      <c r="AC82" s="41" t="e">
        <v>#DIV/0!</v>
      </c>
      <c r="AD82" s="41"/>
      <c r="AE82" s="41" t="e">
        <v>#DIV/0!</v>
      </c>
      <c r="AF82" s="41" t="e">
        <v>#DIV/0!</v>
      </c>
      <c r="AG82" s="41" t="e">
        <v>#DIV/0!</v>
      </c>
      <c r="AH82" s="36">
        <v>45366</v>
      </c>
      <c r="AI82" s="36"/>
      <c r="AJ82" s="36"/>
      <c r="AK82" s="36"/>
      <c r="AL82" s="36"/>
      <c r="AM82" s="46"/>
      <c r="AN82" s="40"/>
      <c r="AO82" s="40"/>
      <c r="AP82" s="40"/>
      <c r="AQ82" s="40"/>
      <c r="AR82" s="48"/>
      <c r="AS82" s="37"/>
      <c r="AT82" s="37"/>
      <c r="AU82" s="47"/>
      <c r="AV82" s="37"/>
      <c r="AW82" s="37">
        <v>10</v>
      </c>
      <c r="AX82" s="30">
        <v>145447.20000000001</v>
      </c>
      <c r="AY82" s="40"/>
    </row>
    <row r="83" spans="1:51" ht="48" customHeight="1" x14ac:dyDescent="0.25">
      <c r="A83" s="59" t="s">
        <v>2288</v>
      </c>
      <c r="B83" s="60">
        <v>45342</v>
      </c>
      <c r="C83" s="40" t="s">
        <v>1847</v>
      </c>
      <c r="D83" s="35"/>
      <c r="E83" s="39" t="s">
        <v>2289</v>
      </c>
      <c r="F83" s="36"/>
      <c r="G83" s="37"/>
      <c r="H83" s="40"/>
      <c r="I83" s="62" t="s">
        <v>447</v>
      </c>
      <c r="J83" s="61">
        <v>3615117</v>
      </c>
      <c r="K83" s="41">
        <v>0</v>
      </c>
      <c r="L83" s="54">
        <v>0</v>
      </c>
      <c r="M83" s="54">
        <v>0</v>
      </c>
      <c r="N83" s="42">
        <v>100</v>
      </c>
      <c r="O83" s="43">
        <v>3615117</v>
      </c>
      <c r="P83" s="41"/>
      <c r="Q83" s="43">
        <v>3615117</v>
      </c>
      <c r="R83" s="41">
        <v>0</v>
      </c>
      <c r="S83" s="30">
        <v>0</v>
      </c>
      <c r="T83" s="30">
        <v>0</v>
      </c>
      <c r="U83" s="30" t="e">
        <v>#DIV/0!</v>
      </c>
      <c r="V83" s="41" t="e">
        <v>#DIV/0!</v>
      </c>
      <c r="W83" s="41" t="e">
        <v>#DIV/0!</v>
      </c>
      <c r="X83" s="41">
        <v>0</v>
      </c>
      <c r="Y83" s="41">
        <v>0</v>
      </c>
      <c r="Z83" s="41">
        <v>0</v>
      </c>
      <c r="AA83" s="41">
        <v>0</v>
      </c>
      <c r="AB83" s="41"/>
      <c r="AC83" s="41" t="e">
        <v>#DIV/0!</v>
      </c>
      <c r="AD83" s="41"/>
      <c r="AE83" s="41" t="e">
        <v>#DIV/0!</v>
      </c>
      <c r="AF83" s="41" t="e">
        <v>#DIV/0!</v>
      </c>
      <c r="AG83" s="41" t="e">
        <v>#DIV/0!</v>
      </c>
      <c r="AH83" s="36">
        <v>45371</v>
      </c>
      <c r="AI83" s="36"/>
      <c r="AJ83" s="36"/>
      <c r="AK83" s="36"/>
      <c r="AL83" s="36"/>
      <c r="AM83" s="46"/>
      <c r="AN83" s="40"/>
      <c r="AO83" s="40"/>
      <c r="AP83" s="40"/>
      <c r="AQ83" s="40"/>
      <c r="AR83" s="48"/>
      <c r="AS83" s="37"/>
      <c r="AT83" s="37"/>
      <c r="AU83" s="47"/>
      <c r="AV83" s="37"/>
      <c r="AW83" s="37">
        <v>10</v>
      </c>
      <c r="AX83" s="30">
        <v>361511.7</v>
      </c>
      <c r="AY83" s="40"/>
    </row>
    <row r="84" spans="1:51" ht="39" customHeight="1" x14ac:dyDescent="0.25">
      <c r="A84" s="59" t="s">
        <v>2331</v>
      </c>
      <c r="B84" s="60">
        <v>45343</v>
      </c>
      <c r="C84" s="37">
        <v>545</v>
      </c>
      <c r="D84" s="37" t="s">
        <v>431</v>
      </c>
      <c r="E84" s="39" t="s">
        <v>2332</v>
      </c>
      <c r="F84" s="37" t="s">
        <v>431</v>
      </c>
      <c r="G84" s="37" t="s">
        <v>431</v>
      </c>
      <c r="H84" s="37" t="s">
        <v>431</v>
      </c>
      <c r="I84" s="62" t="s">
        <v>564</v>
      </c>
      <c r="J84" s="61">
        <v>40387347</v>
      </c>
      <c r="K84" s="41">
        <v>0</v>
      </c>
      <c r="L84" s="54">
        <v>0</v>
      </c>
      <c r="M84" s="54">
        <v>0</v>
      </c>
      <c r="N84" s="42">
        <v>100</v>
      </c>
      <c r="O84" s="43">
        <v>40387347</v>
      </c>
      <c r="P84" s="41"/>
      <c r="Q84" s="43">
        <v>40387347</v>
      </c>
      <c r="R84" s="41">
        <v>0</v>
      </c>
      <c r="S84" s="30">
        <v>0</v>
      </c>
      <c r="T84" s="30">
        <v>0</v>
      </c>
      <c r="U84" s="30" t="e">
        <v>#DIV/0!</v>
      </c>
      <c r="V84" s="41" t="e">
        <v>#DIV/0!</v>
      </c>
      <c r="W84" s="41" t="e">
        <v>#DIV/0!</v>
      </c>
      <c r="X84" s="41">
        <v>0</v>
      </c>
      <c r="Y84" s="41">
        <v>0</v>
      </c>
      <c r="Z84" s="41">
        <v>0</v>
      </c>
      <c r="AA84" s="41">
        <v>0</v>
      </c>
      <c r="AB84" s="41"/>
      <c r="AC84" s="41" t="e">
        <v>#DIV/0!</v>
      </c>
      <c r="AD84" s="41"/>
      <c r="AE84" s="41" t="e">
        <v>#DIV/0!</v>
      </c>
      <c r="AF84" s="41" t="e">
        <v>#DIV/0!</v>
      </c>
      <c r="AG84" s="41" t="e">
        <v>#DIV/0!</v>
      </c>
      <c r="AH84" s="36">
        <v>45382</v>
      </c>
      <c r="AI84" s="36"/>
      <c r="AJ84" s="36"/>
      <c r="AK84" s="36"/>
      <c r="AL84" s="36"/>
      <c r="AM84" s="46"/>
      <c r="AN84" s="40"/>
      <c r="AO84" s="40"/>
      <c r="AP84" s="40"/>
      <c r="AQ84" s="40"/>
      <c r="AR84" s="48"/>
      <c r="AS84" s="37"/>
      <c r="AT84" s="37"/>
      <c r="AU84" s="47"/>
      <c r="AV84" s="37"/>
      <c r="AW84" s="37">
        <v>10</v>
      </c>
      <c r="AX84" s="30">
        <v>4038734.7</v>
      </c>
      <c r="AY84" s="40" t="s">
        <v>431</v>
      </c>
    </row>
    <row r="85" spans="1:51" ht="42" customHeight="1" x14ac:dyDescent="0.25">
      <c r="A85" s="59" t="s">
        <v>2363</v>
      </c>
      <c r="B85" s="60">
        <v>45344</v>
      </c>
      <c r="C85" s="37">
        <v>545</v>
      </c>
      <c r="D85" s="35"/>
      <c r="E85" s="39" t="s">
        <v>2364</v>
      </c>
      <c r="F85" s="36"/>
      <c r="G85" s="37"/>
      <c r="H85" s="40"/>
      <c r="I85" s="62" t="s">
        <v>2365</v>
      </c>
      <c r="J85" s="61">
        <v>610782757.20000005</v>
      </c>
      <c r="K85" s="41">
        <v>0</v>
      </c>
      <c r="L85" s="54">
        <v>0</v>
      </c>
      <c r="M85" s="54">
        <v>0</v>
      </c>
      <c r="N85" s="42">
        <v>100</v>
      </c>
      <c r="O85" s="43">
        <v>610782757.20000005</v>
      </c>
      <c r="P85" s="41"/>
      <c r="Q85" s="43">
        <v>610782757.20000005</v>
      </c>
      <c r="R85" s="41">
        <v>0</v>
      </c>
      <c r="S85" s="30">
        <v>0</v>
      </c>
      <c r="T85" s="30">
        <v>0</v>
      </c>
      <c r="U85" s="30" t="e">
        <v>#DIV/0!</v>
      </c>
      <c r="V85" s="41" t="e">
        <v>#DIV/0!</v>
      </c>
      <c r="W85" s="41" t="e">
        <v>#DIV/0!</v>
      </c>
      <c r="X85" s="41">
        <v>0</v>
      </c>
      <c r="Y85" s="41">
        <v>0</v>
      </c>
      <c r="Z85" s="41">
        <v>0</v>
      </c>
      <c r="AA85" s="41">
        <v>0</v>
      </c>
      <c r="AB85" s="41"/>
      <c r="AC85" s="41" t="e">
        <v>#DIV/0!</v>
      </c>
      <c r="AD85" s="41"/>
      <c r="AE85" s="41" t="e">
        <v>#DIV/0!</v>
      </c>
      <c r="AF85" s="41" t="e">
        <v>#DIV/0!</v>
      </c>
      <c r="AG85" s="41" t="e">
        <v>#DIV/0!</v>
      </c>
      <c r="AH85" s="36">
        <v>45402</v>
      </c>
      <c r="AI85" s="36"/>
      <c r="AJ85" s="36"/>
      <c r="AK85" s="36"/>
      <c r="AL85" s="36"/>
      <c r="AM85" s="46"/>
      <c r="AN85" s="40"/>
      <c r="AO85" s="40"/>
      <c r="AP85" s="40"/>
      <c r="AQ85" s="40"/>
      <c r="AR85" s="48"/>
      <c r="AS85" s="37"/>
      <c r="AT85" s="37"/>
      <c r="AU85" s="47"/>
      <c r="AV85" s="37"/>
      <c r="AW85" s="37">
        <v>10</v>
      </c>
      <c r="AX85" s="30">
        <v>61078275.719999999</v>
      </c>
      <c r="AY85" s="40"/>
    </row>
    <row r="86" spans="1:51" ht="42" customHeight="1" x14ac:dyDescent="0.25">
      <c r="A86" s="59" t="s">
        <v>2431</v>
      </c>
      <c r="B86" s="60">
        <v>45348</v>
      </c>
      <c r="C86" s="37">
        <v>545</v>
      </c>
      <c r="D86" s="35"/>
      <c r="E86" s="39" t="s">
        <v>2432</v>
      </c>
      <c r="F86" s="36"/>
      <c r="G86" s="37"/>
      <c r="H86" s="40"/>
      <c r="I86" s="64" t="s">
        <v>2433</v>
      </c>
      <c r="J86" s="61">
        <v>91159992</v>
      </c>
      <c r="K86" s="41">
        <v>0</v>
      </c>
      <c r="L86" s="54">
        <v>0</v>
      </c>
      <c r="M86" s="54">
        <v>0</v>
      </c>
      <c r="N86" s="42">
        <v>100</v>
      </c>
      <c r="O86" s="43">
        <v>91159992</v>
      </c>
      <c r="P86" s="41"/>
      <c r="Q86" s="43">
        <v>91159992</v>
      </c>
      <c r="R86" s="41">
        <v>0</v>
      </c>
      <c r="S86" s="30">
        <v>0</v>
      </c>
      <c r="T86" s="30">
        <v>0</v>
      </c>
      <c r="U86" s="30" t="e">
        <v>#DIV/0!</v>
      </c>
      <c r="V86" s="41" t="e">
        <v>#DIV/0!</v>
      </c>
      <c r="W86" s="41" t="e">
        <v>#DIV/0!</v>
      </c>
      <c r="X86" s="41">
        <v>0</v>
      </c>
      <c r="Y86" s="41">
        <v>0</v>
      </c>
      <c r="Z86" s="41">
        <v>0</v>
      </c>
      <c r="AA86" s="41">
        <v>0</v>
      </c>
      <c r="AB86" s="41"/>
      <c r="AC86" s="41" t="e">
        <v>#DIV/0!</v>
      </c>
      <c r="AD86" s="41"/>
      <c r="AE86" s="41" t="e">
        <v>#DIV/0!</v>
      </c>
      <c r="AF86" s="41" t="e">
        <v>#DIV/0!</v>
      </c>
      <c r="AG86" s="41" t="e">
        <v>#DIV/0!</v>
      </c>
      <c r="AH86" s="36">
        <v>45397</v>
      </c>
      <c r="AI86" s="36"/>
      <c r="AJ86" s="36"/>
      <c r="AK86" s="36"/>
      <c r="AL86" s="36"/>
      <c r="AM86" s="46"/>
      <c r="AN86" s="40"/>
      <c r="AO86" s="40"/>
      <c r="AP86" s="40"/>
      <c r="AQ86" s="40"/>
      <c r="AR86" s="48"/>
      <c r="AS86" s="37"/>
      <c r="AT86" s="37"/>
      <c r="AU86" s="47"/>
      <c r="AV86" s="37"/>
      <c r="AW86" s="37">
        <v>10</v>
      </c>
      <c r="AX86" s="30">
        <v>9115999.1999999993</v>
      </c>
      <c r="AY86" s="40"/>
    </row>
    <row r="87" spans="1:51" ht="42" customHeight="1" x14ac:dyDescent="0.25">
      <c r="A87" s="59" t="s">
        <v>2434</v>
      </c>
      <c r="B87" s="60">
        <v>45348</v>
      </c>
      <c r="C87" s="37">
        <v>545</v>
      </c>
      <c r="D87" s="35"/>
      <c r="E87" s="39" t="s">
        <v>2435</v>
      </c>
      <c r="F87" s="36"/>
      <c r="G87" s="37"/>
      <c r="H87" s="40"/>
      <c r="I87" s="64" t="s">
        <v>2433</v>
      </c>
      <c r="J87" s="61">
        <v>90787910.400000006</v>
      </c>
      <c r="K87" s="41">
        <v>0</v>
      </c>
      <c r="L87" s="54">
        <v>0</v>
      </c>
      <c r="M87" s="54">
        <v>0</v>
      </c>
      <c r="N87" s="42">
        <v>100</v>
      </c>
      <c r="O87" s="43">
        <v>90787910.400000006</v>
      </c>
      <c r="P87" s="41"/>
      <c r="Q87" s="43">
        <v>90787910.400000006</v>
      </c>
      <c r="R87" s="41">
        <v>0</v>
      </c>
      <c r="S87" s="30">
        <v>0</v>
      </c>
      <c r="T87" s="30">
        <v>0</v>
      </c>
      <c r="U87" s="30" t="e">
        <v>#DIV/0!</v>
      </c>
      <c r="V87" s="41" t="e">
        <v>#DIV/0!</v>
      </c>
      <c r="W87" s="41" t="e">
        <v>#DIV/0!</v>
      </c>
      <c r="X87" s="41">
        <v>0</v>
      </c>
      <c r="Y87" s="41">
        <v>0</v>
      </c>
      <c r="Z87" s="41">
        <v>0</v>
      </c>
      <c r="AA87" s="41">
        <v>0</v>
      </c>
      <c r="AB87" s="41"/>
      <c r="AC87" s="41" t="e">
        <v>#DIV/0!</v>
      </c>
      <c r="AD87" s="41"/>
      <c r="AE87" s="41" t="e">
        <v>#DIV/0!</v>
      </c>
      <c r="AF87" s="41" t="e">
        <v>#DIV/0!</v>
      </c>
      <c r="AG87" s="41" t="e">
        <v>#DIV/0!</v>
      </c>
      <c r="AH87" s="36">
        <v>45397</v>
      </c>
      <c r="AI87" s="36"/>
      <c r="AJ87" s="36"/>
      <c r="AK87" s="36"/>
      <c r="AL87" s="36"/>
      <c r="AM87" s="46"/>
      <c r="AN87" s="40"/>
      <c r="AO87" s="40"/>
      <c r="AP87" s="40"/>
      <c r="AQ87" s="40"/>
      <c r="AR87" s="48"/>
      <c r="AS87" s="37"/>
      <c r="AT87" s="37"/>
      <c r="AU87" s="47"/>
      <c r="AV87" s="37"/>
      <c r="AW87" s="37">
        <v>10</v>
      </c>
      <c r="AX87" s="30">
        <v>9078791.0399999991</v>
      </c>
      <c r="AY87" s="40"/>
    </row>
    <row r="88" spans="1:51" ht="42" customHeight="1" x14ac:dyDescent="0.25">
      <c r="A88" s="59" t="s">
        <v>2436</v>
      </c>
      <c r="B88" s="60">
        <v>45348</v>
      </c>
      <c r="C88" s="37">
        <v>545</v>
      </c>
      <c r="D88" s="35"/>
      <c r="E88" s="39" t="s">
        <v>2437</v>
      </c>
      <c r="F88" s="36"/>
      <c r="G88" s="37"/>
      <c r="H88" s="40"/>
      <c r="I88" s="64" t="s">
        <v>2433</v>
      </c>
      <c r="J88" s="61">
        <v>91159992</v>
      </c>
      <c r="K88" s="41">
        <v>0</v>
      </c>
      <c r="L88" s="54">
        <v>0</v>
      </c>
      <c r="M88" s="54">
        <v>0</v>
      </c>
      <c r="N88" s="42">
        <v>100</v>
      </c>
      <c r="O88" s="43">
        <v>91159992</v>
      </c>
      <c r="P88" s="41"/>
      <c r="Q88" s="43">
        <v>91159992</v>
      </c>
      <c r="R88" s="41">
        <v>0</v>
      </c>
      <c r="S88" s="30">
        <v>0</v>
      </c>
      <c r="T88" s="30">
        <v>0</v>
      </c>
      <c r="U88" s="30" t="e">
        <v>#DIV/0!</v>
      </c>
      <c r="V88" s="41" t="e">
        <v>#DIV/0!</v>
      </c>
      <c r="W88" s="41" t="e">
        <v>#DIV/0!</v>
      </c>
      <c r="X88" s="41">
        <v>0</v>
      </c>
      <c r="Y88" s="41">
        <v>0</v>
      </c>
      <c r="Z88" s="41">
        <v>0</v>
      </c>
      <c r="AA88" s="41">
        <v>0</v>
      </c>
      <c r="AB88" s="41"/>
      <c r="AC88" s="41" t="e">
        <v>#DIV/0!</v>
      </c>
      <c r="AD88" s="41"/>
      <c r="AE88" s="41" t="e">
        <v>#DIV/0!</v>
      </c>
      <c r="AF88" s="41" t="e">
        <v>#DIV/0!</v>
      </c>
      <c r="AG88" s="41" t="e">
        <v>#DIV/0!</v>
      </c>
      <c r="AH88" s="36">
        <v>45397</v>
      </c>
      <c r="AI88" s="36"/>
      <c r="AJ88" s="36"/>
      <c r="AK88" s="36"/>
      <c r="AL88" s="36"/>
      <c r="AM88" s="46"/>
      <c r="AN88" s="40"/>
      <c r="AO88" s="40"/>
      <c r="AP88" s="40"/>
      <c r="AQ88" s="40"/>
      <c r="AR88" s="48"/>
      <c r="AS88" s="37"/>
      <c r="AT88" s="37"/>
      <c r="AU88" s="47"/>
      <c r="AV88" s="37"/>
      <c r="AW88" s="37">
        <v>10</v>
      </c>
      <c r="AX88" s="30">
        <v>9115999.1999999993</v>
      </c>
      <c r="AY88" s="40"/>
    </row>
    <row r="89" spans="1:51" ht="42" customHeight="1" x14ac:dyDescent="0.25">
      <c r="A89" s="59" t="s">
        <v>2438</v>
      </c>
      <c r="B89" s="60">
        <v>45348</v>
      </c>
      <c r="C89" s="37">
        <v>545</v>
      </c>
      <c r="D89" s="35"/>
      <c r="E89" s="39" t="s">
        <v>2439</v>
      </c>
      <c r="F89" s="36"/>
      <c r="G89" s="37"/>
      <c r="H89" s="40"/>
      <c r="I89" s="64" t="s">
        <v>2433</v>
      </c>
      <c r="J89" s="61">
        <v>46510200</v>
      </c>
      <c r="K89" s="41">
        <v>0</v>
      </c>
      <c r="L89" s="54">
        <v>0</v>
      </c>
      <c r="M89" s="54">
        <v>0</v>
      </c>
      <c r="N89" s="42">
        <v>100</v>
      </c>
      <c r="O89" s="43">
        <v>46510200</v>
      </c>
      <c r="P89" s="41"/>
      <c r="Q89" s="43">
        <v>46510200</v>
      </c>
      <c r="R89" s="41">
        <v>0</v>
      </c>
      <c r="S89" s="30">
        <v>0</v>
      </c>
      <c r="T89" s="30">
        <v>0</v>
      </c>
      <c r="U89" s="30" t="e">
        <v>#DIV/0!</v>
      </c>
      <c r="V89" s="41" t="e">
        <v>#DIV/0!</v>
      </c>
      <c r="W89" s="41" t="e">
        <v>#DIV/0!</v>
      </c>
      <c r="X89" s="41">
        <v>0</v>
      </c>
      <c r="Y89" s="41">
        <v>0</v>
      </c>
      <c r="Z89" s="41">
        <v>0</v>
      </c>
      <c r="AA89" s="41">
        <v>0</v>
      </c>
      <c r="AB89" s="41"/>
      <c r="AC89" s="41" t="e">
        <v>#DIV/0!</v>
      </c>
      <c r="AD89" s="41"/>
      <c r="AE89" s="41" t="e">
        <v>#DIV/0!</v>
      </c>
      <c r="AF89" s="41" t="e">
        <v>#DIV/0!</v>
      </c>
      <c r="AG89" s="41" t="e">
        <v>#DIV/0!</v>
      </c>
      <c r="AH89" s="36">
        <v>45397</v>
      </c>
      <c r="AI89" s="36"/>
      <c r="AJ89" s="36"/>
      <c r="AK89" s="36"/>
      <c r="AL89" s="36"/>
      <c r="AM89" s="46"/>
      <c r="AN89" s="40"/>
      <c r="AO89" s="40"/>
      <c r="AP89" s="40"/>
      <c r="AQ89" s="40"/>
      <c r="AR89" s="48"/>
      <c r="AS89" s="37"/>
      <c r="AT89" s="37"/>
      <c r="AU89" s="47"/>
      <c r="AV89" s="37"/>
      <c r="AW89" s="37">
        <v>10</v>
      </c>
      <c r="AX89" s="30">
        <v>4651020</v>
      </c>
      <c r="AY89" s="40"/>
    </row>
    <row r="90" spans="1:51" ht="42" customHeight="1" x14ac:dyDescent="0.25">
      <c r="A90" s="59" t="s">
        <v>2440</v>
      </c>
      <c r="B90" s="60">
        <v>45348</v>
      </c>
      <c r="C90" s="37">
        <v>545</v>
      </c>
      <c r="D90" s="35"/>
      <c r="E90" s="39" t="s">
        <v>2441</v>
      </c>
      <c r="F90" s="36"/>
      <c r="G90" s="37"/>
      <c r="H90" s="40"/>
      <c r="I90" s="64" t="s">
        <v>2433</v>
      </c>
      <c r="J90" s="61">
        <v>85950849.599999994</v>
      </c>
      <c r="K90" s="41">
        <v>0</v>
      </c>
      <c r="L90" s="54">
        <v>0</v>
      </c>
      <c r="M90" s="54">
        <v>0</v>
      </c>
      <c r="N90" s="42">
        <v>100</v>
      </c>
      <c r="O90" s="43">
        <v>85950849.599999994</v>
      </c>
      <c r="P90" s="41"/>
      <c r="Q90" s="43">
        <v>85950849.599999994</v>
      </c>
      <c r="R90" s="41">
        <v>0</v>
      </c>
      <c r="S90" s="30">
        <v>0</v>
      </c>
      <c r="T90" s="30">
        <v>0</v>
      </c>
      <c r="U90" s="30" t="e">
        <v>#DIV/0!</v>
      </c>
      <c r="V90" s="41" t="e">
        <v>#DIV/0!</v>
      </c>
      <c r="W90" s="41" t="e">
        <v>#DIV/0!</v>
      </c>
      <c r="X90" s="41">
        <v>0</v>
      </c>
      <c r="Y90" s="41">
        <v>0</v>
      </c>
      <c r="Z90" s="41">
        <v>0</v>
      </c>
      <c r="AA90" s="41">
        <v>0</v>
      </c>
      <c r="AB90" s="41"/>
      <c r="AC90" s="41" t="e">
        <v>#DIV/0!</v>
      </c>
      <c r="AD90" s="41"/>
      <c r="AE90" s="41" t="e">
        <v>#DIV/0!</v>
      </c>
      <c r="AF90" s="41" t="e">
        <v>#DIV/0!</v>
      </c>
      <c r="AG90" s="41" t="e">
        <v>#DIV/0!</v>
      </c>
      <c r="AH90" s="36">
        <v>45397</v>
      </c>
      <c r="AI90" s="36"/>
      <c r="AJ90" s="36"/>
      <c r="AK90" s="36"/>
      <c r="AL90" s="36"/>
      <c r="AM90" s="46"/>
      <c r="AN90" s="40"/>
      <c r="AO90" s="40"/>
      <c r="AP90" s="40"/>
      <c r="AQ90" s="40"/>
      <c r="AR90" s="48"/>
      <c r="AS90" s="37"/>
      <c r="AT90" s="37"/>
      <c r="AU90" s="47"/>
      <c r="AV90" s="37"/>
      <c r="AW90" s="37">
        <v>10</v>
      </c>
      <c r="AX90" s="30">
        <v>8595084.9600000009</v>
      </c>
      <c r="AY90" s="40"/>
    </row>
    <row r="91" spans="1:51" ht="42" customHeight="1" x14ac:dyDescent="0.25">
      <c r="A91" s="59" t="s">
        <v>2442</v>
      </c>
      <c r="B91" s="60">
        <v>45348</v>
      </c>
      <c r="C91" s="37">
        <v>545</v>
      </c>
      <c r="D91" s="35"/>
      <c r="E91" s="39" t="s">
        <v>2443</v>
      </c>
      <c r="F91" s="36"/>
      <c r="G91" s="37"/>
      <c r="H91" s="40"/>
      <c r="I91" s="64" t="s">
        <v>407</v>
      </c>
      <c r="J91" s="61">
        <v>89299584</v>
      </c>
      <c r="K91" s="41">
        <v>0</v>
      </c>
      <c r="L91" s="54">
        <v>0</v>
      </c>
      <c r="M91" s="54">
        <v>0</v>
      </c>
      <c r="N91" s="42">
        <v>100</v>
      </c>
      <c r="O91" s="43">
        <v>89299584</v>
      </c>
      <c r="P91" s="41"/>
      <c r="Q91" s="43">
        <v>89299584</v>
      </c>
      <c r="R91" s="41">
        <v>0</v>
      </c>
      <c r="S91" s="30">
        <v>0</v>
      </c>
      <c r="T91" s="30">
        <v>0</v>
      </c>
      <c r="U91" s="30" t="e">
        <v>#DIV/0!</v>
      </c>
      <c r="V91" s="41" t="e">
        <v>#DIV/0!</v>
      </c>
      <c r="W91" s="41" t="e">
        <v>#DIV/0!</v>
      </c>
      <c r="X91" s="41">
        <v>0</v>
      </c>
      <c r="Y91" s="41">
        <v>0</v>
      </c>
      <c r="Z91" s="41">
        <v>0</v>
      </c>
      <c r="AA91" s="41">
        <v>0</v>
      </c>
      <c r="AB91" s="41"/>
      <c r="AC91" s="41" t="e">
        <v>#DIV/0!</v>
      </c>
      <c r="AD91" s="41"/>
      <c r="AE91" s="41" t="e">
        <v>#DIV/0!</v>
      </c>
      <c r="AF91" s="41" t="e">
        <v>#DIV/0!</v>
      </c>
      <c r="AG91" s="41" t="e">
        <v>#DIV/0!</v>
      </c>
      <c r="AH91" s="36">
        <v>45397</v>
      </c>
      <c r="AI91" s="36"/>
      <c r="AJ91" s="36"/>
      <c r="AK91" s="36"/>
      <c r="AL91" s="36"/>
      <c r="AM91" s="46"/>
      <c r="AN91" s="40"/>
      <c r="AO91" s="40"/>
      <c r="AP91" s="40"/>
      <c r="AQ91" s="40"/>
      <c r="AR91" s="48"/>
      <c r="AS91" s="37"/>
      <c r="AT91" s="37"/>
      <c r="AU91" s="47"/>
      <c r="AV91" s="37"/>
      <c r="AW91" s="37">
        <v>10</v>
      </c>
      <c r="AX91" s="30">
        <v>8929958.4000000004</v>
      </c>
      <c r="AY91" s="40"/>
    </row>
    <row r="92" spans="1:51" ht="42" customHeight="1" x14ac:dyDescent="0.25">
      <c r="A92" s="59" t="s">
        <v>2444</v>
      </c>
      <c r="B92" s="60">
        <v>45348</v>
      </c>
      <c r="C92" s="37">
        <v>545</v>
      </c>
      <c r="D92" s="35"/>
      <c r="E92" s="39" t="s">
        <v>2445</v>
      </c>
      <c r="F92" s="36"/>
      <c r="G92" s="37"/>
      <c r="H92" s="40"/>
      <c r="I92" s="64" t="s">
        <v>407</v>
      </c>
      <c r="J92" s="61">
        <v>93764563.200000003</v>
      </c>
      <c r="K92" s="41">
        <v>0</v>
      </c>
      <c r="L92" s="54">
        <v>0</v>
      </c>
      <c r="M92" s="54">
        <v>0</v>
      </c>
      <c r="N92" s="42">
        <v>100</v>
      </c>
      <c r="O92" s="43">
        <v>93764563.200000003</v>
      </c>
      <c r="P92" s="41"/>
      <c r="Q92" s="43">
        <v>93764563.200000003</v>
      </c>
      <c r="R92" s="41">
        <v>0</v>
      </c>
      <c r="S92" s="30">
        <v>0</v>
      </c>
      <c r="T92" s="30">
        <v>0</v>
      </c>
      <c r="U92" s="30" t="e">
        <v>#DIV/0!</v>
      </c>
      <c r="V92" s="41" t="e">
        <v>#DIV/0!</v>
      </c>
      <c r="W92" s="41" t="e">
        <v>#DIV/0!</v>
      </c>
      <c r="X92" s="41">
        <v>0</v>
      </c>
      <c r="Y92" s="41">
        <v>0</v>
      </c>
      <c r="Z92" s="41">
        <v>0</v>
      </c>
      <c r="AA92" s="41">
        <v>0</v>
      </c>
      <c r="AB92" s="41"/>
      <c r="AC92" s="41" t="e">
        <v>#DIV/0!</v>
      </c>
      <c r="AD92" s="41"/>
      <c r="AE92" s="41" t="e">
        <v>#DIV/0!</v>
      </c>
      <c r="AF92" s="41" t="e">
        <v>#DIV/0!</v>
      </c>
      <c r="AG92" s="41" t="e">
        <v>#DIV/0!</v>
      </c>
      <c r="AH92" s="36">
        <v>45397</v>
      </c>
      <c r="AI92" s="36"/>
      <c r="AJ92" s="36"/>
      <c r="AK92" s="36"/>
      <c r="AL92" s="36"/>
      <c r="AM92" s="46"/>
      <c r="AN92" s="40"/>
      <c r="AO92" s="40"/>
      <c r="AP92" s="40"/>
      <c r="AQ92" s="40"/>
      <c r="AR92" s="48"/>
      <c r="AS92" s="37"/>
      <c r="AT92" s="37"/>
      <c r="AU92" s="47"/>
      <c r="AV92" s="37"/>
      <c r="AW92" s="37">
        <v>10</v>
      </c>
      <c r="AX92" s="30">
        <v>9376456.3200000003</v>
      </c>
      <c r="AY92" s="40"/>
    </row>
    <row r="93" spans="1:51" ht="42" customHeight="1" x14ac:dyDescent="0.25">
      <c r="A93" s="59" t="s">
        <v>2446</v>
      </c>
      <c r="B93" s="60">
        <v>45348</v>
      </c>
      <c r="C93" s="37">
        <v>545</v>
      </c>
      <c r="D93" s="35"/>
      <c r="E93" s="39" t="s">
        <v>2447</v>
      </c>
      <c r="F93" s="36"/>
      <c r="G93" s="37"/>
      <c r="H93" s="40"/>
      <c r="I93" s="64" t="s">
        <v>407</v>
      </c>
      <c r="J93" s="61">
        <v>93020400</v>
      </c>
      <c r="K93" s="41">
        <v>0</v>
      </c>
      <c r="L93" s="54">
        <v>0</v>
      </c>
      <c r="M93" s="54">
        <v>0</v>
      </c>
      <c r="N93" s="42">
        <v>100</v>
      </c>
      <c r="O93" s="43">
        <v>93020400</v>
      </c>
      <c r="P93" s="41"/>
      <c r="Q93" s="43">
        <v>93020400</v>
      </c>
      <c r="R93" s="41">
        <v>0</v>
      </c>
      <c r="S93" s="30">
        <v>0</v>
      </c>
      <c r="T93" s="30">
        <v>0</v>
      </c>
      <c r="U93" s="30" t="e">
        <v>#DIV/0!</v>
      </c>
      <c r="V93" s="41" t="e">
        <v>#DIV/0!</v>
      </c>
      <c r="W93" s="41" t="e">
        <v>#DIV/0!</v>
      </c>
      <c r="X93" s="41">
        <v>0</v>
      </c>
      <c r="Y93" s="41">
        <v>0</v>
      </c>
      <c r="Z93" s="41">
        <v>0</v>
      </c>
      <c r="AA93" s="41">
        <v>0</v>
      </c>
      <c r="AB93" s="41"/>
      <c r="AC93" s="41" t="e">
        <v>#DIV/0!</v>
      </c>
      <c r="AD93" s="41"/>
      <c r="AE93" s="41" t="e">
        <v>#DIV/0!</v>
      </c>
      <c r="AF93" s="41" t="e">
        <v>#DIV/0!</v>
      </c>
      <c r="AG93" s="41" t="e">
        <v>#DIV/0!</v>
      </c>
      <c r="AH93" s="36">
        <v>45397</v>
      </c>
      <c r="AI93" s="36"/>
      <c r="AJ93" s="36"/>
      <c r="AK93" s="36"/>
      <c r="AL93" s="36"/>
      <c r="AM93" s="46"/>
      <c r="AN93" s="40"/>
      <c r="AO93" s="40"/>
      <c r="AP93" s="40"/>
      <c r="AQ93" s="40"/>
      <c r="AR93" s="48"/>
      <c r="AS93" s="37"/>
      <c r="AT93" s="37"/>
      <c r="AU93" s="47"/>
      <c r="AV93" s="37"/>
      <c r="AW93" s="37">
        <v>10</v>
      </c>
      <c r="AX93" s="30">
        <v>9302040</v>
      </c>
      <c r="AY93" s="40"/>
    </row>
    <row r="94" spans="1:51" ht="42.75" customHeight="1" x14ac:dyDescent="0.25">
      <c r="A94" s="59" t="s">
        <v>2500</v>
      </c>
      <c r="B94" s="60">
        <v>45350</v>
      </c>
      <c r="C94" s="37">
        <v>545</v>
      </c>
      <c r="D94" s="35"/>
      <c r="E94" s="39" t="s">
        <v>2501</v>
      </c>
      <c r="F94" s="36"/>
      <c r="G94" s="37"/>
      <c r="H94" s="40"/>
      <c r="I94" s="62" t="s">
        <v>348</v>
      </c>
      <c r="J94" s="61">
        <v>234422920.80000001</v>
      </c>
      <c r="K94" s="41">
        <v>0</v>
      </c>
      <c r="L94" s="54">
        <v>0</v>
      </c>
      <c r="M94" s="54">
        <v>0</v>
      </c>
      <c r="N94" s="42">
        <v>100</v>
      </c>
      <c r="O94" s="43">
        <v>234422920.80000001</v>
      </c>
      <c r="P94" s="41"/>
      <c r="Q94" s="43">
        <v>234422920.80000001</v>
      </c>
      <c r="R94" s="41">
        <v>0</v>
      </c>
      <c r="S94" s="30">
        <v>0</v>
      </c>
      <c r="T94" s="30">
        <v>0</v>
      </c>
      <c r="U94" s="30" t="e">
        <v>#DIV/0!</v>
      </c>
      <c r="V94" s="41" t="e">
        <v>#DIV/0!</v>
      </c>
      <c r="W94" s="41" t="e">
        <v>#DIV/0!</v>
      </c>
      <c r="X94" s="41">
        <v>0</v>
      </c>
      <c r="Y94" s="41">
        <v>0</v>
      </c>
      <c r="Z94" s="41">
        <v>0</v>
      </c>
      <c r="AA94" s="41">
        <v>0</v>
      </c>
      <c r="AB94" s="41"/>
      <c r="AC94" s="41" t="e">
        <v>#DIV/0!</v>
      </c>
      <c r="AD94" s="41"/>
      <c r="AE94" s="41" t="e">
        <v>#DIV/0!</v>
      </c>
      <c r="AF94" s="41" t="e">
        <v>#DIV/0!</v>
      </c>
      <c r="AG94" s="41" t="e">
        <v>#DIV/0!</v>
      </c>
      <c r="AH94" s="60">
        <v>45397</v>
      </c>
      <c r="AI94" s="36"/>
      <c r="AJ94" s="36"/>
      <c r="AK94" s="36"/>
      <c r="AL94" s="36"/>
      <c r="AM94" s="46"/>
      <c r="AN94" s="40"/>
      <c r="AO94" s="40"/>
      <c r="AP94" s="40"/>
      <c r="AQ94" s="40"/>
      <c r="AR94" s="48"/>
      <c r="AS94" s="37"/>
      <c r="AT94" s="37"/>
      <c r="AU94" s="47"/>
      <c r="AV94" s="37"/>
      <c r="AW94" s="37">
        <v>10</v>
      </c>
      <c r="AX94" s="30">
        <v>23442292.079999998</v>
      </c>
      <c r="AY94" s="40"/>
    </row>
    <row r="95" spans="1:51" ht="43.5" customHeight="1" x14ac:dyDescent="0.25">
      <c r="A95" s="59" t="s">
        <v>2519</v>
      </c>
      <c r="B95" s="60">
        <v>45350</v>
      </c>
      <c r="C95" s="37">
        <v>545</v>
      </c>
      <c r="D95" s="35"/>
      <c r="E95" s="40"/>
      <c r="F95" s="36"/>
      <c r="G95" s="37"/>
      <c r="H95" s="40"/>
      <c r="I95" s="62" t="s">
        <v>2287</v>
      </c>
      <c r="J95" s="61" t="s">
        <v>2520</v>
      </c>
      <c r="K95" s="41">
        <v>0</v>
      </c>
      <c r="L95" s="54">
        <v>0</v>
      </c>
      <c r="M95" s="54">
        <v>0</v>
      </c>
      <c r="N95" s="42" t="e">
        <v>#VALUE!</v>
      </c>
      <c r="O95" s="43" t="e">
        <v>#VALUE!</v>
      </c>
      <c r="P95" s="41"/>
      <c r="Q95" s="43" t="e">
        <v>#VALUE!</v>
      </c>
      <c r="R95" s="41">
        <v>0</v>
      </c>
      <c r="S95" s="30">
        <v>0</v>
      </c>
      <c r="T95" s="30">
        <v>0</v>
      </c>
      <c r="U95" s="30" t="e">
        <v>#DIV/0!</v>
      </c>
      <c r="V95" s="41" t="e">
        <v>#DIV/0!</v>
      </c>
      <c r="W95" s="41" t="e">
        <v>#DIV/0!</v>
      </c>
      <c r="X95" s="41">
        <v>0</v>
      </c>
      <c r="Y95" s="41">
        <v>0</v>
      </c>
      <c r="Z95" s="41">
        <v>0</v>
      </c>
      <c r="AA95" s="41">
        <v>0</v>
      </c>
      <c r="AB95" s="41"/>
      <c r="AC95" s="41" t="e">
        <v>#DIV/0!</v>
      </c>
      <c r="AD95" s="41"/>
      <c r="AE95" s="41" t="e">
        <v>#DIV/0!</v>
      </c>
      <c r="AF95" s="41" t="e">
        <v>#DIV/0!</v>
      </c>
      <c r="AG95" s="41" t="e">
        <v>#DIV/0!</v>
      </c>
      <c r="AH95" s="36">
        <v>45366</v>
      </c>
      <c r="AI95" s="36"/>
      <c r="AJ95" s="36"/>
      <c r="AK95" s="36"/>
      <c r="AL95" s="36"/>
      <c r="AM95" s="46"/>
      <c r="AN95" s="40"/>
      <c r="AO95" s="40"/>
      <c r="AP95" s="40"/>
      <c r="AQ95" s="40"/>
      <c r="AR95" s="48"/>
      <c r="AS95" s="37"/>
      <c r="AT95" s="37"/>
      <c r="AU95" s="47"/>
      <c r="AV95" s="37"/>
      <c r="AW95" s="37">
        <v>10</v>
      </c>
      <c r="AX95" s="30" t="e">
        <v>#VALUE!</v>
      </c>
      <c r="AY95" s="40"/>
    </row>
    <row r="96" spans="1:51" ht="43.5" customHeight="1" x14ac:dyDescent="0.25">
      <c r="A96" s="59" t="s">
        <v>2526</v>
      </c>
      <c r="B96" s="60">
        <v>45352</v>
      </c>
      <c r="C96" s="37">
        <v>545</v>
      </c>
      <c r="D96" s="35"/>
      <c r="E96" s="40"/>
      <c r="F96" s="36"/>
      <c r="G96" s="37"/>
      <c r="H96" s="40"/>
      <c r="I96" s="70" t="s">
        <v>2527</v>
      </c>
      <c r="J96" s="61">
        <v>183077904.24000001</v>
      </c>
      <c r="K96" s="41">
        <v>0</v>
      </c>
      <c r="L96" s="54">
        <v>0</v>
      </c>
      <c r="M96" s="54">
        <v>0</v>
      </c>
      <c r="N96" s="42">
        <v>100</v>
      </c>
      <c r="O96" s="43">
        <v>183077904.24000001</v>
      </c>
      <c r="P96" s="41"/>
      <c r="Q96" s="43">
        <v>183077904.24000001</v>
      </c>
      <c r="R96" s="41">
        <v>0</v>
      </c>
      <c r="S96" s="30">
        <v>0</v>
      </c>
      <c r="T96" s="30">
        <v>0</v>
      </c>
      <c r="U96" s="30" t="e">
        <v>#DIV/0!</v>
      </c>
      <c r="V96" s="41" t="e">
        <v>#DIV/0!</v>
      </c>
      <c r="W96" s="41" t="e">
        <v>#DIV/0!</v>
      </c>
      <c r="X96" s="41">
        <v>0</v>
      </c>
      <c r="Y96" s="41">
        <v>0</v>
      </c>
      <c r="Z96" s="41">
        <v>0</v>
      </c>
      <c r="AA96" s="41">
        <v>0</v>
      </c>
      <c r="AB96" s="41"/>
      <c r="AC96" s="41" t="e">
        <v>#DIV/0!</v>
      </c>
      <c r="AD96" s="41"/>
      <c r="AE96" s="41" t="e">
        <v>#DIV/0!</v>
      </c>
      <c r="AF96" s="41" t="e">
        <v>#DIV/0!</v>
      </c>
      <c r="AG96" s="41" t="e">
        <v>#DIV/0!</v>
      </c>
      <c r="AH96" s="36">
        <v>45412</v>
      </c>
      <c r="AI96" s="36">
        <v>45504</v>
      </c>
      <c r="AJ96" s="36"/>
      <c r="AK96" s="36"/>
      <c r="AL96" s="36"/>
      <c r="AM96" s="46"/>
      <c r="AN96" s="40"/>
      <c r="AO96" s="40"/>
      <c r="AP96" s="40"/>
      <c r="AQ96" s="40"/>
      <c r="AR96" s="48"/>
      <c r="AS96" s="37"/>
      <c r="AT96" s="37"/>
      <c r="AU96" s="47"/>
      <c r="AV96" s="37"/>
      <c r="AW96" s="37">
        <v>10</v>
      </c>
      <c r="AX96" s="30">
        <v>18307790.424000002</v>
      </c>
      <c r="AY96" s="40"/>
    </row>
    <row r="97" spans="1:51" ht="43.5" customHeight="1" x14ac:dyDescent="0.25">
      <c r="A97" s="59" t="s">
        <v>2568</v>
      </c>
      <c r="B97" s="60">
        <v>45355</v>
      </c>
      <c r="C97" s="37" t="s">
        <v>1847</v>
      </c>
      <c r="D97" s="35"/>
      <c r="E97" s="40"/>
      <c r="F97" s="36"/>
      <c r="G97" s="37"/>
      <c r="H97" s="40"/>
      <c r="I97" s="62" t="s">
        <v>2569</v>
      </c>
      <c r="J97" s="61">
        <v>3677355</v>
      </c>
      <c r="K97" s="41">
        <v>0</v>
      </c>
      <c r="L97" s="54">
        <v>0</v>
      </c>
      <c r="M97" s="54">
        <v>0</v>
      </c>
      <c r="N97" s="42">
        <v>100</v>
      </c>
      <c r="O97" s="43">
        <v>3677355</v>
      </c>
      <c r="P97" s="41"/>
      <c r="Q97" s="43">
        <v>3677355</v>
      </c>
      <c r="R97" s="41">
        <v>0</v>
      </c>
      <c r="S97" s="30">
        <v>0</v>
      </c>
      <c r="T97" s="30">
        <v>0</v>
      </c>
      <c r="U97" s="30" t="e">
        <v>#DIV/0!</v>
      </c>
      <c r="V97" s="41" t="e">
        <v>#DIV/0!</v>
      </c>
      <c r="W97" s="41" t="e">
        <v>#DIV/0!</v>
      </c>
      <c r="X97" s="41">
        <v>0</v>
      </c>
      <c r="Y97" s="41">
        <v>0</v>
      </c>
      <c r="Z97" s="41">
        <v>0</v>
      </c>
      <c r="AA97" s="41">
        <v>0</v>
      </c>
      <c r="AB97" s="41"/>
      <c r="AC97" s="41" t="e">
        <v>#DIV/0!</v>
      </c>
      <c r="AD97" s="41"/>
      <c r="AE97" s="41" t="e">
        <v>#DIV/0!</v>
      </c>
      <c r="AF97" s="41" t="e">
        <v>#DIV/0!</v>
      </c>
      <c r="AG97" s="41" t="e">
        <v>#DIV/0!</v>
      </c>
      <c r="AH97" s="36">
        <v>45383</v>
      </c>
      <c r="AI97" s="36"/>
      <c r="AJ97" s="36"/>
      <c r="AK97" s="36"/>
      <c r="AL97" s="36"/>
      <c r="AM97" s="46"/>
      <c r="AN97" s="40"/>
      <c r="AO97" s="40"/>
      <c r="AP97" s="40"/>
      <c r="AQ97" s="40"/>
      <c r="AR97" s="48"/>
      <c r="AS97" s="37"/>
      <c r="AT97" s="37"/>
      <c r="AU97" s="47"/>
      <c r="AV97" s="37"/>
      <c r="AW97" s="37">
        <v>10</v>
      </c>
      <c r="AX97" s="30">
        <v>367735.5</v>
      </c>
      <c r="AY97" s="40"/>
    </row>
    <row r="98" spans="1:51" ht="43.5" customHeight="1" x14ac:dyDescent="0.25">
      <c r="A98" s="59" t="s">
        <v>2570</v>
      </c>
      <c r="B98" s="60">
        <v>45355</v>
      </c>
      <c r="C98" s="37" t="s">
        <v>1847</v>
      </c>
      <c r="D98" s="35"/>
      <c r="E98" s="40"/>
      <c r="F98" s="36"/>
      <c r="G98" s="37"/>
      <c r="H98" s="40"/>
      <c r="I98" s="62" t="s">
        <v>2571</v>
      </c>
      <c r="J98" s="61">
        <v>22449571.199999999</v>
      </c>
      <c r="K98" s="41">
        <v>0</v>
      </c>
      <c r="L98" s="54">
        <v>0</v>
      </c>
      <c r="M98" s="54">
        <v>0</v>
      </c>
      <c r="N98" s="42">
        <v>100</v>
      </c>
      <c r="O98" s="43">
        <v>22449571.199999999</v>
      </c>
      <c r="P98" s="41"/>
      <c r="Q98" s="43">
        <v>22449571.199999999</v>
      </c>
      <c r="R98" s="41">
        <v>0</v>
      </c>
      <c r="S98" s="30">
        <v>0</v>
      </c>
      <c r="T98" s="30">
        <v>0</v>
      </c>
      <c r="U98" s="30" t="e">
        <v>#DIV/0!</v>
      </c>
      <c r="V98" s="41" t="e">
        <v>#DIV/0!</v>
      </c>
      <c r="W98" s="41" t="e">
        <v>#DIV/0!</v>
      </c>
      <c r="X98" s="41">
        <v>0</v>
      </c>
      <c r="Y98" s="41">
        <v>0</v>
      </c>
      <c r="Z98" s="41">
        <v>0</v>
      </c>
      <c r="AA98" s="41">
        <v>0</v>
      </c>
      <c r="AB98" s="41"/>
      <c r="AC98" s="41" t="e">
        <v>#DIV/0!</v>
      </c>
      <c r="AD98" s="41"/>
      <c r="AE98" s="41" t="e">
        <v>#DIV/0!</v>
      </c>
      <c r="AF98" s="41" t="e">
        <v>#DIV/0!</v>
      </c>
      <c r="AG98" s="41" t="e">
        <v>#DIV/0!</v>
      </c>
      <c r="AH98" s="36">
        <v>45383</v>
      </c>
      <c r="AI98" s="36"/>
      <c r="AJ98" s="36"/>
      <c r="AK98" s="36"/>
      <c r="AL98" s="36"/>
      <c r="AM98" s="46"/>
      <c r="AN98" s="40"/>
      <c r="AO98" s="40"/>
      <c r="AP98" s="40"/>
      <c r="AQ98" s="40"/>
      <c r="AR98" s="48"/>
      <c r="AS98" s="37"/>
      <c r="AT98" s="37"/>
      <c r="AU98" s="47"/>
      <c r="AV98" s="37"/>
      <c r="AW98" s="37">
        <v>10</v>
      </c>
      <c r="AX98" s="30">
        <v>2244957.12</v>
      </c>
      <c r="AY98" s="40"/>
    </row>
    <row r="99" spans="1:51" ht="43.5" customHeight="1" x14ac:dyDescent="0.25">
      <c r="A99" s="59" t="s">
        <v>2572</v>
      </c>
      <c r="B99" s="60">
        <v>45357</v>
      </c>
      <c r="C99" s="37">
        <v>545</v>
      </c>
      <c r="D99" s="35"/>
      <c r="E99" s="40"/>
      <c r="F99" s="36"/>
      <c r="G99" s="37"/>
      <c r="H99" s="40"/>
      <c r="I99" s="64" t="s">
        <v>2573</v>
      </c>
      <c r="J99" s="61">
        <v>13553495.1</v>
      </c>
      <c r="K99" s="41">
        <v>0</v>
      </c>
      <c r="L99" s="54">
        <v>0</v>
      </c>
      <c r="M99" s="54">
        <v>0</v>
      </c>
      <c r="N99" s="42">
        <v>100</v>
      </c>
      <c r="O99" s="43">
        <v>13553495.1</v>
      </c>
      <c r="P99" s="41"/>
      <c r="Q99" s="43">
        <v>13553495.1</v>
      </c>
      <c r="R99" s="41">
        <v>0</v>
      </c>
      <c r="S99" s="30">
        <v>0</v>
      </c>
      <c r="T99" s="30">
        <v>0</v>
      </c>
      <c r="U99" s="30" t="e">
        <v>#DIV/0!</v>
      </c>
      <c r="V99" s="41" t="e">
        <v>#DIV/0!</v>
      </c>
      <c r="W99" s="41" t="e">
        <v>#DIV/0!</v>
      </c>
      <c r="X99" s="41">
        <v>0</v>
      </c>
      <c r="Y99" s="41">
        <v>0</v>
      </c>
      <c r="Z99" s="41">
        <v>0</v>
      </c>
      <c r="AA99" s="41">
        <v>0</v>
      </c>
      <c r="AB99" s="41"/>
      <c r="AC99" s="41" t="e">
        <v>#DIV/0!</v>
      </c>
      <c r="AD99" s="41"/>
      <c r="AE99" s="41" t="e">
        <v>#DIV/0!</v>
      </c>
      <c r="AF99" s="41" t="e">
        <v>#DIV/0!</v>
      </c>
      <c r="AG99" s="41" t="e">
        <v>#DIV/0!</v>
      </c>
      <c r="AH99" s="36">
        <v>45397</v>
      </c>
      <c r="AI99" s="36"/>
      <c r="AJ99" s="36"/>
      <c r="AK99" s="36"/>
      <c r="AL99" s="36"/>
      <c r="AM99" s="46"/>
      <c r="AN99" s="40"/>
      <c r="AO99" s="40"/>
      <c r="AP99" s="40"/>
      <c r="AQ99" s="40"/>
      <c r="AR99" s="48"/>
      <c r="AS99" s="37"/>
      <c r="AT99" s="37"/>
      <c r="AU99" s="47"/>
      <c r="AV99" s="37"/>
      <c r="AW99" s="37">
        <v>10</v>
      </c>
      <c r="AX99" s="30">
        <v>1355349.51</v>
      </c>
      <c r="AY99" s="40"/>
    </row>
    <row r="100" spans="1:51" ht="15.75" customHeight="1" x14ac:dyDescent="0.25">
      <c r="A100" s="59" t="s">
        <v>2594</v>
      </c>
      <c r="B100" s="60">
        <v>45358</v>
      </c>
      <c r="C100" s="37">
        <v>545</v>
      </c>
      <c r="D100" s="35"/>
      <c r="E100" s="40"/>
      <c r="F100" s="36"/>
      <c r="G100" s="37"/>
      <c r="H100" s="40"/>
      <c r="I100" s="62" t="s">
        <v>2595</v>
      </c>
      <c r="J100" s="61">
        <v>652199634.24000001</v>
      </c>
      <c r="K100" s="41">
        <v>0</v>
      </c>
      <c r="L100" s="54">
        <v>0</v>
      </c>
      <c r="M100" s="54">
        <v>0</v>
      </c>
      <c r="N100" s="42">
        <v>100</v>
      </c>
      <c r="O100" s="43">
        <v>652199634.24000001</v>
      </c>
      <c r="P100" s="41"/>
      <c r="Q100" s="43">
        <v>652199634.24000001</v>
      </c>
      <c r="R100" s="41">
        <v>0</v>
      </c>
      <c r="S100" s="30">
        <v>0</v>
      </c>
      <c r="T100" s="30">
        <v>0</v>
      </c>
      <c r="U100" s="30" t="e">
        <v>#DIV/0!</v>
      </c>
      <c r="V100" s="41" t="e">
        <v>#DIV/0!</v>
      </c>
      <c r="W100" s="41" t="e">
        <v>#DIV/0!</v>
      </c>
      <c r="X100" s="41">
        <v>0</v>
      </c>
      <c r="Y100" s="41">
        <v>0</v>
      </c>
      <c r="Z100" s="41">
        <v>0</v>
      </c>
      <c r="AA100" s="41">
        <v>0</v>
      </c>
      <c r="AB100" s="41"/>
      <c r="AC100" s="41" t="e">
        <v>#DIV/0!</v>
      </c>
      <c r="AD100" s="41"/>
      <c r="AE100" s="41" t="e">
        <v>#DIV/0!</v>
      </c>
      <c r="AF100" s="41" t="e">
        <v>#DIV/0!</v>
      </c>
      <c r="AG100" s="41" t="e">
        <v>#DIV/0!</v>
      </c>
      <c r="AH100" s="36"/>
      <c r="AI100" s="36"/>
      <c r="AJ100" s="36"/>
      <c r="AK100" s="36"/>
      <c r="AL100" s="36"/>
      <c r="AM100" s="46"/>
      <c r="AN100" s="40"/>
      <c r="AO100" s="40"/>
      <c r="AP100" s="40"/>
      <c r="AQ100" s="40"/>
      <c r="AR100" s="48"/>
      <c r="AS100" s="37"/>
      <c r="AT100" s="37"/>
      <c r="AU100" s="47"/>
      <c r="AV100" s="37"/>
      <c r="AW100" s="37">
        <v>10</v>
      </c>
      <c r="AX100" s="30">
        <v>65219963.423999995</v>
      </c>
      <c r="AY100" s="40"/>
    </row>
    <row r="101" spans="1:51" ht="15.75" customHeight="1" x14ac:dyDescent="0.25">
      <c r="A101" s="59" t="s">
        <v>2596</v>
      </c>
      <c r="B101" s="60">
        <v>45358</v>
      </c>
      <c r="C101" s="37" t="s">
        <v>1847</v>
      </c>
      <c r="D101" s="35"/>
      <c r="E101" s="40"/>
      <c r="F101" s="36"/>
      <c r="G101" s="37"/>
      <c r="H101" s="40"/>
      <c r="I101" s="62" t="s">
        <v>2597</v>
      </c>
      <c r="J101" s="61">
        <v>8200492</v>
      </c>
      <c r="K101" s="41">
        <v>0</v>
      </c>
      <c r="L101" s="54">
        <v>0</v>
      </c>
      <c r="M101" s="54">
        <v>0</v>
      </c>
      <c r="N101" s="42">
        <v>100</v>
      </c>
      <c r="O101" s="43">
        <v>8200492</v>
      </c>
      <c r="P101" s="41"/>
      <c r="Q101" s="43">
        <v>8200492</v>
      </c>
      <c r="R101" s="41">
        <v>0</v>
      </c>
      <c r="S101" s="30">
        <v>0</v>
      </c>
      <c r="T101" s="30">
        <v>0</v>
      </c>
      <c r="U101" s="30" t="e">
        <v>#DIV/0!</v>
      </c>
      <c r="V101" s="41" t="e">
        <v>#DIV/0!</v>
      </c>
      <c r="W101" s="41" t="e">
        <v>#DIV/0!</v>
      </c>
      <c r="X101" s="41">
        <v>0</v>
      </c>
      <c r="Y101" s="41">
        <v>0</v>
      </c>
      <c r="Z101" s="41">
        <v>0</v>
      </c>
      <c r="AA101" s="41">
        <v>0</v>
      </c>
      <c r="AB101" s="41"/>
      <c r="AC101" s="41" t="e">
        <v>#DIV/0!</v>
      </c>
      <c r="AD101" s="41"/>
      <c r="AE101" s="41" t="e">
        <v>#DIV/0!</v>
      </c>
      <c r="AF101" s="41" t="e">
        <v>#DIV/0!</v>
      </c>
      <c r="AG101" s="41" t="e">
        <v>#DIV/0!</v>
      </c>
      <c r="AH101" s="36"/>
      <c r="AI101" s="36"/>
      <c r="AJ101" s="36"/>
      <c r="AK101" s="36"/>
      <c r="AL101" s="36"/>
      <c r="AM101" s="46"/>
      <c r="AN101" s="40"/>
      <c r="AO101" s="40"/>
      <c r="AP101" s="40"/>
      <c r="AQ101" s="40"/>
      <c r="AR101" s="48"/>
      <c r="AS101" s="37"/>
      <c r="AT101" s="37"/>
      <c r="AU101" s="47"/>
      <c r="AV101" s="37"/>
      <c r="AW101" s="37">
        <v>10</v>
      </c>
      <c r="AX101" s="30">
        <v>820049.2</v>
      </c>
      <c r="AY101" s="40"/>
    </row>
    <row r="102" spans="1:51" x14ac:dyDescent="0.25">
      <c r="AE102" s="41">
        <v>0</v>
      </c>
    </row>
  </sheetData>
  <autoFilter ref="A2:AY6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8F03A88A-1DAB-4AFA-B7EA-493E496FF2AC}"/>
    <hyperlink ref="E4" r:id="rId2" xr:uid="{7E337EB4-CFD4-4183-83A5-28D522EEA2F5}"/>
    <hyperlink ref="E5" r:id="rId3" xr:uid="{04C5CD0E-E4E5-439F-B81F-0AB5192706DF}"/>
    <hyperlink ref="E6" r:id="rId4" xr:uid="{0878A1B4-EE44-42A3-93AC-9F2014E309C3}"/>
    <hyperlink ref="E7" r:id="rId5" xr:uid="{9D456625-8D36-48F6-B9D4-3512F4BA88DC}"/>
    <hyperlink ref="E8" r:id="rId6" xr:uid="{53E540D6-A511-4337-87D6-1926A52ECC82}"/>
    <hyperlink ref="E9" r:id="rId7" xr:uid="{2E59629B-3A8C-4E86-A025-3CD9033061B1}"/>
    <hyperlink ref="E10" r:id="rId8" xr:uid="{56C49FE7-5A6A-440E-935E-E5FCB29CF1D7}"/>
    <hyperlink ref="E11" r:id="rId9" xr:uid="{1B958D39-D8CA-4520-BE7D-FEC14D79ECF6}"/>
    <hyperlink ref="E12" r:id="rId10" xr:uid="{92F45302-DF02-4A9E-9E3B-445B1C2A3BF7}"/>
    <hyperlink ref="E13" r:id="rId11" xr:uid="{08ED0C0F-866A-4EDA-9E04-D162D4B3901E}"/>
    <hyperlink ref="E14" r:id="rId12" xr:uid="{D85347B7-1AE9-4F4C-9B1F-E6681D9AEE0C}"/>
    <hyperlink ref="E15" r:id="rId13" xr:uid="{F7982324-5B6C-4CF5-85FA-E590C52079D3}"/>
    <hyperlink ref="E16" r:id="rId14" xr:uid="{C94F8D3C-50B6-4F5F-B957-AD4062CD65F2}"/>
    <hyperlink ref="E17" r:id="rId15" xr:uid="{E66B472A-AFD2-4DD5-87BC-0388B5945BC8}"/>
    <hyperlink ref="E18" r:id="rId16" xr:uid="{1F657B3F-7BED-4312-B60F-1DFDD4BF8B86}"/>
    <hyperlink ref="E19" r:id="rId17" xr:uid="{1B5C6A6B-7E84-4366-9CC2-7A8AA006B73D}"/>
    <hyperlink ref="E20" r:id="rId18" xr:uid="{C949FF11-2E0B-491B-AACA-80633185275B}"/>
    <hyperlink ref="E21" r:id="rId19" xr:uid="{F01400E7-B024-4440-A915-052E2EEAFF2C}"/>
    <hyperlink ref="E22" r:id="rId20" xr:uid="{014CF3EA-858B-44F5-82C0-2C6C16899C23}"/>
    <hyperlink ref="E23" r:id="rId21" xr:uid="{1185A33D-A932-4071-BA43-DDA3508578B5}"/>
    <hyperlink ref="E24" r:id="rId22" xr:uid="{90A25E0F-5C2E-4E0F-8DDF-E84A1ECBF744}"/>
    <hyperlink ref="E25" r:id="rId23" xr:uid="{FE377AE2-C201-4D4C-B044-D8B504C6C64C}"/>
    <hyperlink ref="E26" r:id="rId24" xr:uid="{0ED9E6B8-1FB6-4B7F-886B-FBAFB20E9009}"/>
    <hyperlink ref="E27" r:id="rId25" xr:uid="{C5F1E813-EE20-4BF9-BEA2-8434BE1F3225}"/>
    <hyperlink ref="E28" r:id="rId26" xr:uid="{64A6C32D-3C92-4892-B45D-C0C8C5B5FBBF}"/>
    <hyperlink ref="E29" r:id="rId27" xr:uid="{AC6087EB-E72B-4FE1-ABCE-E05C7F252BAC}"/>
    <hyperlink ref="E30" r:id="rId28" xr:uid="{4B200836-C1E9-4ADD-8805-1F7C43C304BF}"/>
    <hyperlink ref="E31" r:id="rId29" xr:uid="{3FB6F5FD-5E8A-460D-949F-9CCFAC02A150}"/>
    <hyperlink ref="E32" r:id="rId30" xr:uid="{816391E6-C82B-4CBE-A40F-59431299D7EE}"/>
    <hyperlink ref="E33" r:id="rId31" xr:uid="{EEFC85E4-8CFE-4736-B1EB-89A384034A5B}"/>
    <hyperlink ref="E34" r:id="rId32" xr:uid="{A4034A01-4B8A-4EB8-B5D5-4205A520B748}"/>
    <hyperlink ref="E35" r:id="rId33" xr:uid="{F87564A8-9981-43C0-B854-19ADCDC88952}"/>
    <hyperlink ref="E36" r:id="rId34" xr:uid="{F670893A-96B6-45A0-9419-0A2BE4C9E231}"/>
    <hyperlink ref="E37" r:id="rId35" xr:uid="{6791D149-29AE-4A52-84B1-0122355BE65B}"/>
    <hyperlink ref="E39" r:id="rId36" xr:uid="{319B1EE3-1162-4A6E-8A82-1CECB2F3B07E}"/>
    <hyperlink ref="E40" r:id="rId37" xr:uid="{A4FE6F0D-FF4A-43C8-B1D3-140F53B64DF7}"/>
    <hyperlink ref="E41" r:id="rId38" xr:uid="{8227F068-9203-4926-9278-766967E0ADEA}"/>
    <hyperlink ref="E42" r:id="rId39" xr:uid="{2680CDA2-5445-4893-AC2E-15FDC36F5D08}"/>
    <hyperlink ref="E43" r:id="rId40" xr:uid="{59FF341E-759A-4BC4-BDFC-682833BD0DE7}"/>
    <hyperlink ref="E44" r:id="rId41" xr:uid="{0F0720EE-7A79-4EC3-9EB6-A05E8854A141}"/>
    <hyperlink ref="E45" r:id="rId42" xr:uid="{6FB44705-A7B9-429A-BD9F-1BE66AA74BE8}"/>
    <hyperlink ref="E46" r:id="rId43" xr:uid="{17831E39-626F-48F2-8477-04501B2BF163}"/>
    <hyperlink ref="E47" r:id="rId44" xr:uid="{B1833FE9-8C6F-490E-BC35-B0990E995FC2}"/>
    <hyperlink ref="E48" r:id="rId45" xr:uid="{AACB7E53-0742-4BBC-8906-69C204C86A27}"/>
    <hyperlink ref="E49" r:id="rId46" xr:uid="{68CBDA03-2E18-4A02-82CC-5BD3E201B02E}"/>
    <hyperlink ref="E50" r:id="rId47" xr:uid="{437E6E5C-6731-4DE6-9033-09B65C336B5A}"/>
    <hyperlink ref="E51" r:id="rId48" xr:uid="{76817DF9-E146-415E-9966-77BC32AAA49F}"/>
    <hyperlink ref="E52" r:id="rId49" xr:uid="{FB29F124-39FE-4297-9DB8-E158685406D6}"/>
    <hyperlink ref="E53" r:id="rId50" xr:uid="{92819AFC-76CB-46ED-AA82-97D0B84B7F4A}"/>
    <hyperlink ref="E54" r:id="rId51" xr:uid="{43BC4D52-D691-4161-948B-5DC909B9D07E}"/>
    <hyperlink ref="E55" r:id="rId52" xr:uid="{E2C16CA0-5614-4783-9994-F8AC0B763B64}"/>
    <hyperlink ref="E56" r:id="rId53" xr:uid="{480A1ADA-2EF0-4AE9-A8D3-9E2D9AFB0ECD}"/>
    <hyperlink ref="E57" r:id="rId54" xr:uid="{B56875B7-D217-49A7-99E3-812D496B779D}"/>
    <hyperlink ref="E58" r:id="rId55" xr:uid="{076E68F4-840C-42B0-ACA4-433C7015FAFF}"/>
    <hyperlink ref="E59" r:id="rId56" xr:uid="{EA54B8ED-9081-481C-BEF0-A674C814BE00}"/>
    <hyperlink ref="E60" r:id="rId57" xr:uid="{21955E24-5B7E-4D31-977B-7CEDA58DA067}"/>
    <hyperlink ref="E61" r:id="rId58" xr:uid="{1DC48663-7FB5-4A33-A93D-0EB7EA2F4DE0}"/>
    <hyperlink ref="E62" r:id="rId59" xr:uid="{E7763A00-12CE-41DC-A4B0-1EB070230B09}"/>
    <hyperlink ref="E63" r:id="rId60" xr:uid="{92D8D24A-19B9-4BFD-B403-24C1D88FB2F4}"/>
    <hyperlink ref="E64" r:id="rId61" xr:uid="{CBEB4E49-6286-43CB-9672-B88503FC4DDC}"/>
    <hyperlink ref="E65" r:id="rId62" xr:uid="{71507630-CFA9-4231-8567-137A23F108B8}"/>
    <hyperlink ref="E66" r:id="rId63" xr:uid="{AF23D776-E3FF-4921-A8CB-0D1724AEFBD3}"/>
    <hyperlink ref="E67" r:id="rId64" xr:uid="{02A66C78-AA11-4CCB-AC4C-B525FE5EAE3C}"/>
    <hyperlink ref="E68" r:id="rId65" xr:uid="{3919FC7F-26D8-4165-A41E-F102B7448190}"/>
    <hyperlink ref="E69" r:id="rId66" xr:uid="{F49D2C63-695D-4CC6-89FE-00C81E068C16}"/>
    <hyperlink ref="E70" r:id="rId67" xr:uid="{A0251C71-D572-4EF2-9A50-059A4B482093}"/>
    <hyperlink ref="E71" r:id="rId68" xr:uid="{A245A3D5-E402-47C8-AEAF-8F77CB3FE00B}"/>
    <hyperlink ref="E72" r:id="rId69" xr:uid="{3992FF70-2B97-4A41-938F-38247BC29B1E}"/>
    <hyperlink ref="E73" r:id="rId70" xr:uid="{1806A038-C9B0-4C67-B22A-50BF7F6670F2}"/>
    <hyperlink ref="E74" r:id="rId71" xr:uid="{41BC1E42-073D-47DD-8DF8-0BBA1425E25E}"/>
    <hyperlink ref="E75" r:id="rId72" xr:uid="{72E830B1-E785-4264-B5AC-D893588FA21B}"/>
    <hyperlink ref="E76" r:id="rId73" xr:uid="{0912388C-9F12-47BD-9AC5-1538B476AD3E}"/>
    <hyperlink ref="E77" r:id="rId74" xr:uid="{0D4EFBEE-8E59-499F-99D9-92532EE40D8C}"/>
    <hyperlink ref="E78" r:id="rId75" xr:uid="{0C4317B4-074C-41BA-A608-880D6433F0E6}"/>
    <hyperlink ref="E79" r:id="rId76" xr:uid="{B023C052-5294-4413-B1A9-35881F2F0CC1}"/>
    <hyperlink ref="E80" r:id="rId77" xr:uid="{31CC36D3-3C07-46E6-9E39-81C0DD790554}"/>
    <hyperlink ref="E81" r:id="rId78" xr:uid="{620F6588-3C06-415A-A8FA-CB26F526CE6F}"/>
    <hyperlink ref="E82" r:id="rId79" xr:uid="{01B74A2C-18CE-46A6-B91C-02D8DE1E5FAB}"/>
    <hyperlink ref="E83" r:id="rId80" xr:uid="{9DCCA8C3-DD81-4BD0-BD94-305B9048FC0C}"/>
    <hyperlink ref="E84" r:id="rId81" xr:uid="{F04F4EE3-6012-42D4-B5CC-E224783273F9}"/>
    <hyperlink ref="E85" r:id="rId82" xr:uid="{44F79A6D-749C-4269-B390-6E7772C1CFBC}"/>
    <hyperlink ref="E86" r:id="rId83" xr:uid="{9BBA7A27-728F-4BDF-996B-8C84796A119D}"/>
    <hyperlink ref="E87" r:id="rId84" xr:uid="{00DF0C2A-5A66-4CFE-8BCE-0492925EBB19}"/>
    <hyperlink ref="E88" r:id="rId85" xr:uid="{6E04C10A-0F45-4334-8ABB-D19D7799698D}"/>
    <hyperlink ref="E89" r:id="rId86" xr:uid="{3A0C9FB1-3AA2-4F33-94BF-38BE98A627FC}"/>
    <hyperlink ref="E90" r:id="rId87" xr:uid="{36851CC8-EB21-4E64-9E95-F045ED9A1853}"/>
    <hyperlink ref="E91" r:id="rId88" xr:uid="{E582C49C-3EF2-4F31-8F93-8AA9579234AE}"/>
    <hyperlink ref="E92" r:id="rId89" xr:uid="{DDC1F327-1819-44FC-B737-D373384ADA62}"/>
    <hyperlink ref="E93" r:id="rId90" xr:uid="{C06EF074-9ADF-4C88-9760-BAF052780473}"/>
    <hyperlink ref="E94" r:id="rId91" xr:uid="{5428C677-364B-49C6-BDD2-C8D5FB5741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2024-03-11T11:48:45Z</dcterms:created>
  <dcterms:modified xsi:type="dcterms:W3CDTF">2024-03-11T12:01:40Z</dcterms:modified>
</cp:coreProperties>
</file>