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4. Апрель\"/>
    </mc:Choice>
  </mc:AlternateContent>
  <xr:revisionPtr revIDLastSave="0" documentId="13_ncr:1_{C2B06224-8E7B-4B2A-B723-18F9F8074D5D}" xr6:coauthVersionLast="47" xr6:coauthVersionMax="47" xr10:uidLastSave="{00000000-0000-0000-0000-000000000000}"/>
  <bookViews>
    <workbookView xWindow="-120" yWindow="-120" windowWidth="29040" windowHeight="15840" xr2:uid="{0EA6CD3F-AAF1-45A1-B713-90C5407DAC3B}"/>
  </bookViews>
  <sheets>
    <sheet name="2024 год" sheetId="1" r:id="rId1"/>
    <sheet name="1416" sheetId="2" r:id="rId2"/>
    <sheet name="1512 вич" sheetId="4" r:id="rId3"/>
    <sheet name="1512 туб" sheetId="5" r:id="rId4"/>
    <sheet name="1688" sheetId="6" r:id="rId5"/>
    <sheet name="545" sheetId="7" r:id="rId6"/>
  </sheets>
  <definedNames>
    <definedName name="_xlnm._FilterDatabase" localSheetId="1" hidden="1">'1416'!$A$2:$AS$44</definedName>
    <definedName name="_xlnm._FilterDatabase" localSheetId="2" hidden="1">'1512 вич'!$A$2:$AS$44</definedName>
    <definedName name="_xlnm._FilterDatabase" localSheetId="3" hidden="1">'1512 туб'!$A$2:$AS$44</definedName>
    <definedName name="_xlnm._FilterDatabase" localSheetId="4" hidden="1">'1688'!$A$2:$AS$44</definedName>
    <definedName name="_xlnm._FilterDatabase" localSheetId="0" hidden="1">'2024 год'!$A$2:$AS$803</definedName>
    <definedName name="_xlnm._FilterDatabase" localSheetId="5" hidden="1">'545'!$A$2:$AS$44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03" i="1" l="1"/>
  <c r="AC803" i="1" s="1"/>
  <c r="AD803" i="1" s="1"/>
  <c r="P803" i="1"/>
  <c r="N803" i="1"/>
  <c r="L803" i="1"/>
  <c r="K803" i="1"/>
  <c r="U802" i="1"/>
  <c r="AC802" i="1" s="1"/>
  <c r="AD802" i="1" s="1"/>
  <c r="P802" i="1"/>
  <c r="Q802" i="1" s="1"/>
  <c r="N802" i="1"/>
  <c r="L802" i="1"/>
  <c r="K802" i="1"/>
  <c r="U801" i="1"/>
  <c r="AC801" i="1" s="1"/>
  <c r="AD801" i="1" s="1"/>
  <c r="P801" i="1"/>
  <c r="Q801" i="1" s="1"/>
  <c r="N801" i="1"/>
  <c r="L801" i="1"/>
  <c r="K801" i="1"/>
  <c r="U800" i="1"/>
  <c r="AC800" i="1" s="1"/>
  <c r="AD800" i="1" s="1"/>
  <c r="P800" i="1"/>
  <c r="N800" i="1"/>
  <c r="L800" i="1"/>
  <c r="K800" i="1"/>
  <c r="U799" i="1"/>
  <c r="AC799" i="1" s="1"/>
  <c r="AD799" i="1" s="1"/>
  <c r="P799" i="1"/>
  <c r="N799" i="1"/>
  <c r="L799" i="1"/>
  <c r="K799" i="1"/>
  <c r="U798" i="1"/>
  <c r="AC798" i="1" s="1"/>
  <c r="AD798" i="1" s="1"/>
  <c r="P798" i="1"/>
  <c r="Q798" i="1" s="1"/>
  <c r="N798" i="1"/>
  <c r="L798" i="1"/>
  <c r="K798" i="1"/>
  <c r="U797" i="1"/>
  <c r="AC797" i="1" s="1"/>
  <c r="AD797" i="1" s="1"/>
  <c r="P797" i="1"/>
  <c r="N797" i="1"/>
  <c r="L797" i="1"/>
  <c r="K797" i="1"/>
  <c r="U796" i="1"/>
  <c r="AC796" i="1" s="1"/>
  <c r="AD796" i="1" s="1"/>
  <c r="P796" i="1"/>
  <c r="Q796" i="1" s="1"/>
  <c r="N796" i="1"/>
  <c r="L796" i="1"/>
  <c r="K796" i="1"/>
  <c r="U795" i="1"/>
  <c r="AC795" i="1" s="1"/>
  <c r="AD795" i="1" s="1"/>
  <c r="P795" i="1"/>
  <c r="Q795" i="1" s="1"/>
  <c r="N795" i="1"/>
  <c r="L795" i="1"/>
  <c r="K795" i="1"/>
  <c r="U794" i="1"/>
  <c r="AC794" i="1" s="1"/>
  <c r="AD794" i="1" s="1"/>
  <c r="P794" i="1"/>
  <c r="Q794" i="1" s="1"/>
  <c r="N794" i="1"/>
  <c r="L794" i="1"/>
  <c r="K794" i="1"/>
  <c r="U793" i="1"/>
  <c r="AC793" i="1" s="1"/>
  <c r="AD793" i="1" s="1"/>
  <c r="P793" i="1"/>
  <c r="Q793" i="1" s="1"/>
  <c r="N793" i="1"/>
  <c r="L793" i="1"/>
  <c r="K793" i="1"/>
  <c r="U792" i="1"/>
  <c r="AC792" i="1" s="1"/>
  <c r="AD792" i="1" s="1"/>
  <c r="P792" i="1"/>
  <c r="Q792" i="1" s="1"/>
  <c r="N792" i="1"/>
  <c r="L792" i="1"/>
  <c r="K792" i="1"/>
  <c r="U791" i="1"/>
  <c r="AC791" i="1" s="1"/>
  <c r="AD791" i="1" s="1"/>
  <c r="P791" i="1"/>
  <c r="N791" i="1"/>
  <c r="L791" i="1"/>
  <c r="K791" i="1"/>
  <c r="U790" i="1"/>
  <c r="AC790" i="1" s="1"/>
  <c r="AD790" i="1" s="1"/>
  <c r="P790" i="1"/>
  <c r="N790" i="1"/>
  <c r="L790" i="1"/>
  <c r="K790" i="1"/>
  <c r="U789" i="1"/>
  <c r="AC789" i="1" s="1"/>
  <c r="AD789" i="1" s="1"/>
  <c r="P789" i="1"/>
  <c r="Q789" i="1" s="1"/>
  <c r="N789" i="1"/>
  <c r="L789" i="1"/>
  <c r="K789" i="1"/>
  <c r="U788" i="1"/>
  <c r="AC788" i="1" s="1"/>
  <c r="AD788" i="1" s="1"/>
  <c r="P788" i="1"/>
  <c r="N788" i="1"/>
  <c r="L788" i="1"/>
  <c r="K788" i="1"/>
  <c r="U787" i="1"/>
  <c r="AC787" i="1" s="1"/>
  <c r="AD787" i="1" s="1"/>
  <c r="P787" i="1"/>
  <c r="N787" i="1"/>
  <c r="L787" i="1"/>
  <c r="K787" i="1"/>
  <c r="U786" i="1"/>
  <c r="AC786" i="1" s="1"/>
  <c r="AD786" i="1" s="1"/>
  <c r="P786" i="1"/>
  <c r="Q786" i="1" s="1"/>
  <c r="N786" i="1"/>
  <c r="L786" i="1"/>
  <c r="K786" i="1"/>
  <c r="U785" i="1"/>
  <c r="AC785" i="1" s="1"/>
  <c r="AD785" i="1" s="1"/>
  <c r="P785" i="1"/>
  <c r="Q785" i="1" s="1"/>
  <c r="N785" i="1"/>
  <c r="L785" i="1"/>
  <c r="K785" i="1"/>
  <c r="U784" i="1"/>
  <c r="AC784" i="1" s="1"/>
  <c r="AD784" i="1" s="1"/>
  <c r="P784" i="1"/>
  <c r="Q784" i="1" s="1"/>
  <c r="N784" i="1"/>
  <c r="L784" i="1"/>
  <c r="K784" i="1"/>
  <c r="U783" i="1"/>
  <c r="AC783" i="1" s="1"/>
  <c r="AD783" i="1" s="1"/>
  <c r="P783" i="1"/>
  <c r="N783" i="1"/>
  <c r="L783" i="1"/>
  <c r="K783" i="1"/>
  <c r="U782" i="1"/>
  <c r="AC782" i="1" s="1"/>
  <c r="AD782" i="1" s="1"/>
  <c r="P782" i="1"/>
  <c r="N782" i="1"/>
  <c r="L782" i="1"/>
  <c r="K782" i="1"/>
  <c r="U781" i="1"/>
  <c r="AC781" i="1" s="1"/>
  <c r="AD781" i="1" s="1"/>
  <c r="P781" i="1"/>
  <c r="Q781" i="1" s="1"/>
  <c r="N781" i="1"/>
  <c r="L781" i="1"/>
  <c r="K781" i="1"/>
  <c r="U780" i="1"/>
  <c r="AC780" i="1" s="1"/>
  <c r="AD780" i="1" s="1"/>
  <c r="P780" i="1"/>
  <c r="Q780" i="1" s="1"/>
  <c r="N780" i="1"/>
  <c r="L780" i="1"/>
  <c r="K780" i="1"/>
  <c r="U779" i="1"/>
  <c r="AC779" i="1" s="1"/>
  <c r="AD779" i="1" s="1"/>
  <c r="P779" i="1"/>
  <c r="N779" i="1"/>
  <c r="L779" i="1"/>
  <c r="K779" i="1"/>
  <c r="U778" i="1"/>
  <c r="AC778" i="1" s="1"/>
  <c r="AD778" i="1" s="1"/>
  <c r="P778" i="1"/>
  <c r="N778" i="1"/>
  <c r="L778" i="1"/>
  <c r="K778" i="1"/>
  <c r="U777" i="1"/>
  <c r="AC777" i="1" s="1"/>
  <c r="AD777" i="1" s="1"/>
  <c r="P777" i="1"/>
  <c r="Q777" i="1" s="1"/>
  <c r="N777" i="1"/>
  <c r="L777" i="1"/>
  <c r="K777" i="1"/>
  <c r="U776" i="1"/>
  <c r="AC776" i="1" s="1"/>
  <c r="AD776" i="1" s="1"/>
  <c r="P776" i="1"/>
  <c r="N776" i="1"/>
  <c r="L776" i="1"/>
  <c r="K776" i="1"/>
  <c r="U775" i="1"/>
  <c r="AC775" i="1" s="1"/>
  <c r="AD775" i="1" s="1"/>
  <c r="P775" i="1"/>
  <c r="Q775" i="1" s="1"/>
  <c r="N775" i="1"/>
  <c r="L775" i="1"/>
  <c r="K775" i="1"/>
  <c r="U774" i="1"/>
  <c r="AC774" i="1" s="1"/>
  <c r="AD774" i="1" s="1"/>
  <c r="P774" i="1"/>
  <c r="Q774" i="1" s="1"/>
  <c r="N774" i="1"/>
  <c r="L774" i="1"/>
  <c r="K774" i="1"/>
  <c r="U773" i="1"/>
  <c r="AC773" i="1" s="1"/>
  <c r="AD773" i="1" s="1"/>
  <c r="P773" i="1"/>
  <c r="N773" i="1"/>
  <c r="L773" i="1"/>
  <c r="K773" i="1"/>
  <c r="U772" i="1"/>
  <c r="AC772" i="1" s="1"/>
  <c r="AD772" i="1" s="1"/>
  <c r="P772" i="1"/>
  <c r="Q772" i="1" s="1"/>
  <c r="N772" i="1"/>
  <c r="L772" i="1"/>
  <c r="K772" i="1"/>
  <c r="U771" i="1"/>
  <c r="AC771" i="1" s="1"/>
  <c r="AD771" i="1" s="1"/>
  <c r="P771" i="1"/>
  <c r="N771" i="1"/>
  <c r="L771" i="1"/>
  <c r="K771" i="1"/>
  <c r="U770" i="1"/>
  <c r="AC770" i="1" s="1"/>
  <c r="AD770" i="1" s="1"/>
  <c r="P770" i="1"/>
  <c r="Q770" i="1" s="1"/>
  <c r="N770" i="1"/>
  <c r="L770" i="1"/>
  <c r="K770" i="1"/>
  <c r="U769" i="1"/>
  <c r="AC769" i="1" s="1"/>
  <c r="AD769" i="1" s="1"/>
  <c r="P769" i="1"/>
  <c r="Q769" i="1" s="1"/>
  <c r="N769" i="1"/>
  <c r="L769" i="1"/>
  <c r="K769" i="1"/>
  <c r="U768" i="1"/>
  <c r="AC768" i="1" s="1"/>
  <c r="AD768" i="1" s="1"/>
  <c r="P768" i="1"/>
  <c r="N768" i="1"/>
  <c r="L768" i="1"/>
  <c r="K768" i="1"/>
  <c r="U767" i="1"/>
  <c r="AC767" i="1" s="1"/>
  <c r="AD767" i="1" s="1"/>
  <c r="P767" i="1"/>
  <c r="N767" i="1"/>
  <c r="L767" i="1"/>
  <c r="K767" i="1"/>
  <c r="U766" i="1"/>
  <c r="AC766" i="1" s="1"/>
  <c r="AD766" i="1" s="1"/>
  <c r="P766" i="1"/>
  <c r="Q766" i="1" s="1"/>
  <c r="N766" i="1"/>
  <c r="L766" i="1"/>
  <c r="K766" i="1"/>
  <c r="U765" i="1"/>
  <c r="AC765" i="1" s="1"/>
  <c r="AD765" i="1" s="1"/>
  <c r="P765" i="1"/>
  <c r="Q765" i="1" s="1"/>
  <c r="N765" i="1"/>
  <c r="L765" i="1"/>
  <c r="K765" i="1"/>
  <c r="U764" i="1"/>
  <c r="AC764" i="1" s="1"/>
  <c r="AD764" i="1" s="1"/>
  <c r="P764" i="1"/>
  <c r="N764" i="1"/>
  <c r="L764" i="1"/>
  <c r="K764" i="1"/>
  <c r="U763" i="1"/>
  <c r="AC763" i="1" s="1"/>
  <c r="AD763" i="1" s="1"/>
  <c r="P763" i="1"/>
  <c r="N763" i="1"/>
  <c r="L763" i="1"/>
  <c r="K763" i="1"/>
  <c r="U762" i="1"/>
  <c r="AC762" i="1" s="1"/>
  <c r="AD762" i="1" s="1"/>
  <c r="P762" i="1"/>
  <c r="Q762" i="1" s="1"/>
  <c r="N762" i="1"/>
  <c r="L762" i="1"/>
  <c r="K762" i="1"/>
  <c r="U761" i="1"/>
  <c r="AC761" i="1" s="1"/>
  <c r="AD761" i="1" s="1"/>
  <c r="P761" i="1"/>
  <c r="Q761" i="1" s="1"/>
  <c r="N761" i="1"/>
  <c r="L761" i="1"/>
  <c r="K761" i="1"/>
  <c r="U760" i="1"/>
  <c r="AC760" i="1" s="1"/>
  <c r="AD760" i="1" s="1"/>
  <c r="P760" i="1"/>
  <c r="Q760" i="1" s="1"/>
  <c r="N760" i="1"/>
  <c r="L760" i="1"/>
  <c r="K760" i="1"/>
  <c r="U759" i="1"/>
  <c r="AC759" i="1" s="1"/>
  <c r="AD759" i="1" s="1"/>
  <c r="P759" i="1"/>
  <c r="Q759" i="1" s="1"/>
  <c r="N759" i="1"/>
  <c r="L759" i="1"/>
  <c r="K759" i="1"/>
  <c r="U758" i="1"/>
  <c r="AC758" i="1" s="1"/>
  <c r="AD758" i="1" s="1"/>
  <c r="P758" i="1"/>
  <c r="Q758" i="1" s="1"/>
  <c r="N758" i="1"/>
  <c r="L758" i="1"/>
  <c r="K758" i="1"/>
  <c r="U757" i="1"/>
  <c r="AC757" i="1" s="1"/>
  <c r="AD757" i="1" s="1"/>
  <c r="P757" i="1"/>
  <c r="Q757" i="1" s="1"/>
  <c r="N757" i="1"/>
  <c r="L757" i="1"/>
  <c r="K757" i="1"/>
  <c r="U756" i="1"/>
  <c r="AC756" i="1" s="1"/>
  <c r="AD756" i="1" s="1"/>
  <c r="P756" i="1"/>
  <c r="N756" i="1"/>
  <c r="L756" i="1"/>
  <c r="K756" i="1"/>
  <c r="U755" i="1"/>
  <c r="AC755" i="1" s="1"/>
  <c r="AD755" i="1" s="1"/>
  <c r="P755" i="1"/>
  <c r="N755" i="1"/>
  <c r="L755" i="1"/>
  <c r="K755" i="1"/>
  <c r="U754" i="1"/>
  <c r="AC754" i="1" s="1"/>
  <c r="AD754" i="1" s="1"/>
  <c r="P754" i="1"/>
  <c r="Q754" i="1" s="1"/>
  <c r="N754" i="1"/>
  <c r="L754" i="1"/>
  <c r="K754" i="1"/>
  <c r="U753" i="1"/>
  <c r="AC753" i="1" s="1"/>
  <c r="AD753" i="1" s="1"/>
  <c r="P753" i="1"/>
  <c r="Q753" i="1" s="1"/>
  <c r="N753" i="1"/>
  <c r="L753" i="1"/>
  <c r="K753" i="1"/>
  <c r="U752" i="1"/>
  <c r="AC752" i="1" s="1"/>
  <c r="AD752" i="1" s="1"/>
  <c r="P752" i="1"/>
  <c r="N752" i="1"/>
  <c r="L752" i="1"/>
  <c r="K752" i="1"/>
  <c r="U751" i="1"/>
  <c r="AC751" i="1" s="1"/>
  <c r="AD751" i="1" s="1"/>
  <c r="P751" i="1"/>
  <c r="N751" i="1"/>
  <c r="L751" i="1"/>
  <c r="K751" i="1"/>
  <c r="U750" i="1"/>
  <c r="AC750" i="1" s="1"/>
  <c r="AD750" i="1" s="1"/>
  <c r="P750" i="1"/>
  <c r="Q750" i="1" s="1"/>
  <c r="N750" i="1"/>
  <c r="L750" i="1"/>
  <c r="K750" i="1"/>
  <c r="U749" i="1"/>
  <c r="AC749" i="1" s="1"/>
  <c r="AD749" i="1" s="1"/>
  <c r="P749" i="1"/>
  <c r="N749" i="1"/>
  <c r="L749" i="1"/>
  <c r="K749" i="1"/>
  <c r="U748" i="1"/>
  <c r="AC748" i="1" s="1"/>
  <c r="AD748" i="1" s="1"/>
  <c r="P748" i="1"/>
  <c r="Q748" i="1" s="1"/>
  <c r="N748" i="1"/>
  <c r="L748" i="1"/>
  <c r="K748" i="1"/>
  <c r="U747" i="1"/>
  <c r="AC747" i="1" s="1"/>
  <c r="AD747" i="1" s="1"/>
  <c r="P747" i="1"/>
  <c r="Q747" i="1" s="1"/>
  <c r="N747" i="1"/>
  <c r="L747" i="1"/>
  <c r="K747" i="1"/>
  <c r="U746" i="1"/>
  <c r="AC746" i="1" s="1"/>
  <c r="AD746" i="1" s="1"/>
  <c r="P746" i="1"/>
  <c r="N746" i="1"/>
  <c r="L746" i="1"/>
  <c r="K746" i="1"/>
  <c r="U745" i="1"/>
  <c r="AC745" i="1" s="1"/>
  <c r="AD745" i="1" s="1"/>
  <c r="P745" i="1"/>
  <c r="Q745" i="1" s="1"/>
  <c r="N745" i="1"/>
  <c r="L745" i="1"/>
  <c r="K745" i="1"/>
  <c r="U744" i="1"/>
  <c r="AC744" i="1" s="1"/>
  <c r="AD744" i="1" s="1"/>
  <c r="P744" i="1"/>
  <c r="N744" i="1"/>
  <c r="L744" i="1"/>
  <c r="K744" i="1"/>
  <c r="U743" i="1"/>
  <c r="AC743" i="1" s="1"/>
  <c r="AD743" i="1" s="1"/>
  <c r="P743" i="1"/>
  <c r="N743" i="1"/>
  <c r="L743" i="1"/>
  <c r="K743" i="1"/>
  <c r="U742" i="1"/>
  <c r="AC742" i="1" s="1"/>
  <c r="AD742" i="1" s="1"/>
  <c r="P742" i="1"/>
  <c r="N742" i="1"/>
  <c r="L742" i="1"/>
  <c r="K742" i="1"/>
  <c r="U741" i="1"/>
  <c r="AC741" i="1" s="1"/>
  <c r="AD741" i="1" s="1"/>
  <c r="P741" i="1"/>
  <c r="Q741" i="1" s="1"/>
  <c r="N741" i="1"/>
  <c r="L741" i="1"/>
  <c r="K741" i="1"/>
  <c r="U740" i="1"/>
  <c r="AC740" i="1" s="1"/>
  <c r="AD740" i="1" s="1"/>
  <c r="P740" i="1"/>
  <c r="N740" i="1"/>
  <c r="L740" i="1"/>
  <c r="K740" i="1"/>
  <c r="U739" i="1"/>
  <c r="AC739" i="1" s="1"/>
  <c r="AD739" i="1" s="1"/>
  <c r="P739" i="1"/>
  <c r="N739" i="1"/>
  <c r="L739" i="1"/>
  <c r="K739" i="1"/>
  <c r="U738" i="1"/>
  <c r="AC738" i="1" s="1"/>
  <c r="AD738" i="1" s="1"/>
  <c r="P738" i="1"/>
  <c r="Q738" i="1" s="1"/>
  <c r="N738" i="1"/>
  <c r="L738" i="1"/>
  <c r="K738" i="1"/>
  <c r="U737" i="1"/>
  <c r="AC737" i="1" s="1"/>
  <c r="AD737" i="1" s="1"/>
  <c r="P737" i="1"/>
  <c r="Q737" i="1" s="1"/>
  <c r="N737" i="1"/>
  <c r="L737" i="1"/>
  <c r="K737" i="1"/>
  <c r="U736" i="1"/>
  <c r="AC736" i="1" s="1"/>
  <c r="AD736" i="1" s="1"/>
  <c r="P736" i="1"/>
  <c r="Q736" i="1" s="1"/>
  <c r="N736" i="1"/>
  <c r="L736" i="1"/>
  <c r="K736" i="1"/>
  <c r="U735" i="1"/>
  <c r="AC735" i="1" s="1"/>
  <c r="AD735" i="1" s="1"/>
  <c r="P735" i="1"/>
  <c r="N735" i="1"/>
  <c r="L735" i="1"/>
  <c r="K735" i="1"/>
  <c r="U734" i="1"/>
  <c r="AC734" i="1" s="1"/>
  <c r="AD734" i="1" s="1"/>
  <c r="P734" i="1"/>
  <c r="N734" i="1"/>
  <c r="L734" i="1"/>
  <c r="K734" i="1"/>
  <c r="U733" i="1"/>
  <c r="AC733" i="1" s="1"/>
  <c r="AD733" i="1" s="1"/>
  <c r="P733" i="1"/>
  <c r="N733" i="1"/>
  <c r="L733" i="1"/>
  <c r="K733" i="1"/>
  <c r="U732" i="1"/>
  <c r="AC732" i="1" s="1"/>
  <c r="AD732" i="1" s="1"/>
  <c r="P732" i="1"/>
  <c r="Q732" i="1" s="1"/>
  <c r="N732" i="1"/>
  <c r="L732" i="1"/>
  <c r="K732" i="1"/>
  <c r="U731" i="1"/>
  <c r="AC731" i="1" s="1"/>
  <c r="AD731" i="1" s="1"/>
  <c r="P731" i="1"/>
  <c r="N731" i="1"/>
  <c r="L731" i="1"/>
  <c r="K731" i="1"/>
  <c r="U730" i="1"/>
  <c r="AC730" i="1" s="1"/>
  <c r="AD730" i="1" s="1"/>
  <c r="P730" i="1"/>
  <c r="N730" i="1"/>
  <c r="L730" i="1"/>
  <c r="K730" i="1"/>
  <c r="U729" i="1"/>
  <c r="AC729" i="1" s="1"/>
  <c r="AD729" i="1" s="1"/>
  <c r="P729" i="1"/>
  <c r="Q729" i="1" s="1"/>
  <c r="N729" i="1"/>
  <c r="L729" i="1"/>
  <c r="K729" i="1"/>
  <c r="U728" i="1"/>
  <c r="AC728" i="1" s="1"/>
  <c r="AD728" i="1" s="1"/>
  <c r="P728" i="1"/>
  <c r="Q728" i="1" s="1"/>
  <c r="N728" i="1"/>
  <c r="L728" i="1"/>
  <c r="K728" i="1"/>
  <c r="U727" i="1"/>
  <c r="AC727" i="1" s="1"/>
  <c r="AD727" i="1" s="1"/>
  <c r="P727" i="1"/>
  <c r="N727" i="1"/>
  <c r="L727" i="1"/>
  <c r="K727" i="1"/>
  <c r="U726" i="1"/>
  <c r="P726" i="1"/>
  <c r="N726" i="1"/>
  <c r="L726" i="1"/>
  <c r="K726" i="1"/>
  <c r="U725" i="1"/>
  <c r="AC725" i="1" s="1"/>
  <c r="AD725" i="1" s="1"/>
  <c r="P725" i="1"/>
  <c r="Q725" i="1" s="1"/>
  <c r="N725" i="1"/>
  <c r="L725" i="1"/>
  <c r="K725" i="1"/>
  <c r="U724" i="1"/>
  <c r="AC724" i="1" s="1"/>
  <c r="AD724" i="1" s="1"/>
  <c r="P724" i="1"/>
  <c r="N724" i="1"/>
  <c r="L724" i="1"/>
  <c r="K724" i="1"/>
  <c r="U723" i="1"/>
  <c r="AC723" i="1" s="1"/>
  <c r="AD723" i="1" s="1"/>
  <c r="P723" i="1"/>
  <c r="N723" i="1"/>
  <c r="L723" i="1"/>
  <c r="K723" i="1"/>
  <c r="U722" i="1"/>
  <c r="AC722" i="1" s="1"/>
  <c r="AD722" i="1" s="1"/>
  <c r="P722" i="1"/>
  <c r="N722" i="1"/>
  <c r="L722" i="1"/>
  <c r="K722" i="1"/>
  <c r="U721" i="1"/>
  <c r="P721" i="1"/>
  <c r="N721" i="1"/>
  <c r="L721" i="1"/>
  <c r="K721" i="1"/>
  <c r="U720" i="1"/>
  <c r="AC720" i="1" s="1"/>
  <c r="AD720" i="1" s="1"/>
  <c r="P720" i="1"/>
  <c r="Q720" i="1" s="1"/>
  <c r="N720" i="1"/>
  <c r="L720" i="1"/>
  <c r="K720" i="1"/>
  <c r="U719" i="1"/>
  <c r="AC719" i="1" s="1"/>
  <c r="AD719" i="1" s="1"/>
  <c r="P719" i="1"/>
  <c r="Q719" i="1" s="1"/>
  <c r="N719" i="1"/>
  <c r="L719" i="1"/>
  <c r="K719" i="1"/>
  <c r="U718" i="1"/>
  <c r="AC718" i="1" s="1"/>
  <c r="AD718" i="1" s="1"/>
  <c r="P718" i="1"/>
  <c r="Q718" i="1" s="1"/>
  <c r="N718" i="1"/>
  <c r="L718" i="1"/>
  <c r="K718" i="1"/>
  <c r="U717" i="1"/>
  <c r="AC717" i="1" s="1"/>
  <c r="AD717" i="1" s="1"/>
  <c r="P717" i="1"/>
  <c r="Q717" i="1" s="1"/>
  <c r="N717" i="1"/>
  <c r="L717" i="1"/>
  <c r="K717" i="1"/>
  <c r="U716" i="1"/>
  <c r="AC716" i="1" s="1"/>
  <c r="AD716" i="1" s="1"/>
  <c r="P716" i="1"/>
  <c r="N716" i="1"/>
  <c r="L716" i="1"/>
  <c r="K716" i="1"/>
  <c r="U715" i="1"/>
  <c r="AC715" i="1" s="1"/>
  <c r="AD715" i="1" s="1"/>
  <c r="P715" i="1"/>
  <c r="Q715" i="1" s="1"/>
  <c r="N715" i="1"/>
  <c r="L715" i="1"/>
  <c r="K715" i="1"/>
  <c r="U714" i="1"/>
  <c r="AC714" i="1" s="1"/>
  <c r="AD714" i="1" s="1"/>
  <c r="P714" i="1"/>
  <c r="N714" i="1"/>
  <c r="L714" i="1"/>
  <c r="K714" i="1"/>
  <c r="U713" i="1"/>
  <c r="AC713" i="1" s="1"/>
  <c r="AD713" i="1" s="1"/>
  <c r="P713" i="1"/>
  <c r="Q713" i="1" s="1"/>
  <c r="N713" i="1"/>
  <c r="L713" i="1"/>
  <c r="K713" i="1"/>
  <c r="U712" i="1"/>
  <c r="AC712" i="1" s="1"/>
  <c r="AD712" i="1" s="1"/>
  <c r="P712" i="1"/>
  <c r="N712" i="1"/>
  <c r="L712" i="1"/>
  <c r="K712" i="1"/>
  <c r="U711" i="1"/>
  <c r="AC711" i="1" s="1"/>
  <c r="AD711" i="1" s="1"/>
  <c r="P711" i="1"/>
  <c r="Q711" i="1" s="1"/>
  <c r="N711" i="1"/>
  <c r="L711" i="1"/>
  <c r="K711" i="1"/>
  <c r="U710" i="1"/>
  <c r="AC710" i="1" s="1"/>
  <c r="AD710" i="1" s="1"/>
  <c r="P710" i="1"/>
  <c r="N710" i="1"/>
  <c r="L710" i="1"/>
  <c r="K710" i="1"/>
  <c r="U709" i="1"/>
  <c r="AC709" i="1" s="1"/>
  <c r="AD709" i="1" s="1"/>
  <c r="P709" i="1"/>
  <c r="N709" i="1"/>
  <c r="L709" i="1"/>
  <c r="K709" i="1"/>
  <c r="U708" i="1"/>
  <c r="AC708" i="1" s="1"/>
  <c r="AD708" i="1" s="1"/>
  <c r="P708" i="1"/>
  <c r="Q708" i="1" s="1"/>
  <c r="N708" i="1"/>
  <c r="L708" i="1"/>
  <c r="K708" i="1"/>
  <c r="U707" i="1"/>
  <c r="AC707" i="1" s="1"/>
  <c r="AD707" i="1" s="1"/>
  <c r="P707" i="1"/>
  <c r="N707" i="1"/>
  <c r="L707" i="1"/>
  <c r="K707" i="1"/>
  <c r="U706" i="1"/>
  <c r="AC706" i="1" s="1"/>
  <c r="AD706" i="1" s="1"/>
  <c r="P706" i="1"/>
  <c r="Q706" i="1" s="1"/>
  <c r="N706" i="1"/>
  <c r="L706" i="1"/>
  <c r="K706" i="1"/>
  <c r="U705" i="1"/>
  <c r="AC705" i="1" s="1"/>
  <c r="AD705" i="1" s="1"/>
  <c r="P705" i="1"/>
  <c r="N705" i="1"/>
  <c r="L705" i="1"/>
  <c r="K705" i="1"/>
  <c r="U704" i="1"/>
  <c r="AC704" i="1" s="1"/>
  <c r="AD704" i="1" s="1"/>
  <c r="P704" i="1"/>
  <c r="Q704" i="1" s="1"/>
  <c r="N704" i="1"/>
  <c r="L704" i="1"/>
  <c r="K704" i="1"/>
  <c r="U703" i="1"/>
  <c r="P703" i="1"/>
  <c r="N703" i="1"/>
  <c r="L703" i="1"/>
  <c r="K703" i="1"/>
  <c r="U702" i="1"/>
  <c r="AC702" i="1" s="1"/>
  <c r="AD702" i="1" s="1"/>
  <c r="P702" i="1"/>
  <c r="Q702" i="1" s="1"/>
  <c r="N702" i="1"/>
  <c r="L702" i="1"/>
  <c r="K702" i="1"/>
  <c r="U701" i="1"/>
  <c r="AC701" i="1" s="1"/>
  <c r="AD701" i="1" s="1"/>
  <c r="P701" i="1"/>
  <c r="Q701" i="1" s="1"/>
  <c r="N701" i="1"/>
  <c r="L701" i="1"/>
  <c r="K701" i="1"/>
  <c r="U700" i="1"/>
  <c r="AC700" i="1" s="1"/>
  <c r="AD700" i="1" s="1"/>
  <c r="P700" i="1"/>
  <c r="Q700" i="1" s="1"/>
  <c r="N700" i="1"/>
  <c r="L700" i="1"/>
  <c r="K700" i="1"/>
  <c r="U699" i="1"/>
  <c r="AC699" i="1" s="1"/>
  <c r="AD699" i="1" s="1"/>
  <c r="P699" i="1"/>
  <c r="N699" i="1"/>
  <c r="L699" i="1"/>
  <c r="K699" i="1"/>
  <c r="U698" i="1"/>
  <c r="AC698" i="1" s="1"/>
  <c r="AD698" i="1" s="1"/>
  <c r="P698" i="1"/>
  <c r="N698" i="1"/>
  <c r="L698" i="1"/>
  <c r="K698" i="1"/>
  <c r="U697" i="1"/>
  <c r="AC697" i="1" s="1"/>
  <c r="AD697" i="1" s="1"/>
  <c r="P697" i="1"/>
  <c r="N697" i="1"/>
  <c r="L697" i="1"/>
  <c r="K697" i="1"/>
  <c r="U696" i="1"/>
  <c r="P696" i="1"/>
  <c r="N696" i="1"/>
  <c r="L696" i="1"/>
  <c r="K696" i="1"/>
  <c r="U695" i="1"/>
  <c r="AC695" i="1" s="1"/>
  <c r="AD695" i="1" s="1"/>
  <c r="P695" i="1"/>
  <c r="Q695" i="1" s="1"/>
  <c r="N695" i="1"/>
  <c r="L695" i="1"/>
  <c r="K695" i="1"/>
  <c r="U694" i="1"/>
  <c r="AC694" i="1" s="1"/>
  <c r="AD694" i="1" s="1"/>
  <c r="P694" i="1"/>
  <c r="Q694" i="1" s="1"/>
  <c r="N694" i="1"/>
  <c r="L694" i="1"/>
  <c r="K694" i="1"/>
  <c r="U693" i="1"/>
  <c r="AC693" i="1" s="1"/>
  <c r="AD693" i="1" s="1"/>
  <c r="P693" i="1"/>
  <c r="N693" i="1"/>
  <c r="L693" i="1"/>
  <c r="K693" i="1"/>
  <c r="U692" i="1"/>
  <c r="AC692" i="1" s="1"/>
  <c r="AD692" i="1" s="1"/>
  <c r="P692" i="1"/>
  <c r="Q692" i="1" s="1"/>
  <c r="N692" i="1"/>
  <c r="L692" i="1"/>
  <c r="K692" i="1"/>
  <c r="U691" i="1"/>
  <c r="P691" i="1"/>
  <c r="N691" i="1"/>
  <c r="L691" i="1"/>
  <c r="K691" i="1"/>
  <c r="U690" i="1"/>
  <c r="AC690" i="1" s="1"/>
  <c r="AD690" i="1" s="1"/>
  <c r="P690" i="1"/>
  <c r="Q690" i="1" s="1"/>
  <c r="N690" i="1"/>
  <c r="L690" i="1"/>
  <c r="K690" i="1"/>
  <c r="U689" i="1"/>
  <c r="AC689" i="1" s="1"/>
  <c r="AD689" i="1" s="1"/>
  <c r="P689" i="1"/>
  <c r="Q689" i="1" s="1"/>
  <c r="N689" i="1"/>
  <c r="L689" i="1"/>
  <c r="K689" i="1"/>
  <c r="U688" i="1"/>
  <c r="AC688" i="1" s="1"/>
  <c r="AD688" i="1" s="1"/>
  <c r="P688" i="1"/>
  <c r="Q688" i="1" s="1"/>
  <c r="N688" i="1"/>
  <c r="L688" i="1"/>
  <c r="K688" i="1"/>
  <c r="U687" i="1"/>
  <c r="AC687" i="1" s="1"/>
  <c r="AD687" i="1" s="1"/>
  <c r="P687" i="1"/>
  <c r="N687" i="1"/>
  <c r="L687" i="1"/>
  <c r="K687" i="1"/>
  <c r="U686" i="1"/>
  <c r="AC686" i="1" s="1"/>
  <c r="AD686" i="1" s="1"/>
  <c r="P686" i="1"/>
  <c r="Q686" i="1" s="1"/>
  <c r="N686" i="1"/>
  <c r="L686" i="1"/>
  <c r="K686" i="1"/>
  <c r="U685" i="1"/>
  <c r="AC685" i="1" s="1"/>
  <c r="AD685" i="1" s="1"/>
  <c r="P685" i="1"/>
  <c r="N685" i="1"/>
  <c r="L685" i="1"/>
  <c r="K685" i="1"/>
  <c r="U684" i="1"/>
  <c r="P684" i="1"/>
  <c r="N684" i="1"/>
  <c r="L684" i="1"/>
  <c r="K684" i="1"/>
  <c r="U683" i="1"/>
  <c r="AC683" i="1" s="1"/>
  <c r="AD683" i="1" s="1"/>
  <c r="P683" i="1"/>
  <c r="Q683" i="1" s="1"/>
  <c r="N683" i="1"/>
  <c r="L683" i="1"/>
  <c r="K683" i="1"/>
  <c r="U682" i="1"/>
  <c r="AC682" i="1" s="1"/>
  <c r="AD682" i="1" s="1"/>
  <c r="P682" i="1"/>
  <c r="N682" i="1"/>
  <c r="L682" i="1"/>
  <c r="K682" i="1"/>
  <c r="U681" i="1"/>
  <c r="AC681" i="1" s="1"/>
  <c r="AD681" i="1" s="1"/>
  <c r="P681" i="1"/>
  <c r="N681" i="1"/>
  <c r="L681" i="1"/>
  <c r="K681" i="1"/>
  <c r="U680" i="1"/>
  <c r="AC680" i="1" s="1"/>
  <c r="AD680" i="1" s="1"/>
  <c r="P680" i="1"/>
  <c r="Q680" i="1" s="1"/>
  <c r="N680" i="1"/>
  <c r="L680" i="1"/>
  <c r="K680" i="1"/>
  <c r="U679" i="1"/>
  <c r="P679" i="1"/>
  <c r="N679" i="1"/>
  <c r="L679" i="1"/>
  <c r="K679" i="1"/>
  <c r="U678" i="1"/>
  <c r="AC678" i="1" s="1"/>
  <c r="AD678" i="1" s="1"/>
  <c r="P678" i="1"/>
  <c r="Q678" i="1" s="1"/>
  <c r="N678" i="1"/>
  <c r="L678" i="1"/>
  <c r="K678" i="1"/>
  <c r="U677" i="1"/>
  <c r="AC677" i="1" s="1"/>
  <c r="AD677" i="1" s="1"/>
  <c r="P677" i="1"/>
  <c r="Q677" i="1" s="1"/>
  <c r="N677" i="1"/>
  <c r="L677" i="1"/>
  <c r="K677" i="1"/>
  <c r="U676" i="1"/>
  <c r="AC676" i="1" s="1"/>
  <c r="AD676" i="1" s="1"/>
  <c r="P676" i="1"/>
  <c r="N676" i="1"/>
  <c r="L676" i="1"/>
  <c r="K676" i="1"/>
  <c r="U675" i="1"/>
  <c r="AC675" i="1" s="1"/>
  <c r="AD675" i="1" s="1"/>
  <c r="P675" i="1"/>
  <c r="N675" i="1"/>
  <c r="L675" i="1"/>
  <c r="K675" i="1"/>
  <c r="U674" i="1"/>
  <c r="AC674" i="1" s="1"/>
  <c r="AD674" i="1" s="1"/>
  <c r="P674" i="1"/>
  <c r="N674" i="1"/>
  <c r="L674" i="1"/>
  <c r="K674" i="1"/>
  <c r="U673" i="1"/>
  <c r="AC673" i="1" s="1"/>
  <c r="AD673" i="1" s="1"/>
  <c r="P673" i="1"/>
  <c r="N673" i="1"/>
  <c r="L673" i="1"/>
  <c r="K673" i="1"/>
  <c r="U672" i="1"/>
  <c r="AC672" i="1" s="1"/>
  <c r="AD672" i="1" s="1"/>
  <c r="P672" i="1"/>
  <c r="N672" i="1"/>
  <c r="L672" i="1"/>
  <c r="K672" i="1"/>
  <c r="U671" i="1"/>
  <c r="AC671" i="1" s="1"/>
  <c r="AD671" i="1" s="1"/>
  <c r="P671" i="1"/>
  <c r="N671" i="1"/>
  <c r="L671" i="1"/>
  <c r="K671" i="1"/>
  <c r="U670" i="1"/>
  <c r="AC670" i="1" s="1"/>
  <c r="AD670" i="1" s="1"/>
  <c r="P670" i="1"/>
  <c r="Q670" i="1" s="1"/>
  <c r="N670" i="1"/>
  <c r="L670" i="1"/>
  <c r="K670" i="1"/>
  <c r="U669" i="1"/>
  <c r="AC669" i="1" s="1"/>
  <c r="AD669" i="1" s="1"/>
  <c r="P669" i="1"/>
  <c r="N669" i="1"/>
  <c r="L669" i="1"/>
  <c r="K669" i="1"/>
  <c r="U668" i="1"/>
  <c r="AC668" i="1" s="1"/>
  <c r="AD668" i="1" s="1"/>
  <c r="P668" i="1"/>
  <c r="Q668" i="1" s="1"/>
  <c r="N668" i="1"/>
  <c r="L668" i="1"/>
  <c r="K668" i="1"/>
  <c r="U667" i="1"/>
  <c r="P667" i="1"/>
  <c r="N667" i="1"/>
  <c r="L667" i="1"/>
  <c r="K667" i="1"/>
  <c r="U666" i="1"/>
  <c r="AC666" i="1" s="1"/>
  <c r="AD666" i="1" s="1"/>
  <c r="P666" i="1"/>
  <c r="N666" i="1"/>
  <c r="L666" i="1"/>
  <c r="K666" i="1"/>
  <c r="U665" i="1"/>
  <c r="AC665" i="1" s="1"/>
  <c r="AD665" i="1" s="1"/>
  <c r="P665" i="1"/>
  <c r="Q665" i="1" s="1"/>
  <c r="N665" i="1"/>
  <c r="L665" i="1"/>
  <c r="K665" i="1"/>
  <c r="U664" i="1"/>
  <c r="AC664" i="1" s="1"/>
  <c r="AD664" i="1" s="1"/>
  <c r="P664" i="1"/>
  <c r="N664" i="1"/>
  <c r="L664" i="1"/>
  <c r="K664" i="1"/>
  <c r="U663" i="1"/>
  <c r="AC663" i="1" s="1"/>
  <c r="AD663" i="1" s="1"/>
  <c r="P663" i="1"/>
  <c r="N663" i="1"/>
  <c r="L663" i="1"/>
  <c r="K663" i="1"/>
  <c r="U662" i="1"/>
  <c r="AC662" i="1" s="1"/>
  <c r="AD662" i="1" s="1"/>
  <c r="P662" i="1"/>
  <c r="N662" i="1"/>
  <c r="L662" i="1"/>
  <c r="K662" i="1"/>
  <c r="U661" i="1"/>
  <c r="AC661" i="1" s="1"/>
  <c r="AD661" i="1" s="1"/>
  <c r="P661" i="1"/>
  <c r="N661" i="1"/>
  <c r="L661" i="1"/>
  <c r="K661" i="1"/>
  <c r="U660" i="1"/>
  <c r="P660" i="1"/>
  <c r="N660" i="1"/>
  <c r="L660" i="1"/>
  <c r="K660" i="1"/>
  <c r="U659" i="1"/>
  <c r="AC659" i="1" s="1"/>
  <c r="AD659" i="1" s="1"/>
  <c r="P659" i="1"/>
  <c r="N659" i="1"/>
  <c r="L659" i="1"/>
  <c r="K659" i="1"/>
  <c r="U658" i="1"/>
  <c r="AC658" i="1" s="1"/>
  <c r="AD658" i="1" s="1"/>
  <c r="P658" i="1"/>
  <c r="Q658" i="1" s="1"/>
  <c r="N658" i="1"/>
  <c r="L658" i="1"/>
  <c r="K658" i="1"/>
  <c r="U657" i="1"/>
  <c r="AC657" i="1" s="1"/>
  <c r="AD657" i="1" s="1"/>
  <c r="P657" i="1"/>
  <c r="N657" i="1"/>
  <c r="L657" i="1"/>
  <c r="K657" i="1"/>
  <c r="U656" i="1"/>
  <c r="AC656" i="1" s="1"/>
  <c r="AD656" i="1" s="1"/>
  <c r="P656" i="1"/>
  <c r="Q656" i="1" s="1"/>
  <c r="N656" i="1"/>
  <c r="L656" i="1"/>
  <c r="K656" i="1"/>
  <c r="U655" i="1"/>
  <c r="AC655" i="1" s="1"/>
  <c r="AD655" i="1" s="1"/>
  <c r="P655" i="1"/>
  <c r="N655" i="1"/>
  <c r="L655" i="1"/>
  <c r="K655" i="1"/>
  <c r="U654" i="1"/>
  <c r="AC654" i="1" s="1"/>
  <c r="AD654" i="1" s="1"/>
  <c r="P654" i="1"/>
  <c r="Q654" i="1" s="1"/>
  <c r="N654" i="1"/>
  <c r="L654" i="1"/>
  <c r="K654" i="1"/>
  <c r="U653" i="1"/>
  <c r="AC653" i="1" s="1"/>
  <c r="AD653" i="1" s="1"/>
  <c r="P653" i="1"/>
  <c r="N653" i="1"/>
  <c r="L653" i="1"/>
  <c r="K653" i="1"/>
  <c r="U652" i="1"/>
  <c r="AC652" i="1" s="1"/>
  <c r="AD652" i="1" s="1"/>
  <c r="P652" i="1"/>
  <c r="Q652" i="1" s="1"/>
  <c r="N652" i="1"/>
  <c r="L652" i="1"/>
  <c r="K652" i="1"/>
  <c r="U651" i="1"/>
  <c r="AC651" i="1" s="1"/>
  <c r="AD651" i="1" s="1"/>
  <c r="P651" i="1"/>
  <c r="Q651" i="1" s="1"/>
  <c r="N651" i="1"/>
  <c r="L651" i="1"/>
  <c r="K651" i="1"/>
  <c r="U650" i="1"/>
  <c r="AC650" i="1" s="1"/>
  <c r="AD650" i="1" s="1"/>
  <c r="P650" i="1"/>
  <c r="Q650" i="1" s="1"/>
  <c r="N650" i="1"/>
  <c r="L650" i="1"/>
  <c r="K650" i="1"/>
  <c r="U649" i="1"/>
  <c r="AC649" i="1" s="1"/>
  <c r="AD649" i="1" s="1"/>
  <c r="P649" i="1"/>
  <c r="N649" i="1"/>
  <c r="L649" i="1"/>
  <c r="K649" i="1"/>
  <c r="U648" i="1"/>
  <c r="AC648" i="1" s="1"/>
  <c r="AD648" i="1" s="1"/>
  <c r="P648" i="1"/>
  <c r="N648" i="1"/>
  <c r="L648" i="1"/>
  <c r="K648" i="1"/>
  <c r="U647" i="1"/>
  <c r="AC647" i="1" s="1"/>
  <c r="AD647" i="1" s="1"/>
  <c r="P647" i="1"/>
  <c r="N647" i="1"/>
  <c r="L647" i="1"/>
  <c r="K647" i="1"/>
  <c r="U646" i="1"/>
  <c r="AC646" i="1" s="1"/>
  <c r="AD646" i="1" s="1"/>
  <c r="P646" i="1"/>
  <c r="Q646" i="1" s="1"/>
  <c r="N646" i="1"/>
  <c r="L646" i="1"/>
  <c r="K646" i="1"/>
  <c r="U645" i="1"/>
  <c r="AC645" i="1" s="1"/>
  <c r="AD645" i="1" s="1"/>
  <c r="P645" i="1"/>
  <c r="N645" i="1"/>
  <c r="L645" i="1"/>
  <c r="K645" i="1"/>
  <c r="U644" i="1"/>
  <c r="AC644" i="1" s="1"/>
  <c r="AD644" i="1" s="1"/>
  <c r="P644" i="1"/>
  <c r="Q644" i="1" s="1"/>
  <c r="N644" i="1"/>
  <c r="L644" i="1"/>
  <c r="K644" i="1"/>
  <c r="U643" i="1"/>
  <c r="AC643" i="1" s="1"/>
  <c r="AD643" i="1" s="1"/>
  <c r="P643" i="1"/>
  <c r="N643" i="1"/>
  <c r="L643" i="1"/>
  <c r="K643" i="1"/>
  <c r="U642" i="1"/>
  <c r="AC642" i="1" s="1"/>
  <c r="AD642" i="1" s="1"/>
  <c r="P642" i="1"/>
  <c r="Q642" i="1" s="1"/>
  <c r="N642" i="1"/>
  <c r="L642" i="1"/>
  <c r="K642" i="1"/>
  <c r="U641" i="1"/>
  <c r="AC641" i="1" s="1"/>
  <c r="AD641" i="1" s="1"/>
  <c r="P641" i="1"/>
  <c r="Q641" i="1" s="1"/>
  <c r="N641" i="1"/>
  <c r="L641" i="1"/>
  <c r="K641" i="1"/>
  <c r="U640" i="1"/>
  <c r="AC640" i="1" s="1"/>
  <c r="AD640" i="1" s="1"/>
  <c r="P640" i="1"/>
  <c r="Q640" i="1" s="1"/>
  <c r="N640" i="1"/>
  <c r="L640" i="1"/>
  <c r="K640" i="1"/>
  <c r="U639" i="1"/>
  <c r="AC639" i="1" s="1"/>
  <c r="AD639" i="1" s="1"/>
  <c r="P639" i="1"/>
  <c r="Q639" i="1" s="1"/>
  <c r="N639" i="1"/>
  <c r="L639" i="1"/>
  <c r="K639" i="1"/>
  <c r="U638" i="1"/>
  <c r="AC638" i="1" s="1"/>
  <c r="AD638" i="1" s="1"/>
  <c r="P638" i="1"/>
  <c r="Q638" i="1" s="1"/>
  <c r="N638" i="1"/>
  <c r="L638" i="1"/>
  <c r="K638" i="1"/>
  <c r="U637" i="1"/>
  <c r="AC637" i="1" s="1"/>
  <c r="AD637" i="1" s="1"/>
  <c r="P637" i="1"/>
  <c r="Q637" i="1" s="1"/>
  <c r="N637" i="1"/>
  <c r="L637" i="1"/>
  <c r="K637" i="1"/>
  <c r="U636" i="1"/>
  <c r="AC636" i="1" s="1"/>
  <c r="AD636" i="1" s="1"/>
  <c r="P636" i="1"/>
  <c r="N636" i="1"/>
  <c r="L636" i="1"/>
  <c r="K636" i="1"/>
  <c r="U635" i="1"/>
  <c r="AC635" i="1" s="1"/>
  <c r="AD635" i="1" s="1"/>
  <c r="P635" i="1"/>
  <c r="N635" i="1"/>
  <c r="L635" i="1"/>
  <c r="K635" i="1"/>
  <c r="U634" i="1"/>
  <c r="AC634" i="1" s="1"/>
  <c r="AD634" i="1" s="1"/>
  <c r="P634" i="1"/>
  <c r="Q634" i="1" s="1"/>
  <c r="N634" i="1"/>
  <c r="L634" i="1"/>
  <c r="K634" i="1"/>
  <c r="U633" i="1"/>
  <c r="AC633" i="1" s="1"/>
  <c r="AD633" i="1" s="1"/>
  <c r="P633" i="1"/>
  <c r="Q633" i="1" s="1"/>
  <c r="N633" i="1"/>
  <c r="L633" i="1"/>
  <c r="K633" i="1"/>
  <c r="U632" i="1"/>
  <c r="AC632" i="1" s="1"/>
  <c r="AD632" i="1" s="1"/>
  <c r="P632" i="1"/>
  <c r="Q632" i="1" s="1"/>
  <c r="N632" i="1"/>
  <c r="L632" i="1"/>
  <c r="K632" i="1"/>
  <c r="U631" i="1"/>
  <c r="AC631" i="1" s="1"/>
  <c r="AD631" i="1" s="1"/>
  <c r="P631" i="1"/>
  <c r="N631" i="1"/>
  <c r="L631" i="1"/>
  <c r="K631" i="1"/>
  <c r="U630" i="1"/>
  <c r="AC630" i="1" s="1"/>
  <c r="AD630" i="1" s="1"/>
  <c r="P630" i="1"/>
  <c r="Q630" i="1" s="1"/>
  <c r="N630" i="1"/>
  <c r="L630" i="1"/>
  <c r="K630" i="1"/>
  <c r="U629" i="1"/>
  <c r="AC629" i="1" s="1"/>
  <c r="AD629" i="1" s="1"/>
  <c r="P629" i="1"/>
  <c r="N629" i="1"/>
  <c r="L629" i="1"/>
  <c r="K629" i="1"/>
  <c r="U628" i="1"/>
  <c r="AC628" i="1" s="1"/>
  <c r="AD628" i="1" s="1"/>
  <c r="P628" i="1"/>
  <c r="Q628" i="1" s="1"/>
  <c r="N628" i="1"/>
  <c r="L628" i="1"/>
  <c r="K628" i="1"/>
  <c r="U627" i="1"/>
  <c r="P627" i="1"/>
  <c r="N627" i="1"/>
  <c r="L627" i="1"/>
  <c r="K627" i="1"/>
  <c r="U626" i="1"/>
  <c r="AC626" i="1" s="1"/>
  <c r="AD626" i="1" s="1"/>
  <c r="P626" i="1"/>
  <c r="N626" i="1"/>
  <c r="L626" i="1"/>
  <c r="K626" i="1"/>
  <c r="U625" i="1"/>
  <c r="AC625" i="1" s="1"/>
  <c r="AD625" i="1" s="1"/>
  <c r="P625" i="1"/>
  <c r="N625" i="1"/>
  <c r="L625" i="1"/>
  <c r="K625" i="1"/>
  <c r="U624" i="1"/>
  <c r="AC624" i="1" s="1"/>
  <c r="AD624" i="1" s="1"/>
  <c r="P624" i="1"/>
  <c r="N624" i="1"/>
  <c r="L624" i="1"/>
  <c r="K624" i="1"/>
  <c r="U623" i="1"/>
  <c r="AC623" i="1" s="1"/>
  <c r="AD623" i="1" s="1"/>
  <c r="P623" i="1"/>
  <c r="N623" i="1"/>
  <c r="L623" i="1"/>
  <c r="K623" i="1"/>
  <c r="U622" i="1"/>
  <c r="P622" i="1"/>
  <c r="N622" i="1"/>
  <c r="L622" i="1"/>
  <c r="K622" i="1"/>
  <c r="U621" i="1"/>
  <c r="AC621" i="1" s="1"/>
  <c r="AD621" i="1" s="1"/>
  <c r="P621" i="1"/>
  <c r="Q621" i="1" s="1"/>
  <c r="N621" i="1"/>
  <c r="L621" i="1"/>
  <c r="K621" i="1"/>
  <c r="U620" i="1"/>
  <c r="AC620" i="1" s="1"/>
  <c r="AD620" i="1" s="1"/>
  <c r="P620" i="1"/>
  <c r="Q620" i="1" s="1"/>
  <c r="N620" i="1"/>
  <c r="L620" i="1"/>
  <c r="K620" i="1"/>
  <c r="U619" i="1"/>
  <c r="AC619" i="1" s="1"/>
  <c r="AD619" i="1" s="1"/>
  <c r="P619" i="1"/>
  <c r="Q619" i="1" s="1"/>
  <c r="N619" i="1"/>
  <c r="L619" i="1"/>
  <c r="K619" i="1"/>
  <c r="U618" i="1"/>
  <c r="AC618" i="1" s="1"/>
  <c r="AD618" i="1" s="1"/>
  <c r="P618" i="1"/>
  <c r="N618" i="1"/>
  <c r="L618" i="1"/>
  <c r="K618" i="1"/>
  <c r="U617" i="1"/>
  <c r="AC617" i="1" s="1"/>
  <c r="AD617" i="1" s="1"/>
  <c r="P617" i="1"/>
  <c r="N617" i="1"/>
  <c r="L617" i="1"/>
  <c r="K617" i="1"/>
  <c r="U616" i="1"/>
  <c r="AC616" i="1" s="1"/>
  <c r="AD616" i="1" s="1"/>
  <c r="P616" i="1"/>
  <c r="N616" i="1"/>
  <c r="L616" i="1"/>
  <c r="K616" i="1"/>
  <c r="U615" i="1"/>
  <c r="AC615" i="1" s="1"/>
  <c r="AD615" i="1" s="1"/>
  <c r="P615" i="1"/>
  <c r="N615" i="1"/>
  <c r="L615" i="1"/>
  <c r="K615" i="1"/>
  <c r="U614" i="1"/>
  <c r="AC614" i="1" s="1"/>
  <c r="AD614" i="1" s="1"/>
  <c r="P614" i="1"/>
  <c r="Q614" i="1" s="1"/>
  <c r="N614" i="1"/>
  <c r="L614" i="1"/>
  <c r="K614" i="1"/>
  <c r="U613" i="1"/>
  <c r="AC613" i="1" s="1"/>
  <c r="AD613" i="1" s="1"/>
  <c r="P613" i="1"/>
  <c r="N613" i="1"/>
  <c r="L613" i="1"/>
  <c r="K613" i="1"/>
  <c r="U612" i="1"/>
  <c r="P612" i="1"/>
  <c r="Q612" i="1" s="1"/>
  <c r="N612" i="1"/>
  <c r="L612" i="1"/>
  <c r="K612" i="1"/>
  <c r="U611" i="1"/>
  <c r="AC611" i="1" s="1"/>
  <c r="AD611" i="1" s="1"/>
  <c r="P611" i="1"/>
  <c r="N611" i="1"/>
  <c r="L611" i="1"/>
  <c r="K611" i="1"/>
  <c r="U610" i="1"/>
  <c r="AC610" i="1" s="1"/>
  <c r="AD610" i="1" s="1"/>
  <c r="P610" i="1"/>
  <c r="N610" i="1"/>
  <c r="L610" i="1"/>
  <c r="K610" i="1"/>
  <c r="U609" i="1"/>
  <c r="AC609" i="1" s="1"/>
  <c r="AD609" i="1" s="1"/>
  <c r="P609" i="1"/>
  <c r="Q609" i="1" s="1"/>
  <c r="N609" i="1"/>
  <c r="L609" i="1"/>
  <c r="K609" i="1"/>
  <c r="U608" i="1"/>
  <c r="AC608" i="1" s="1"/>
  <c r="AD608" i="1" s="1"/>
  <c r="P608" i="1"/>
  <c r="Q608" i="1" s="1"/>
  <c r="N608" i="1"/>
  <c r="L608" i="1"/>
  <c r="K608" i="1"/>
  <c r="U607" i="1"/>
  <c r="AC607" i="1" s="1"/>
  <c r="AD607" i="1" s="1"/>
  <c r="P607" i="1"/>
  <c r="N607" i="1"/>
  <c r="L607" i="1"/>
  <c r="K607" i="1"/>
  <c r="U606" i="1"/>
  <c r="AC606" i="1" s="1"/>
  <c r="AD606" i="1" s="1"/>
  <c r="P606" i="1"/>
  <c r="N606" i="1"/>
  <c r="L606" i="1"/>
  <c r="K606" i="1"/>
  <c r="U605" i="1"/>
  <c r="AC605" i="1" s="1"/>
  <c r="AD605" i="1" s="1"/>
  <c r="P605" i="1"/>
  <c r="N605" i="1"/>
  <c r="L605" i="1"/>
  <c r="K605" i="1"/>
  <c r="U604" i="1"/>
  <c r="AC604" i="1" s="1"/>
  <c r="AD604" i="1" s="1"/>
  <c r="P604" i="1"/>
  <c r="N604" i="1"/>
  <c r="L604" i="1"/>
  <c r="K604" i="1"/>
  <c r="U603" i="1"/>
  <c r="AC603" i="1" s="1"/>
  <c r="AD603" i="1" s="1"/>
  <c r="P603" i="1"/>
  <c r="N603" i="1"/>
  <c r="L603" i="1"/>
  <c r="K603" i="1"/>
  <c r="U602" i="1"/>
  <c r="AC602" i="1" s="1"/>
  <c r="AD602" i="1" s="1"/>
  <c r="P602" i="1"/>
  <c r="N602" i="1"/>
  <c r="L602" i="1"/>
  <c r="K602" i="1"/>
  <c r="U601" i="1"/>
  <c r="AC601" i="1" s="1"/>
  <c r="AD601" i="1" s="1"/>
  <c r="P601" i="1"/>
  <c r="N601" i="1"/>
  <c r="L601" i="1"/>
  <c r="K601" i="1"/>
  <c r="U600" i="1"/>
  <c r="AC600" i="1" s="1"/>
  <c r="AD600" i="1" s="1"/>
  <c r="P600" i="1"/>
  <c r="Q600" i="1" s="1"/>
  <c r="N600" i="1"/>
  <c r="L600" i="1"/>
  <c r="K600" i="1"/>
  <c r="U599" i="1"/>
  <c r="AC599" i="1" s="1"/>
  <c r="AD599" i="1" s="1"/>
  <c r="P599" i="1"/>
  <c r="N599" i="1"/>
  <c r="L599" i="1"/>
  <c r="K599" i="1"/>
  <c r="U598" i="1"/>
  <c r="AC598" i="1" s="1"/>
  <c r="AD598" i="1" s="1"/>
  <c r="P598" i="1"/>
  <c r="Q598" i="1" s="1"/>
  <c r="N598" i="1"/>
  <c r="L598" i="1"/>
  <c r="K598" i="1"/>
  <c r="U597" i="1"/>
  <c r="AC597" i="1" s="1"/>
  <c r="AD597" i="1" s="1"/>
  <c r="P597" i="1"/>
  <c r="Q597" i="1" s="1"/>
  <c r="N597" i="1"/>
  <c r="L597" i="1"/>
  <c r="K597" i="1"/>
  <c r="U596" i="1"/>
  <c r="AC596" i="1" s="1"/>
  <c r="AD596" i="1" s="1"/>
  <c r="P596" i="1"/>
  <c r="Q596" i="1" s="1"/>
  <c r="N596" i="1"/>
  <c r="L596" i="1"/>
  <c r="K596" i="1"/>
  <c r="U595" i="1"/>
  <c r="AC595" i="1" s="1"/>
  <c r="AD595" i="1" s="1"/>
  <c r="P595" i="1"/>
  <c r="Q595" i="1" s="1"/>
  <c r="N595" i="1"/>
  <c r="L595" i="1"/>
  <c r="K595" i="1"/>
  <c r="U594" i="1"/>
  <c r="AC594" i="1" s="1"/>
  <c r="AD594" i="1" s="1"/>
  <c r="P594" i="1"/>
  <c r="N594" i="1"/>
  <c r="L594" i="1"/>
  <c r="K594" i="1"/>
  <c r="U593" i="1"/>
  <c r="AC593" i="1" s="1"/>
  <c r="AD593" i="1" s="1"/>
  <c r="P593" i="1"/>
  <c r="Q593" i="1" s="1"/>
  <c r="N593" i="1"/>
  <c r="L593" i="1"/>
  <c r="K593" i="1"/>
  <c r="V592" i="1"/>
  <c r="U592" i="1" s="1"/>
  <c r="P592" i="1"/>
  <c r="N592" i="1"/>
  <c r="L592" i="1"/>
  <c r="K592" i="1"/>
  <c r="U591" i="1"/>
  <c r="AC591" i="1" s="1"/>
  <c r="AD591" i="1" s="1"/>
  <c r="P591" i="1"/>
  <c r="Q591" i="1" s="1"/>
  <c r="N591" i="1"/>
  <c r="L591" i="1"/>
  <c r="K591" i="1"/>
  <c r="U590" i="1"/>
  <c r="AC590" i="1" s="1"/>
  <c r="AD590" i="1" s="1"/>
  <c r="P590" i="1"/>
  <c r="N590" i="1"/>
  <c r="L590" i="1"/>
  <c r="K590" i="1"/>
  <c r="V589" i="1"/>
  <c r="U589" i="1" s="1"/>
  <c r="AC589" i="1" s="1"/>
  <c r="AD589" i="1" s="1"/>
  <c r="P589" i="1"/>
  <c r="Q589" i="1" s="1"/>
  <c r="N589" i="1"/>
  <c r="L589" i="1"/>
  <c r="K589" i="1"/>
  <c r="U588" i="1"/>
  <c r="AC588" i="1" s="1"/>
  <c r="AD588" i="1" s="1"/>
  <c r="P588" i="1"/>
  <c r="N588" i="1"/>
  <c r="L588" i="1"/>
  <c r="K588" i="1"/>
  <c r="U587" i="1"/>
  <c r="AC587" i="1" s="1"/>
  <c r="AD587" i="1" s="1"/>
  <c r="P587" i="1"/>
  <c r="N587" i="1"/>
  <c r="L587" i="1"/>
  <c r="K587" i="1"/>
  <c r="U586" i="1"/>
  <c r="AC586" i="1" s="1"/>
  <c r="AD586" i="1" s="1"/>
  <c r="P586" i="1"/>
  <c r="Q586" i="1" s="1"/>
  <c r="N586" i="1"/>
  <c r="L586" i="1"/>
  <c r="K586" i="1"/>
  <c r="U585" i="1"/>
  <c r="AC585" i="1" s="1"/>
  <c r="AD585" i="1" s="1"/>
  <c r="P585" i="1"/>
  <c r="Q585" i="1" s="1"/>
  <c r="N585" i="1"/>
  <c r="L585" i="1"/>
  <c r="K585" i="1"/>
  <c r="U584" i="1"/>
  <c r="AC584" i="1" s="1"/>
  <c r="AD584" i="1" s="1"/>
  <c r="P584" i="1"/>
  <c r="N584" i="1"/>
  <c r="L584" i="1"/>
  <c r="K584" i="1"/>
  <c r="U583" i="1"/>
  <c r="AC583" i="1" s="1"/>
  <c r="AD583" i="1" s="1"/>
  <c r="P583" i="1"/>
  <c r="Q583" i="1" s="1"/>
  <c r="N583" i="1"/>
  <c r="L583" i="1"/>
  <c r="K583" i="1"/>
  <c r="U582" i="1"/>
  <c r="AC582" i="1" s="1"/>
  <c r="AD582" i="1" s="1"/>
  <c r="P582" i="1"/>
  <c r="Q582" i="1" s="1"/>
  <c r="N582" i="1"/>
  <c r="L582" i="1"/>
  <c r="K582" i="1"/>
  <c r="U581" i="1"/>
  <c r="AC581" i="1" s="1"/>
  <c r="AD581" i="1" s="1"/>
  <c r="P581" i="1"/>
  <c r="N581" i="1"/>
  <c r="L581" i="1"/>
  <c r="K581" i="1"/>
  <c r="U580" i="1"/>
  <c r="AC580" i="1" s="1"/>
  <c r="AD580" i="1" s="1"/>
  <c r="P580" i="1"/>
  <c r="N580" i="1"/>
  <c r="L580" i="1"/>
  <c r="K580" i="1"/>
  <c r="U579" i="1"/>
  <c r="AC579" i="1" s="1"/>
  <c r="AD579" i="1" s="1"/>
  <c r="P579" i="1"/>
  <c r="N579" i="1"/>
  <c r="L579" i="1"/>
  <c r="K579" i="1"/>
  <c r="V578" i="1"/>
  <c r="P578" i="1"/>
  <c r="Q578" i="1" s="1"/>
  <c r="N578" i="1"/>
  <c r="L578" i="1"/>
  <c r="K578" i="1"/>
  <c r="U577" i="1"/>
  <c r="AC577" i="1" s="1"/>
  <c r="AD577" i="1" s="1"/>
  <c r="P577" i="1"/>
  <c r="N577" i="1"/>
  <c r="L577" i="1"/>
  <c r="K577" i="1"/>
  <c r="U576" i="1"/>
  <c r="AC576" i="1" s="1"/>
  <c r="AD576" i="1" s="1"/>
  <c r="P576" i="1"/>
  <c r="Q576" i="1" s="1"/>
  <c r="N576" i="1"/>
  <c r="L576" i="1"/>
  <c r="K576" i="1"/>
  <c r="U575" i="1"/>
  <c r="AC575" i="1" s="1"/>
  <c r="AD575" i="1" s="1"/>
  <c r="P575" i="1"/>
  <c r="N575" i="1"/>
  <c r="L575" i="1"/>
  <c r="K575" i="1"/>
  <c r="U574" i="1"/>
  <c r="AC574" i="1" s="1"/>
  <c r="AD574" i="1" s="1"/>
  <c r="P574" i="1"/>
  <c r="Q574" i="1" s="1"/>
  <c r="N574" i="1"/>
  <c r="L574" i="1"/>
  <c r="K574" i="1"/>
  <c r="U573" i="1"/>
  <c r="AC573" i="1" s="1"/>
  <c r="AD573" i="1" s="1"/>
  <c r="Q573" i="1"/>
  <c r="N573" i="1"/>
  <c r="L573" i="1"/>
  <c r="K573" i="1"/>
  <c r="V572" i="1"/>
  <c r="U572" i="1" s="1"/>
  <c r="AC572" i="1" s="1"/>
  <c r="AD572" i="1" s="1"/>
  <c r="Q572" i="1"/>
  <c r="N572" i="1"/>
  <c r="L572" i="1"/>
  <c r="K572" i="1"/>
  <c r="V571" i="1"/>
  <c r="U571" i="1" s="1"/>
  <c r="Q571" i="1"/>
  <c r="N571" i="1"/>
  <c r="L571" i="1"/>
  <c r="K571" i="1"/>
  <c r="U570" i="1"/>
  <c r="AC570" i="1" s="1"/>
  <c r="AD570" i="1" s="1"/>
  <c r="P570" i="1"/>
  <c r="N570" i="1"/>
  <c r="L570" i="1"/>
  <c r="K570" i="1"/>
  <c r="U569" i="1"/>
  <c r="AC569" i="1" s="1"/>
  <c r="AD569" i="1" s="1"/>
  <c r="P569" i="1"/>
  <c r="N569" i="1"/>
  <c r="L569" i="1"/>
  <c r="K569" i="1"/>
  <c r="U568" i="1"/>
  <c r="AC568" i="1" s="1"/>
  <c r="AD568" i="1" s="1"/>
  <c r="P568" i="1"/>
  <c r="N568" i="1"/>
  <c r="L568" i="1"/>
  <c r="K568" i="1"/>
  <c r="U567" i="1"/>
  <c r="AC567" i="1" s="1"/>
  <c r="AD567" i="1" s="1"/>
  <c r="P567" i="1"/>
  <c r="Q567" i="1" s="1"/>
  <c r="N567" i="1"/>
  <c r="L567" i="1"/>
  <c r="K567" i="1"/>
  <c r="U566" i="1"/>
  <c r="AC566" i="1" s="1"/>
  <c r="AD566" i="1" s="1"/>
  <c r="P566" i="1"/>
  <c r="N566" i="1"/>
  <c r="L566" i="1"/>
  <c r="K566" i="1"/>
  <c r="U565" i="1"/>
  <c r="AC565" i="1" s="1"/>
  <c r="AD565" i="1" s="1"/>
  <c r="P565" i="1"/>
  <c r="Q565" i="1" s="1"/>
  <c r="N565" i="1"/>
  <c r="L565" i="1"/>
  <c r="K565" i="1"/>
  <c r="U564" i="1"/>
  <c r="AC564" i="1" s="1"/>
  <c r="AD564" i="1" s="1"/>
  <c r="P564" i="1"/>
  <c r="N564" i="1"/>
  <c r="L564" i="1"/>
  <c r="K564" i="1"/>
  <c r="U563" i="1"/>
  <c r="AC563" i="1" s="1"/>
  <c r="AD563" i="1" s="1"/>
  <c r="P563" i="1"/>
  <c r="Q563" i="1" s="1"/>
  <c r="N563" i="1"/>
  <c r="L563" i="1"/>
  <c r="K563" i="1"/>
  <c r="U562" i="1"/>
  <c r="AC562" i="1" s="1"/>
  <c r="AD562" i="1" s="1"/>
  <c r="P562" i="1"/>
  <c r="N562" i="1"/>
  <c r="L562" i="1"/>
  <c r="K562" i="1"/>
  <c r="U561" i="1"/>
  <c r="Q561" i="1"/>
  <c r="N561" i="1"/>
  <c r="L561" i="1"/>
  <c r="K561" i="1"/>
  <c r="U560" i="1"/>
  <c r="AC560" i="1" s="1"/>
  <c r="AD560" i="1" s="1"/>
  <c r="P560" i="1"/>
  <c r="N560" i="1"/>
  <c r="L560" i="1"/>
  <c r="K560" i="1"/>
  <c r="U559" i="1"/>
  <c r="AC559" i="1" s="1"/>
  <c r="AD559" i="1" s="1"/>
  <c r="P559" i="1"/>
  <c r="N559" i="1"/>
  <c r="L559" i="1"/>
  <c r="K559" i="1"/>
  <c r="U558" i="1"/>
  <c r="AC558" i="1" s="1"/>
  <c r="AD558" i="1" s="1"/>
  <c r="P558" i="1"/>
  <c r="N558" i="1"/>
  <c r="L558" i="1"/>
  <c r="K558" i="1"/>
  <c r="V557" i="1"/>
  <c r="P557" i="1"/>
  <c r="N557" i="1"/>
  <c r="L557" i="1"/>
  <c r="K557" i="1"/>
  <c r="U556" i="1"/>
  <c r="AC556" i="1" s="1"/>
  <c r="AD556" i="1" s="1"/>
  <c r="P556" i="1"/>
  <c r="N556" i="1"/>
  <c r="L556" i="1"/>
  <c r="K556" i="1"/>
  <c r="U555" i="1"/>
  <c r="P555" i="1"/>
  <c r="N555" i="1"/>
  <c r="L555" i="1"/>
  <c r="K555" i="1"/>
  <c r="U554" i="1"/>
  <c r="AC554" i="1" s="1"/>
  <c r="AD554" i="1" s="1"/>
  <c r="P554" i="1"/>
  <c r="N554" i="1"/>
  <c r="L554" i="1"/>
  <c r="K554" i="1"/>
  <c r="U553" i="1"/>
  <c r="Q553" i="1"/>
  <c r="N553" i="1"/>
  <c r="L553" i="1"/>
  <c r="K553" i="1"/>
  <c r="U552" i="1"/>
  <c r="AC552" i="1" s="1"/>
  <c r="AD552" i="1" s="1"/>
  <c r="P552" i="1"/>
  <c r="Q552" i="1" s="1"/>
  <c r="N552" i="1"/>
  <c r="L552" i="1"/>
  <c r="K552" i="1"/>
  <c r="U551" i="1"/>
  <c r="AC551" i="1" s="1"/>
  <c r="AD551" i="1" s="1"/>
  <c r="P551" i="1"/>
  <c r="Q551" i="1" s="1"/>
  <c r="N551" i="1"/>
  <c r="L551" i="1"/>
  <c r="K551" i="1"/>
  <c r="U550" i="1"/>
  <c r="AC550" i="1" s="1"/>
  <c r="AD550" i="1" s="1"/>
  <c r="P550" i="1"/>
  <c r="N550" i="1"/>
  <c r="L550" i="1"/>
  <c r="K550" i="1"/>
  <c r="U549" i="1"/>
  <c r="P549" i="1"/>
  <c r="N549" i="1"/>
  <c r="L549" i="1"/>
  <c r="K549" i="1"/>
  <c r="U548" i="1"/>
  <c r="AC548" i="1" s="1"/>
  <c r="AD548" i="1" s="1"/>
  <c r="P548" i="1"/>
  <c r="Q548" i="1" s="1"/>
  <c r="N548" i="1"/>
  <c r="L548" i="1"/>
  <c r="K548" i="1"/>
  <c r="U547" i="1"/>
  <c r="AC547" i="1" s="1"/>
  <c r="AD547" i="1" s="1"/>
  <c r="P547" i="1"/>
  <c r="Q547" i="1" s="1"/>
  <c r="N547" i="1"/>
  <c r="L547" i="1"/>
  <c r="K547" i="1"/>
  <c r="V546" i="1"/>
  <c r="U546" i="1" s="1"/>
  <c r="AC546" i="1" s="1"/>
  <c r="AD546" i="1" s="1"/>
  <c r="Q546" i="1"/>
  <c r="N546" i="1"/>
  <c r="L546" i="1"/>
  <c r="K546" i="1"/>
  <c r="U545" i="1"/>
  <c r="AC545" i="1" s="1"/>
  <c r="AD545" i="1" s="1"/>
  <c r="P545" i="1"/>
  <c r="Q545" i="1" s="1"/>
  <c r="N545" i="1"/>
  <c r="L545" i="1"/>
  <c r="K545" i="1"/>
  <c r="U544" i="1"/>
  <c r="AC544" i="1" s="1"/>
  <c r="AD544" i="1" s="1"/>
  <c r="P544" i="1"/>
  <c r="N544" i="1"/>
  <c r="L544" i="1"/>
  <c r="K544" i="1"/>
  <c r="U543" i="1"/>
  <c r="AC543" i="1" s="1"/>
  <c r="AD543" i="1" s="1"/>
  <c r="P543" i="1"/>
  <c r="N543" i="1"/>
  <c r="L543" i="1"/>
  <c r="K543" i="1"/>
  <c r="U542" i="1"/>
  <c r="AC542" i="1" s="1"/>
  <c r="AD542" i="1" s="1"/>
  <c r="Q542" i="1"/>
  <c r="N542" i="1"/>
  <c r="L542" i="1"/>
  <c r="K542" i="1"/>
  <c r="U541" i="1"/>
  <c r="AC541" i="1" s="1"/>
  <c r="AD541" i="1" s="1"/>
  <c r="P541" i="1"/>
  <c r="Q541" i="1" s="1"/>
  <c r="N541" i="1"/>
  <c r="L541" i="1"/>
  <c r="K541" i="1"/>
  <c r="U540" i="1"/>
  <c r="AC540" i="1" s="1"/>
  <c r="AD540" i="1" s="1"/>
  <c r="P540" i="1"/>
  <c r="Q540" i="1" s="1"/>
  <c r="N540" i="1"/>
  <c r="L540" i="1"/>
  <c r="K540" i="1"/>
  <c r="U539" i="1"/>
  <c r="AC539" i="1" s="1"/>
  <c r="AD539" i="1" s="1"/>
  <c r="P539" i="1"/>
  <c r="N539" i="1"/>
  <c r="L539" i="1"/>
  <c r="K539" i="1"/>
  <c r="V538" i="1"/>
  <c r="P538" i="1"/>
  <c r="N538" i="1"/>
  <c r="L538" i="1"/>
  <c r="K538" i="1"/>
  <c r="AA537" i="1"/>
  <c r="U537" i="1"/>
  <c r="AC537" i="1" s="1"/>
  <c r="AD537" i="1" s="1"/>
  <c r="P537" i="1"/>
  <c r="N537" i="1"/>
  <c r="L537" i="1"/>
  <c r="K537" i="1"/>
  <c r="U536" i="1"/>
  <c r="AC536" i="1" s="1"/>
  <c r="AD536" i="1" s="1"/>
  <c r="P536" i="1"/>
  <c r="N536" i="1"/>
  <c r="L536" i="1"/>
  <c r="K536" i="1"/>
  <c r="U535" i="1"/>
  <c r="AC535" i="1" s="1"/>
  <c r="AD535" i="1" s="1"/>
  <c r="P535" i="1"/>
  <c r="N535" i="1"/>
  <c r="L535" i="1"/>
  <c r="K535" i="1"/>
  <c r="V534" i="1"/>
  <c r="Q534" i="1"/>
  <c r="N534" i="1"/>
  <c r="L534" i="1"/>
  <c r="K534" i="1"/>
  <c r="U533" i="1"/>
  <c r="AC533" i="1" s="1"/>
  <c r="AD533" i="1" s="1"/>
  <c r="P533" i="1"/>
  <c r="Q533" i="1" s="1"/>
  <c r="N533" i="1"/>
  <c r="L533" i="1"/>
  <c r="K533" i="1"/>
  <c r="W532" i="1"/>
  <c r="U532" i="1" s="1"/>
  <c r="AC532" i="1" s="1"/>
  <c r="AD532" i="1" s="1"/>
  <c r="Q532" i="1"/>
  <c r="N532" i="1"/>
  <c r="L532" i="1"/>
  <c r="K532" i="1"/>
  <c r="U531" i="1"/>
  <c r="AC531" i="1" s="1"/>
  <c r="AD531" i="1" s="1"/>
  <c r="P531" i="1"/>
  <c r="Q531" i="1" s="1"/>
  <c r="N531" i="1"/>
  <c r="L531" i="1"/>
  <c r="K531" i="1"/>
  <c r="U530" i="1"/>
  <c r="Q530" i="1"/>
  <c r="N530" i="1"/>
  <c r="L530" i="1"/>
  <c r="K530" i="1"/>
  <c r="U529" i="1"/>
  <c r="AC529" i="1" s="1"/>
  <c r="AD529" i="1" s="1"/>
  <c r="P529" i="1"/>
  <c r="N529" i="1"/>
  <c r="L529" i="1"/>
  <c r="K529" i="1"/>
  <c r="U528" i="1"/>
  <c r="AC528" i="1" s="1"/>
  <c r="AD528" i="1" s="1"/>
  <c r="P528" i="1"/>
  <c r="N528" i="1"/>
  <c r="L528" i="1"/>
  <c r="K528" i="1"/>
  <c r="U527" i="1"/>
  <c r="AC527" i="1" s="1"/>
  <c r="AD527" i="1" s="1"/>
  <c r="P527" i="1"/>
  <c r="Q527" i="1" s="1"/>
  <c r="N527" i="1"/>
  <c r="L527" i="1"/>
  <c r="K527" i="1"/>
  <c r="U526" i="1"/>
  <c r="AC526" i="1" s="1"/>
  <c r="AD526" i="1" s="1"/>
  <c r="P526" i="1"/>
  <c r="N526" i="1"/>
  <c r="L526" i="1"/>
  <c r="K526" i="1"/>
  <c r="U525" i="1"/>
  <c r="AC525" i="1" s="1"/>
  <c r="AD525" i="1" s="1"/>
  <c r="P525" i="1"/>
  <c r="Q525" i="1" s="1"/>
  <c r="N525" i="1"/>
  <c r="L525" i="1"/>
  <c r="K525" i="1"/>
  <c r="U524" i="1"/>
  <c r="AC524" i="1" s="1"/>
  <c r="AD524" i="1" s="1"/>
  <c r="P524" i="1"/>
  <c r="Q524" i="1" s="1"/>
  <c r="N524" i="1"/>
  <c r="L524" i="1"/>
  <c r="K524" i="1"/>
  <c r="U523" i="1"/>
  <c r="AC523" i="1" s="1"/>
  <c r="AD523" i="1" s="1"/>
  <c r="P523" i="1"/>
  <c r="Q523" i="1" s="1"/>
  <c r="N523" i="1"/>
  <c r="L523" i="1"/>
  <c r="K523" i="1"/>
  <c r="V522" i="1"/>
  <c r="U522" i="1" s="1"/>
  <c r="AC522" i="1" s="1"/>
  <c r="AD522" i="1" s="1"/>
  <c r="P522" i="1"/>
  <c r="N522" i="1"/>
  <c r="L522" i="1"/>
  <c r="K522" i="1"/>
  <c r="U521" i="1"/>
  <c r="AC521" i="1" s="1"/>
  <c r="AD521" i="1" s="1"/>
  <c r="P521" i="1"/>
  <c r="Q521" i="1" s="1"/>
  <c r="N521" i="1"/>
  <c r="L521" i="1"/>
  <c r="K521" i="1"/>
  <c r="U520" i="1"/>
  <c r="AC520" i="1" s="1"/>
  <c r="AD520" i="1" s="1"/>
  <c r="P520" i="1"/>
  <c r="N520" i="1"/>
  <c r="L520" i="1"/>
  <c r="K520" i="1"/>
  <c r="V519" i="1"/>
  <c r="P519" i="1"/>
  <c r="Q519" i="1" s="1"/>
  <c r="N519" i="1"/>
  <c r="L519" i="1"/>
  <c r="K519" i="1"/>
  <c r="V518" i="1"/>
  <c r="U518" i="1" s="1"/>
  <c r="AC518" i="1" s="1"/>
  <c r="AD518" i="1" s="1"/>
  <c r="Q518" i="1"/>
  <c r="N518" i="1"/>
  <c r="L518" i="1"/>
  <c r="K518" i="1"/>
  <c r="U517" i="1"/>
  <c r="AC517" i="1" s="1"/>
  <c r="AD517" i="1" s="1"/>
  <c r="P517" i="1"/>
  <c r="Q517" i="1" s="1"/>
  <c r="N517" i="1"/>
  <c r="L517" i="1"/>
  <c r="K517" i="1"/>
  <c r="U516" i="1"/>
  <c r="AC516" i="1" s="1"/>
  <c r="AD516" i="1" s="1"/>
  <c r="P516" i="1"/>
  <c r="Q516" i="1" s="1"/>
  <c r="N516" i="1"/>
  <c r="L516" i="1"/>
  <c r="K516" i="1"/>
  <c r="U515" i="1"/>
  <c r="AC515" i="1" s="1"/>
  <c r="AD515" i="1" s="1"/>
  <c r="P515" i="1"/>
  <c r="Q515" i="1" s="1"/>
  <c r="N515" i="1"/>
  <c r="L515" i="1"/>
  <c r="K515" i="1"/>
  <c r="U514" i="1"/>
  <c r="AC514" i="1" s="1"/>
  <c r="AD514" i="1" s="1"/>
  <c r="P514" i="1"/>
  <c r="N514" i="1"/>
  <c r="L514" i="1"/>
  <c r="K514" i="1"/>
  <c r="U513" i="1"/>
  <c r="AC513" i="1" s="1"/>
  <c r="AD513" i="1" s="1"/>
  <c r="P513" i="1"/>
  <c r="N513" i="1"/>
  <c r="L513" i="1"/>
  <c r="K513" i="1"/>
  <c r="U512" i="1"/>
  <c r="AC512" i="1" s="1"/>
  <c r="AD512" i="1" s="1"/>
  <c r="P512" i="1"/>
  <c r="N512" i="1"/>
  <c r="L512" i="1"/>
  <c r="K512" i="1"/>
  <c r="U511" i="1"/>
  <c r="AC511" i="1" s="1"/>
  <c r="AD511" i="1" s="1"/>
  <c r="P511" i="1"/>
  <c r="Q511" i="1" s="1"/>
  <c r="N511" i="1"/>
  <c r="L511" i="1"/>
  <c r="K511" i="1"/>
  <c r="U510" i="1"/>
  <c r="AC510" i="1" s="1"/>
  <c r="AD510" i="1" s="1"/>
  <c r="P510" i="1"/>
  <c r="N510" i="1"/>
  <c r="L510" i="1"/>
  <c r="K510" i="1"/>
  <c r="U509" i="1"/>
  <c r="AC509" i="1" s="1"/>
  <c r="AD509" i="1" s="1"/>
  <c r="P509" i="1"/>
  <c r="N509" i="1"/>
  <c r="L509" i="1"/>
  <c r="K509" i="1"/>
  <c r="U508" i="1"/>
  <c r="P508" i="1"/>
  <c r="N508" i="1"/>
  <c r="L508" i="1"/>
  <c r="K508" i="1"/>
  <c r="U507" i="1"/>
  <c r="AC507" i="1" s="1"/>
  <c r="AD507" i="1" s="1"/>
  <c r="P507" i="1"/>
  <c r="N507" i="1"/>
  <c r="L507" i="1"/>
  <c r="K507" i="1"/>
  <c r="U506" i="1"/>
  <c r="AC506" i="1" s="1"/>
  <c r="AD506" i="1" s="1"/>
  <c r="P506" i="1"/>
  <c r="N506" i="1"/>
  <c r="L506" i="1"/>
  <c r="K506" i="1"/>
  <c r="U505" i="1"/>
  <c r="AC505" i="1" s="1"/>
  <c r="AD505" i="1" s="1"/>
  <c r="P505" i="1"/>
  <c r="Q505" i="1" s="1"/>
  <c r="N505" i="1"/>
  <c r="L505" i="1"/>
  <c r="K505" i="1"/>
  <c r="U504" i="1"/>
  <c r="AC504" i="1" s="1"/>
  <c r="AD504" i="1" s="1"/>
  <c r="P504" i="1"/>
  <c r="Q504" i="1" s="1"/>
  <c r="N504" i="1"/>
  <c r="L504" i="1"/>
  <c r="K504" i="1"/>
  <c r="U503" i="1"/>
  <c r="AC503" i="1" s="1"/>
  <c r="AD503" i="1" s="1"/>
  <c r="P503" i="1"/>
  <c r="Q503" i="1" s="1"/>
  <c r="N503" i="1"/>
  <c r="L503" i="1"/>
  <c r="K503" i="1"/>
  <c r="U502" i="1"/>
  <c r="AC502" i="1" s="1"/>
  <c r="AD502" i="1" s="1"/>
  <c r="P502" i="1"/>
  <c r="N502" i="1"/>
  <c r="L502" i="1"/>
  <c r="K502" i="1"/>
  <c r="U501" i="1"/>
  <c r="AC501" i="1" s="1"/>
  <c r="AD501" i="1" s="1"/>
  <c r="P501" i="1"/>
  <c r="N501" i="1"/>
  <c r="L501" i="1"/>
  <c r="K501" i="1"/>
  <c r="U500" i="1"/>
  <c r="AC500" i="1" s="1"/>
  <c r="AD500" i="1" s="1"/>
  <c r="P500" i="1"/>
  <c r="Q500" i="1" s="1"/>
  <c r="N500" i="1"/>
  <c r="L500" i="1"/>
  <c r="K500" i="1"/>
  <c r="U499" i="1"/>
  <c r="AC499" i="1" s="1"/>
  <c r="AD499" i="1" s="1"/>
  <c r="P499" i="1"/>
  <c r="Q499" i="1" s="1"/>
  <c r="N499" i="1"/>
  <c r="L499" i="1"/>
  <c r="K499" i="1"/>
  <c r="U498" i="1"/>
  <c r="AC498" i="1" s="1"/>
  <c r="AD498" i="1" s="1"/>
  <c r="P498" i="1"/>
  <c r="Q498" i="1" s="1"/>
  <c r="N498" i="1"/>
  <c r="L498" i="1"/>
  <c r="K498" i="1"/>
  <c r="U497" i="1"/>
  <c r="AC497" i="1" s="1"/>
  <c r="AD497" i="1" s="1"/>
  <c r="P497" i="1"/>
  <c r="N497" i="1"/>
  <c r="L497" i="1"/>
  <c r="K497" i="1"/>
  <c r="V496" i="1"/>
  <c r="P496" i="1"/>
  <c r="N496" i="1"/>
  <c r="L496" i="1"/>
  <c r="K496" i="1"/>
  <c r="U495" i="1"/>
  <c r="AC495" i="1" s="1"/>
  <c r="AD495" i="1" s="1"/>
  <c r="P495" i="1"/>
  <c r="N495" i="1"/>
  <c r="L495" i="1"/>
  <c r="K495" i="1"/>
  <c r="U494" i="1"/>
  <c r="AC494" i="1" s="1"/>
  <c r="AD494" i="1" s="1"/>
  <c r="P494" i="1"/>
  <c r="Q494" i="1" s="1"/>
  <c r="N494" i="1"/>
  <c r="L494" i="1"/>
  <c r="K494" i="1"/>
  <c r="U493" i="1"/>
  <c r="AC493" i="1" s="1"/>
  <c r="AD493" i="1" s="1"/>
  <c r="P493" i="1"/>
  <c r="N493" i="1"/>
  <c r="L493" i="1"/>
  <c r="K493" i="1"/>
  <c r="U492" i="1"/>
  <c r="AC492" i="1" s="1"/>
  <c r="AD492" i="1" s="1"/>
  <c r="P492" i="1"/>
  <c r="Q492" i="1" s="1"/>
  <c r="N492" i="1"/>
  <c r="L492" i="1"/>
  <c r="K492" i="1"/>
  <c r="U491" i="1"/>
  <c r="AC491" i="1" s="1"/>
  <c r="AD491" i="1" s="1"/>
  <c r="P491" i="1"/>
  <c r="N491" i="1"/>
  <c r="L491" i="1"/>
  <c r="K491" i="1"/>
  <c r="U490" i="1"/>
  <c r="AC490" i="1" s="1"/>
  <c r="AD490" i="1" s="1"/>
  <c r="P490" i="1"/>
  <c r="Q490" i="1" s="1"/>
  <c r="N490" i="1"/>
  <c r="L490" i="1"/>
  <c r="K490" i="1"/>
  <c r="U489" i="1"/>
  <c r="AC489" i="1" s="1"/>
  <c r="AD489" i="1" s="1"/>
  <c r="P489" i="1"/>
  <c r="N489" i="1"/>
  <c r="L489" i="1"/>
  <c r="K489" i="1"/>
  <c r="W488" i="1"/>
  <c r="U488" i="1" s="1"/>
  <c r="AC488" i="1" s="1"/>
  <c r="AD488" i="1" s="1"/>
  <c r="Q488" i="1"/>
  <c r="N488" i="1"/>
  <c r="L488" i="1"/>
  <c r="K488" i="1"/>
  <c r="U487" i="1"/>
  <c r="AC487" i="1" s="1"/>
  <c r="AD487" i="1" s="1"/>
  <c r="P487" i="1"/>
  <c r="N487" i="1"/>
  <c r="L487" i="1"/>
  <c r="K487" i="1"/>
  <c r="U486" i="1"/>
  <c r="AC486" i="1" s="1"/>
  <c r="AD486" i="1" s="1"/>
  <c r="P486" i="1"/>
  <c r="Q486" i="1" s="1"/>
  <c r="N486" i="1"/>
  <c r="L486" i="1"/>
  <c r="K486" i="1"/>
  <c r="U485" i="1"/>
  <c r="AC485" i="1" s="1"/>
  <c r="AD485" i="1" s="1"/>
  <c r="P485" i="1"/>
  <c r="N485" i="1"/>
  <c r="L485" i="1"/>
  <c r="K485" i="1"/>
  <c r="U484" i="1"/>
  <c r="P484" i="1"/>
  <c r="Q484" i="1" s="1"/>
  <c r="N484" i="1"/>
  <c r="L484" i="1"/>
  <c r="K484" i="1"/>
  <c r="U483" i="1"/>
  <c r="AC483" i="1" s="1"/>
  <c r="AD483" i="1" s="1"/>
  <c r="P483" i="1"/>
  <c r="N483" i="1"/>
  <c r="L483" i="1"/>
  <c r="K483" i="1"/>
  <c r="U482" i="1"/>
  <c r="AC482" i="1" s="1"/>
  <c r="AD482" i="1" s="1"/>
  <c r="P482" i="1"/>
  <c r="Q482" i="1" s="1"/>
  <c r="N482" i="1"/>
  <c r="L482" i="1"/>
  <c r="K482" i="1"/>
  <c r="U481" i="1"/>
  <c r="AC481" i="1" s="1"/>
  <c r="AD481" i="1" s="1"/>
  <c r="P481" i="1"/>
  <c r="N481" i="1"/>
  <c r="L481" i="1"/>
  <c r="K481" i="1"/>
  <c r="U480" i="1"/>
  <c r="AC480" i="1" s="1"/>
  <c r="AD480" i="1" s="1"/>
  <c r="P480" i="1"/>
  <c r="Q480" i="1" s="1"/>
  <c r="N480" i="1"/>
  <c r="L480" i="1"/>
  <c r="K480" i="1"/>
  <c r="U479" i="1"/>
  <c r="AC479" i="1" s="1"/>
  <c r="AD479" i="1" s="1"/>
  <c r="P479" i="1"/>
  <c r="N479" i="1"/>
  <c r="L479" i="1"/>
  <c r="K479" i="1"/>
  <c r="U478" i="1"/>
  <c r="Q478" i="1"/>
  <c r="N478" i="1"/>
  <c r="L478" i="1"/>
  <c r="K478" i="1"/>
  <c r="U477" i="1"/>
  <c r="AC477" i="1" s="1"/>
  <c r="AD477" i="1" s="1"/>
  <c r="P477" i="1"/>
  <c r="Q477" i="1" s="1"/>
  <c r="N477" i="1"/>
  <c r="L477" i="1"/>
  <c r="K477" i="1"/>
  <c r="U476" i="1"/>
  <c r="AC476" i="1" s="1"/>
  <c r="AD476" i="1" s="1"/>
  <c r="Q476" i="1"/>
  <c r="N476" i="1"/>
  <c r="L476" i="1"/>
  <c r="K476" i="1"/>
  <c r="U475" i="1"/>
  <c r="AC475" i="1" s="1"/>
  <c r="AD475" i="1" s="1"/>
  <c r="P475" i="1"/>
  <c r="N475" i="1"/>
  <c r="L475" i="1"/>
  <c r="K475" i="1"/>
  <c r="U474" i="1"/>
  <c r="AC474" i="1" s="1"/>
  <c r="AD474" i="1" s="1"/>
  <c r="P474" i="1"/>
  <c r="Q474" i="1" s="1"/>
  <c r="N474" i="1"/>
  <c r="L474" i="1"/>
  <c r="K474" i="1"/>
  <c r="U473" i="1"/>
  <c r="AC473" i="1" s="1"/>
  <c r="AD473" i="1" s="1"/>
  <c r="P473" i="1"/>
  <c r="N473" i="1"/>
  <c r="L473" i="1"/>
  <c r="K473" i="1"/>
  <c r="AA472" i="1"/>
  <c r="U472" i="1"/>
  <c r="AC472" i="1" s="1"/>
  <c r="AD472" i="1" s="1"/>
  <c r="P472" i="1"/>
  <c r="N472" i="1"/>
  <c r="L472" i="1"/>
  <c r="K472" i="1"/>
  <c r="U471" i="1"/>
  <c r="AC471" i="1" s="1"/>
  <c r="AD471" i="1" s="1"/>
  <c r="P471" i="1"/>
  <c r="N471" i="1"/>
  <c r="L471" i="1"/>
  <c r="K471" i="1"/>
  <c r="U470" i="1"/>
  <c r="AC470" i="1" s="1"/>
  <c r="AD470" i="1" s="1"/>
  <c r="P470" i="1"/>
  <c r="N470" i="1"/>
  <c r="L470" i="1"/>
  <c r="K470" i="1"/>
  <c r="U469" i="1"/>
  <c r="AC469" i="1" s="1"/>
  <c r="AD469" i="1" s="1"/>
  <c r="P469" i="1"/>
  <c r="Q469" i="1" s="1"/>
  <c r="N469" i="1"/>
  <c r="L469" i="1"/>
  <c r="K469" i="1"/>
  <c r="U468" i="1"/>
  <c r="AC468" i="1" s="1"/>
  <c r="AD468" i="1" s="1"/>
  <c r="P468" i="1"/>
  <c r="N468" i="1"/>
  <c r="L468" i="1"/>
  <c r="K468" i="1"/>
  <c r="U467" i="1"/>
  <c r="AC467" i="1" s="1"/>
  <c r="AD467" i="1" s="1"/>
  <c r="P467" i="1"/>
  <c r="Q467" i="1" s="1"/>
  <c r="N467" i="1"/>
  <c r="L467" i="1"/>
  <c r="K467" i="1"/>
  <c r="U466" i="1"/>
  <c r="AC466" i="1" s="1"/>
  <c r="AD466" i="1" s="1"/>
  <c r="P466" i="1"/>
  <c r="Q466" i="1" s="1"/>
  <c r="N466" i="1"/>
  <c r="L466" i="1"/>
  <c r="K466" i="1"/>
  <c r="U465" i="1"/>
  <c r="AC465" i="1" s="1"/>
  <c r="AD465" i="1" s="1"/>
  <c r="P465" i="1"/>
  <c r="N465" i="1"/>
  <c r="L465" i="1"/>
  <c r="K465" i="1"/>
  <c r="V464" i="1"/>
  <c r="U464" i="1" s="1"/>
  <c r="AC464" i="1" s="1"/>
  <c r="AD464" i="1" s="1"/>
  <c r="P464" i="1"/>
  <c r="N464" i="1"/>
  <c r="L464" i="1"/>
  <c r="K464" i="1"/>
  <c r="U463" i="1"/>
  <c r="AC463" i="1" s="1"/>
  <c r="AD463" i="1" s="1"/>
  <c r="Q463" i="1"/>
  <c r="N463" i="1"/>
  <c r="L463" i="1"/>
  <c r="K463" i="1"/>
  <c r="U462" i="1"/>
  <c r="AC462" i="1" s="1"/>
  <c r="AD462" i="1" s="1"/>
  <c r="P462" i="1"/>
  <c r="Q462" i="1" s="1"/>
  <c r="N462" i="1"/>
  <c r="L462" i="1"/>
  <c r="K462" i="1"/>
  <c r="U461" i="1"/>
  <c r="AC461" i="1" s="1"/>
  <c r="AD461" i="1" s="1"/>
  <c r="P461" i="1"/>
  <c r="N461" i="1"/>
  <c r="L461" i="1"/>
  <c r="K461" i="1"/>
  <c r="U460" i="1"/>
  <c r="AC460" i="1" s="1"/>
  <c r="AD460" i="1" s="1"/>
  <c r="P460" i="1"/>
  <c r="N460" i="1"/>
  <c r="L460" i="1"/>
  <c r="K460" i="1"/>
  <c r="AA459" i="1"/>
  <c r="Y459" i="1"/>
  <c r="V459" i="1"/>
  <c r="U459" i="1" s="1"/>
  <c r="Q459" i="1"/>
  <c r="N459" i="1"/>
  <c r="L459" i="1"/>
  <c r="K459" i="1"/>
  <c r="U458" i="1"/>
  <c r="AC458" i="1" s="1"/>
  <c r="AD458" i="1" s="1"/>
  <c r="P458" i="1"/>
  <c r="N458" i="1"/>
  <c r="L458" i="1"/>
  <c r="K458" i="1"/>
  <c r="U457" i="1"/>
  <c r="AC457" i="1" s="1"/>
  <c r="AD457" i="1" s="1"/>
  <c r="P457" i="1"/>
  <c r="N457" i="1"/>
  <c r="L457" i="1"/>
  <c r="K457" i="1"/>
  <c r="U456" i="1"/>
  <c r="AC456" i="1" s="1"/>
  <c r="AD456" i="1" s="1"/>
  <c r="P456" i="1"/>
  <c r="Q456" i="1" s="1"/>
  <c r="N456" i="1"/>
  <c r="L456" i="1"/>
  <c r="K456" i="1"/>
  <c r="U455" i="1"/>
  <c r="AC455" i="1" s="1"/>
  <c r="AD455" i="1" s="1"/>
  <c r="P455" i="1"/>
  <c r="N455" i="1"/>
  <c r="L455" i="1"/>
  <c r="K455" i="1"/>
  <c r="U454" i="1"/>
  <c r="AC454" i="1" s="1"/>
  <c r="AD454" i="1" s="1"/>
  <c r="P454" i="1"/>
  <c r="N454" i="1"/>
  <c r="L454" i="1"/>
  <c r="K454" i="1"/>
  <c r="U453" i="1"/>
  <c r="AC453" i="1" s="1"/>
  <c r="AD453" i="1" s="1"/>
  <c r="Q453" i="1"/>
  <c r="N453" i="1"/>
  <c r="L453" i="1"/>
  <c r="K453" i="1"/>
  <c r="U452" i="1"/>
  <c r="AC452" i="1" s="1"/>
  <c r="AD452" i="1" s="1"/>
  <c r="P452" i="1"/>
  <c r="Q452" i="1" s="1"/>
  <c r="N452" i="1"/>
  <c r="L452" i="1"/>
  <c r="K452" i="1"/>
  <c r="U451" i="1"/>
  <c r="AC451" i="1" s="1"/>
  <c r="AD451" i="1" s="1"/>
  <c r="P451" i="1"/>
  <c r="N451" i="1"/>
  <c r="L451" i="1"/>
  <c r="K451" i="1"/>
  <c r="U450" i="1"/>
  <c r="Q450" i="1"/>
  <c r="N450" i="1"/>
  <c r="L450" i="1"/>
  <c r="K450" i="1"/>
  <c r="U449" i="1"/>
  <c r="AC449" i="1" s="1"/>
  <c r="AD449" i="1" s="1"/>
  <c r="Q449" i="1"/>
  <c r="N449" i="1"/>
  <c r="L449" i="1"/>
  <c r="K449" i="1"/>
  <c r="U448" i="1"/>
  <c r="AC448" i="1" s="1"/>
  <c r="AD448" i="1" s="1"/>
  <c r="P448" i="1"/>
  <c r="N448" i="1"/>
  <c r="L448" i="1"/>
  <c r="K448" i="1"/>
  <c r="U447" i="1"/>
  <c r="AC447" i="1" s="1"/>
  <c r="AD447" i="1" s="1"/>
  <c r="P447" i="1"/>
  <c r="N447" i="1"/>
  <c r="L447" i="1"/>
  <c r="K447" i="1"/>
  <c r="U446" i="1"/>
  <c r="AC446" i="1" s="1"/>
  <c r="AD446" i="1" s="1"/>
  <c r="P446" i="1"/>
  <c r="Q446" i="1" s="1"/>
  <c r="N446" i="1"/>
  <c r="L446" i="1"/>
  <c r="K446" i="1"/>
  <c r="U445" i="1"/>
  <c r="AC445" i="1" s="1"/>
  <c r="AD445" i="1" s="1"/>
  <c r="P445" i="1"/>
  <c r="N445" i="1"/>
  <c r="L445" i="1"/>
  <c r="K445" i="1"/>
  <c r="U444" i="1"/>
  <c r="AC444" i="1" s="1"/>
  <c r="AD444" i="1" s="1"/>
  <c r="P444" i="1"/>
  <c r="Q444" i="1" s="1"/>
  <c r="N444" i="1"/>
  <c r="L444" i="1"/>
  <c r="K444" i="1"/>
  <c r="U443" i="1"/>
  <c r="P443" i="1"/>
  <c r="N443" i="1"/>
  <c r="L443" i="1"/>
  <c r="K443" i="1"/>
  <c r="U442" i="1"/>
  <c r="AC442" i="1" s="1"/>
  <c r="AD442" i="1" s="1"/>
  <c r="P442" i="1"/>
  <c r="N442" i="1"/>
  <c r="L442" i="1"/>
  <c r="K442" i="1"/>
  <c r="U441" i="1"/>
  <c r="AC441" i="1" s="1"/>
  <c r="AD441" i="1" s="1"/>
  <c r="P441" i="1"/>
  <c r="N441" i="1"/>
  <c r="L441" i="1"/>
  <c r="K441" i="1"/>
  <c r="V440" i="1"/>
  <c r="U440" i="1" s="1"/>
  <c r="P440" i="1"/>
  <c r="Q440" i="1" s="1"/>
  <c r="N440" i="1"/>
  <c r="L440" i="1"/>
  <c r="K440" i="1"/>
  <c r="U439" i="1"/>
  <c r="AC439" i="1" s="1"/>
  <c r="AD439" i="1" s="1"/>
  <c r="P439" i="1"/>
  <c r="Q439" i="1" s="1"/>
  <c r="N439" i="1"/>
  <c r="L439" i="1"/>
  <c r="K439" i="1"/>
  <c r="V438" i="1"/>
  <c r="U438" i="1" s="1"/>
  <c r="Q438" i="1"/>
  <c r="N438" i="1"/>
  <c r="L438" i="1"/>
  <c r="K438" i="1"/>
  <c r="V437" i="1"/>
  <c r="U437" i="1" s="1"/>
  <c r="AC437" i="1" s="1"/>
  <c r="AD437" i="1" s="1"/>
  <c r="P437" i="1"/>
  <c r="Q437" i="1" s="1"/>
  <c r="N437" i="1"/>
  <c r="L437" i="1"/>
  <c r="K437" i="1"/>
  <c r="U436" i="1"/>
  <c r="AC436" i="1" s="1"/>
  <c r="AD436" i="1" s="1"/>
  <c r="P436" i="1"/>
  <c r="Q436" i="1" s="1"/>
  <c r="N436" i="1"/>
  <c r="L436" i="1"/>
  <c r="K436" i="1"/>
  <c r="V435" i="1"/>
  <c r="U435" i="1" s="1"/>
  <c r="AC435" i="1" s="1"/>
  <c r="AD435" i="1" s="1"/>
  <c r="P435" i="1"/>
  <c r="N435" i="1"/>
  <c r="L435" i="1"/>
  <c r="K435" i="1"/>
  <c r="U434" i="1"/>
  <c r="AC434" i="1" s="1"/>
  <c r="AD434" i="1" s="1"/>
  <c r="P434" i="1"/>
  <c r="N434" i="1"/>
  <c r="L434" i="1"/>
  <c r="K434" i="1"/>
  <c r="U433" i="1"/>
  <c r="AC433" i="1" s="1"/>
  <c r="AD433" i="1" s="1"/>
  <c r="P433" i="1"/>
  <c r="Q433" i="1" s="1"/>
  <c r="N433" i="1"/>
  <c r="L433" i="1"/>
  <c r="K433" i="1"/>
  <c r="U432" i="1"/>
  <c r="AC432" i="1" s="1"/>
  <c r="AD432" i="1" s="1"/>
  <c r="P432" i="1"/>
  <c r="N432" i="1"/>
  <c r="L432" i="1"/>
  <c r="K432" i="1"/>
  <c r="U431" i="1"/>
  <c r="AC431" i="1" s="1"/>
  <c r="AD431" i="1" s="1"/>
  <c r="P431" i="1"/>
  <c r="Q431" i="1" s="1"/>
  <c r="N431" i="1"/>
  <c r="L431" i="1"/>
  <c r="K431" i="1"/>
  <c r="U430" i="1"/>
  <c r="AC430" i="1" s="1"/>
  <c r="AD430" i="1" s="1"/>
  <c r="P430" i="1"/>
  <c r="N430" i="1"/>
  <c r="L430" i="1"/>
  <c r="K430" i="1"/>
  <c r="Y429" i="1"/>
  <c r="W429" i="1"/>
  <c r="V429" i="1"/>
  <c r="P429" i="1"/>
  <c r="N429" i="1"/>
  <c r="L429" i="1"/>
  <c r="K429" i="1"/>
  <c r="U428" i="1"/>
  <c r="AC428" i="1" s="1"/>
  <c r="AD428" i="1" s="1"/>
  <c r="P428" i="1"/>
  <c r="Q428" i="1" s="1"/>
  <c r="N428" i="1"/>
  <c r="L428" i="1"/>
  <c r="K428" i="1"/>
  <c r="U427" i="1"/>
  <c r="AC427" i="1" s="1"/>
  <c r="AD427" i="1" s="1"/>
  <c r="P427" i="1"/>
  <c r="N427" i="1"/>
  <c r="L427" i="1"/>
  <c r="K427" i="1"/>
  <c r="V426" i="1"/>
  <c r="U426" i="1" s="1"/>
  <c r="AC426" i="1" s="1"/>
  <c r="AD426" i="1" s="1"/>
  <c r="P426" i="1"/>
  <c r="N426" i="1"/>
  <c r="L426" i="1"/>
  <c r="K426" i="1"/>
  <c r="U425" i="1"/>
  <c r="AC425" i="1" s="1"/>
  <c r="AD425" i="1" s="1"/>
  <c r="P425" i="1"/>
  <c r="Q425" i="1" s="1"/>
  <c r="N425" i="1"/>
  <c r="L425" i="1"/>
  <c r="K425" i="1"/>
  <c r="U424" i="1"/>
  <c r="AC424" i="1" s="1"/>
  <c r="AD424" i="1" s="1"/>
  <c r="Q424" i="1"/>
  <c r="N424" i="1"/>
  <c r="L424" i="1"/>
  <c r="K424" i="1"/>
  <c r="U423" i="1"/>
  <c r="AC423" i="1" s="1"/>
  <c r="AD423" i="1" s="1"/>
  <c r="P423" i="1"/>
  <c r="N423" i="1"/>
  <c r="L423" i="1"/>
  <c r="K423" i="1"/>
  <c r="U422" i="1"/>
  <c r="AC422" i="1" s="1"/>
  <c r="AD422" i="1" s="1"/>
  <c r="P422" i="1"/>
  <c r="N422" i="1"/>
  <c r="L422" i="1"/>
  <c r="K422" i="1"/>
  <c r="U421" i="1"/>
  <c r="AC421" i="1" s="1"/>
  <c r="AD421" i="1" s="1"/>
  <c r="P421" i="1"/>
  <c r="N421" i="1"/>
  <c r="L421" i="1"/>
  <c r="K421" i="1"/>
  <c r="U420" i="1"/>
  <c r="AC420" i="1" s="1"/>
  <c r="AD420" i="1" s="1"/>
  <c r="P420" i="1"/>
  <c r="Q420" i="1" s="1"/>
  <c r="N420" i="1"/>
  <c r="L420" i="1"/>
  <c r="K420" i="1"/>
  <c r="U419" i="1"/>
  <c r="AC419" i="1" s="1"/>
  <c r="AD419" i="1" s="1"/>
  <c r="P419" i="1"/>
  <c r="Q419" i="1" s="1"/>
  <c r="N419" i="1"/>
  <c r="L419" i="1"/>
  <c r="K419" i="1"/>
  <c r="V418" i="1"/>
  <c r="U418" i="1" s="1"/>
  <c r="AC418" i="1" s="1"/>
  <c r="AD418" i="1" s="1"/>
  <c r="P418" i="1"/>
  <c r="N418" i="1"/>
  <c r="L418" i="1"/>
  <c r="K418" i="1"/>
  <c r="U417" i="1"/>
  <c r="AC417" i="1" s="1"/>
  <c r="AD417" i="1" s="1"/>
  <c r="P417" i="1"/>
  <c r="Q417" i="1" s="1"/>
  <c r="N417" i="1"/>
  <c r="L417" i="1"/>
  <c r="K417" i="1"/>
  <c r="U416" i="1"/>
  <c r="AC416" i="1" s="1"/>
  <c r="AD416" i="1" s="1"/>
  <c r="P416" i="1"/>
  <c r="N416" i="1"/>
  <c r="L416" i="1"/>
  <c r="K416" i="1"/>
  <c r="V415" i="1"/>
  <c r="U415" i="1" s="1"/>
  <c r="AC415" i="1" s="1"/>
  <c r="AD415" i="1" s="1"/>
  <c r="P415" i="1"/>
  <c r="N415" i="1"/>
  <c r="L415" i="1"/>
  <c r="K415" i="1"/>
  <c r="V414" i="1"/>
  <c r="U414" i="1" s="1"/>
  <c r="AC414" i="1" s="1"/>
  <c r="AD414" i="1" s="1"/>
  <c r="P414" i="1"/>
  <c r="Q414" i="1" s="1"/>
  <c r="N414" i="1"/>
  <c r="L414" i="1"/>
  <c r="K414" i="1"/>
  <c r="U413" i="1"/>
  <c r="AC413" i="1" s="1"/>
  <c r="AD413" i="1" s="1"/>
  <c r="P413" i="1"/>
  <c r="N413" i="1"/>
  <c r="L413" i="1"/>
  <c r="K413" i="1"/>
  <c r="Y412" i="1"/>
  <c r="V412" i="1"/>
  <c r="U412" i="1" s="1"/>
  <c r="AC412" i="1" s="1"/>
  <c r="AD412" i="1" s="1"/>
  <c r="P412" i="1"/>
  <c r="N412" i="1"/>
  <c r="L412" i="1"/>
  <c r="K412" i="1"/>
  <c r="U411" i="1"/>
  <c r="AC411" i="1" s="1"/>
  <c r="AD411" i="1" s="1"/>
  <c r="P411" i="1"/>
  <c r="Q411" i="1" s="1"/>
  <c r="N411" i="1"/>
  <c r="L411" i="1"/>
  <c r="K411" i="1"/>
  <c r="U410" i="1"/>
  <c r="AC410" i="1" s="1"/>
  <c r="AD410" i="1" s="1"/>
  <c r="P410" i="1"/>
  <c r="N410" i="1"/>
  <c r="L410" i="1"/>
  <c r="K410" i="1"/>
  <c r="U409" i="1"/>
  <c r="AC409" i="1" s="1"/>
  <c r="AD409" i="1" s="1"/>
  <c r="P409" i="1"/>
  <c r="N409" i="1"/>
  <c r="L409" i="1"/>
  <c r="K409" i="1"/>
  <c r="U408" i="1"/>
  <c r="AC408" i="1" s="1"/>
  <c r="AD408" i="1" s="1"/>
  <c r="P408" i="1"/>
  <c r="N408" i="1"/>
  <c r="L408" i="1"/>
  <c r="K408" i="1"/>
  <c r="U407" i="1"/>
  <c r="AC407" i="1" s="1"/>
  <c r="AD407" i="1" s="1"/>
  <c r="P407" i="1"/>
  <c r="Q407" i="1" s="1"/>
  <c r="N407" i="1"/>
  <c r="L407" i="1"/>
  <c r="K407" i="1"/>
  <c r="U406" i="1"/>
  <c r="AC406" i="1" s="1"/>
  <c r="AD406" i="1" s="1"/>
  <c r="P406" i="1"/>
  <c r="N406" i="1"/>
  <c r="L406" i="1"/>
  <c r="K406" i="1"/>
  <c r="U405" i="1"/>
  <c r="AC405" i="1" s="1"/>
  <c r="AD405" i="1" s="1"/>
  <c r="P405" i="1"/>
  <c r="Q405" i="1" s="1"/>
  <c r="N405" i="1"/>
  <c r="L405" i="1"/>
  <c r="K405" i="1"/>
  <c r="U404" i="1"/>
  <c r="AC404" i="1" s="1"/>
  <c r="AD404" i="1" s="1"/>
  <c r="P404" i="1"/>
  <c r="N404" i="1"/>
  <c r="L404" i="1"/>
  <c r="K404" i="1"/>
  <c r="U403" i="1"/>
  <c r="AC403" i="1" s="1"/>
  <c r="AD403" i="1" s="1"/>
  <c r="P403" i="1"/>
  <c r="N403" i="1"/>
  <c r="L403" i="1"/>
  <c r="K403" i="1"/>
  <c r="U402" i="1"/>
  <c r="AC402" i="1" s="1"/>
  <c r="AD402" i="1" s="1"/>
  <c r="P402" i="1"/>
  <c r="N402" i="1"/>
  <c r="L402" i="1"/>
  <c r="K402" i="1"/>
  <c r="U401" i="1"/>
  <c r="AC401" i="1" s="1"/>
  <c r="AD401" i="1" s="1"/>
  <c r="P401" i="1"/>
  <c r="N401" i="1"/>
  <c r="L401" i="1"/>
  <c r="K401" i="1"/>
  <c r="U400" i="1"/>
  <c r="AC400" i="1" s="1"/>
  <c r="AD400" i="1" s="1"/>
  <c r="P400" i="1"/>
  <c r="Q400" i="1" s="1"/>
  <c r="N400" i="1"/>
  <c r="L400" i="1"/>
  <c r="K400" i="1"/>
  <c r="U399" i="1"/>
  <c r="AC399" i="1" s="1"/>
  <c r="AD399" i="1" s="1"/>
  <c r="P399" i="1"/>
  <c r="Q399" i="1" s="1"/>
  <c r="N399" i="1"/>
  <c r="L399" i="1"/>
  <c r="K399" i="1"/>
  <c r="U398" i="1"/>
  <c r="AC398" i="1" s="1"/>
  <c r="AD398" i="1" s="1"/>
  <c r="P398" i="1"/>
  <c r="N398" i="1"/>
  <c r="L398" i="1"/>
  <c r="K398" i="1"/>
  <c r="U397" i="1"/>
  <c r="AC397" i="1" s="1"/>
  <c r="AD397" i="1" s="1"/>
  <c r="P397" i="1"/>
  <c r="Q397" i="1" s="1"/>
  <c r="N397" i="1"/>
  <c r="L397" i="1"/>
  <c r="K397" i="1"/>
  <c r="U396" i="1"/>
  <c r="AC396" i="1" s="1"/>
  <c r="AD396" i="1" s="1"/>
  <c r="P396" i="1"/>
  <c r="Q396" i="1" s="1"/>
  <c r="N396" i="1"/>
  <c r="L396" i="1"/>
  <c r="K396" i="1"/>
  <c r="V395" i="1"/>
  <c r="U395" i="1" s="1"/>
  <c r="AC395" i="1" s="1"/>
  <c r="AD395" i="1" s="1"/>
  <c r="P395" i="1"/>
  <c r="N395" i="1"/>
  <c r="L395" i="1"/>
  <c r="K395" i="1"/>
  <c r="V394" i="1"/>
  <c r="U394" i="1" s="1"/>
  <c r="AC394" i="1" s="1"/>
  <c r="AD394" i="1" s="1"/>
  <c r="P394" i="1"/>
  <c r="Q394" i="1" s="1"/>
  <c r="N394" i="1"/>
  <c r="L394" i="1"/>
  <c r="K394" i="1"/>
  <c r="AA393" i="1"/>
  <c r="Y393" i="1"/>
  <c r="W393" i="1"/>
  <c r="V393" i="1"/>
  <c r="P393" i="1"/>
  <c r="N393" i="1"/>
  <c r="L393" i="1"/>
  <c r="K393" i="1"/>
  <c r="U392" i="1"/>
  <c r="AC392" i="1" s="1"/>
  <c r="AD392" i="1" s="1"/>
  <c r="P392" i="1"/>
  <c r="N392" i="1"/>
  <c r="L392" i="1"/>
  <c r="K392" i="1"/>
  <c r="U391" i="1"/>
  <c r="AC391" i="1" s="1"/>
  <c r="AD391" i="1" s="1"/>
  <c r="P391" i="1"/>
  <c r="Q391" i="1" s="1"/>
  <c r="N391" i="1"/>
  <c r="L391" i="1"/>
  <c r="K391" i="1"/>
  <c r="U390" i="1"/>
  <c r="AC390" i="1" s="1"/>
  <c r="AD390" i="1" s="1"/>
  <c r="P390" i="1"/>
  <c r="Q390" i="1" s="1"/>
  <c r="N390" i="1"/>
  <c r="L390" i="1"/>
  <c r="K390" i="1"/>
  <c r="U389" i="1"/>
  <c r="AC389" i="1" s="1"/>
  <c r="AD389" i="1" s="1"/>
  <c r="P389" i="1"/>
  <c r="Q389" i="1" s="1"/>
  <c r="N389" i="1"/>
  <c r="L389" i="1"/>
  <c r="K389" i="1"/>
  <c r="U388" i="1"/>
  <c r="AC388" i="1" s="1"/>
  <c r="AD388" i="1" s="1"/>
  <c r="P388" i="1"/>
  <c r="Q388" i="1" s="1"/>
  <c r="N388" i="1"/>
  <c r="L388" i="1"/>
  <c r="K388" i="1"/>
  <c r="U387" i="1"/>
  <c r="AC387" i="1" s="1"/>
  <c r="AD387" i="1" s="1"/>
  <c r="P387" i="1"/>
  <c r="Q387" i="1" s="1"/>
  <c r="N387" i="1"/>
  <c r="L387" i="1"/>
  <c r="K387" i="1"/>
  <c r="V386" i="1"/>
  <c r="U386" i="1" s="1"/>
  <c r="AC386" i="1" s="1"/>
  <c r="AD386" i="1" s="1"/>
  <c r="Q386" i="1"/>
  <c r="N386" i="1"/>
  <c r="L386" i="1"/>
  <c r="K386" i="1"/>
  <c r="U385" i="1"/>
  <c r="AC385" i="1" s="1"/>
  <c r="AD385" i="1" s="1"/>
  <c r="P385" i="1"/>
  <c r="N385" i="1"/>
  <c r="L385" i="1"/>
  <c r="K385" i="1"/>
  <c r="U384" i="1"/>
  <c r="AC384" i="1" s="1"/>
  <c r="AD384" i="1" s="1"/>
  <c r="P384" i="1"/>
  <c r="N384" i="1"/>
  <c r="L384" i="1"/>
  <c r="K384" i="1"/>
  <c r="U383" i="1"/>
  <c r="AC383" i="1" s="1"/>
  <c r="AD383" i="1" s="1"/>
  <c r="P383" i="1"/>
  <c r="N383" i="1"/>
  <c r="L383" i="1"/>
  <c r="K383" i="1"/>
  <c r="U382" i="1"/>
  <c r="AC382" i="1" s="1"/>
  <c r="AD382" i="1" s="1"/>
  <c r="P382" i="1"/>
  <c r="Q382" i="1" s="1"/>
  <c r="N382" i="1"/>
  <c r="L382" i="1"/>
  <c r="K382" i="1"/>
  <c r="U381" i="1"/>
  <c r="AC381" i="1" s="1"/>
  <c r="AD381" i="1" s="1"/>
  <c r="P381" i="1"/>
  <c r="Q381" i="1" s="1"/>
  <c r="N381" i="1"/>
  <c r="L381" i="1"/>
  <c r="K381" i="1"/>
  <c r="U380" i="1"/>
  <c r="AC380" i="1" s="1"/>
  <c r="AD380" i="1" s="1"/>
  <c r="P380" i="1"/>
  <c r="N380" i="1"/>
  <c r="L380" i="1"/>
  <c r="K380" i="1"/>
  <c r="V379" i="1"/>
  <c r="U379" i="1" s="1"/>
  <c r="AC379" i="1" s="1"/>
  <c r="AD379" i="1" s="1"/>
  <c r="P379" i="1"/>
  <c r="N379" i="1"/>
  <c r="L379" i="1"/>
  <c r="K379" i="1"/>
  <c r="U378" i="1"/>
  <c r="AC378" i="1" s="1"/>
  <c r="AD378" i="1" s="1"/>
  <c r="P378" i="1"/>
  <c r="N378" i="1"/>
  <c r="L378" i="1"/>
  <c r="K378" i="1"/>
  <c r="U377" i="1"/>
  <c r="AC377" i="1" s="1"/>
  <c r="AD377" i="1" s="1"/>
  <c r="P377" i="1"/>
  <c r="Q377" i="1" s="1"/>
  <c r="N377" i="1"/>
  <c r="L377" i="1"/>
  <c r="K377" i="1"/>
  <c r="U376" i="1"/>
  <c r="AC376" i="1" s="1"/>
  <c r="AD376" i="1" s="1"/>
  <c r="P376" i="1"/>
  <c r="N376" i="1"/>
  <c r="L376" i="1"/>
  <c r="K376" i="1"/>
  <c r="U375" i="1"/>
  <c r="AC375" i="1" s="1"/>
  <c r="AD375" i="1" s="1"/>
  <c r="P375" i="1"/>
  <c r="N375" i="1"/>
  <c r="L375" i="1"/>
  <c r="K375" i="1"/>
  <c r="U374" i="1"/>
  <c r="AC374" i="1" s="1"/>
  <c r="AD374" i="1" s="1"/>
  <c r="P374" i="1"/>
  <c r="Q374" i="1" s="1"/>
  <c r="N374" i="1"/>
  <c r="L374" i="1"/>
  <c r="K374" i="1"/>
  <c r="U373" i="1"/>
  <c r="AC373" i="1" s="1"/>
  <c r="AD373" i="1" s="1"/>
  <c r="P373" i="1"/>
  <c r="Q373" i="1" s="1"/>
  <c r="N373" i="1"/>
  <c r="L373" i="1"/>
  <c r="K373" i="1"/>
  <c r="U372" i="1"/>
  <c r="AC372" i="1" s="1"/>
  <c r="AD372" i="1" s="1"/>
  <c r="P372" i="1"/>
  <c r="Q372" i="1" s="1"/>
  <c r="N372" i="1"/>
  <c r="L372" i="1"/>
  <c r="K372" i="1"/>
  <c r="U371" i="1"/>
  <c r="AC371" i="1" s="1"/>
  <c r="AD371" i="1" s="1"/>
  <c r="P371" i="1"/>
  <c r="Q371" i="1" s="1"/>
  <c r="N371" i="1"/>
  <c r="L371" i="1"/>
  <c r="K371" i="1"/>
  <c r="U370" i="1"/>
  <c r="AC370" i="1" s="1"/>
  <c r="AD370" i="1" s="1"/>
  <c r="P370" i="1"/>
  <c r="N370" i="1"/>
  <c r="L370" i="1"/>
  <c r="K370" i="1"/>
  <c r="U369" i="1"/>
  <c r="AC369" i="1" s="1"/>
  <c r="AD369" i="1" s="1"/>
  <c r="P369" i="1"/>
  <c r="N369" i="1"/>
  <c r="L369" i="1"/>
  <c r="K369" i="1"/>
  <c r="U368" i="1"/>
  <c r="AC368" i="1" s="1"/>
  <c r="AD368" i="1" s="1"/>
  <c r="P368" i="1"/>
  <c r="N368" i="1"/>
  <c r="L368" i="1"/>
  <c r="K368" i="1"/>
  <c r="U367" i="1"/>
  <c r="AC367" i="1" s="1"/>
  <c r="AD367" i="1" s="1"/>
  <c r="P367" i="1"/>
  <c r="N367" i="1"/>
  <c r="L367" i="1"/>
  <c r="K367" i="1"/>
  <c r="U366" i="1"/>
  <c r="AC366" i="1" s="1"/>
  <c r="AD366" i="1" s="1"/>
  <c r="P366" i="1"/>
  <c r="N366" i="1"/>
  <c r="L366" i="1"/>
  <c r="K366" i="1"/>
  <c r="U365" i="1"/>
  <c r="AC365" i="1" s="1"/>
  <c r="AD365" i="1" s="1"/>
  <c r="P365" i="1"/>
  <c r="Q365" i="1" s="1"/>
  <c r="N365" i="1"/>
  <c r="L365" i="1"/>
  <c r="K365" i="1"/>
  <c r="U364" i="1"/>
  <c r="AC364" i="1" s="1"/>
  <c r="AD364" i="1" s="1"/>
  <c r="P364" i="1"/>
  <c r="Q364" i="1" s="1"/>
  <c r="N364" i="1"/>
  <c r="L364" i="1"/>
  <c r="K364" i="1"/>
  <c r="U363" i="1"/>
  <c r="AC363" i="1" s="1"/>
  <c r="AD363" i="1" s="1"/>
  <c r="P363" i="1"/>
  <c r="N363" i="1"/>
  <c r="L363" i="1"/>
  <c r="K363" i="1"/>
  <c r="U362" i="1"/>
  <c r="AC362" i="1" s="1"/>
  <c r="AD362" i="1" s="1"/>
  <c r="P362" i="1"/>
  <c r="Q362" i="1" s="1"/>
  <c r="N362" i="1"/>
  <c r="L362" i="1"/>
  <c r="K362" i="1"/>
  <c r="U361" i="1"/>
  <c r="AC361" i="1" s="1"/>
  <c r="AD361" i="1" s="1"/>
  <c r="P361" i="1"/>
  <c r="Q361" i="1" s="1"/>
  <c r="N361" i="1"/>
  <c r="L361" i="1"/>
  <c r="K361" i="1"/>
  <c r="U360" i="1"/>
  <c r="AC360" i="1" s="1"/>
  <c r="AD360" i="1" s="1"/>
  <c r="P360" i="1"/>
  <c r="Q360" i="1" s="1"/>
  <c r="N360" i="1"/>
  <c r="L360" i="1"/>
  <c r="K360" i="1"/>
  <c r="U359" i="1"/>
  <c r="AC359" i="1" s="1"/>
  <c r="AD359" i="1" s="1"/>
  <c r="P359" i="1"/>
  <c r="Q359" i="1" s="1"/>
  <c r="N359" i="1"/>
  <c r="L359" i="1"/>
  <c r="K359" i="1"/>
  <c r="U358" i="1"/>
  <c r="AC358" i="1" s="1"/>
  <c r="AD358" i="1" s="1"/>
  <c r="P358" i="1"/>
  <c r="Q358" i="1" s="1"/>
  <c r="N358" i="1"/>
  <c r="L358" i="1"/>
  <c r="K358" i="1"/>
  <c r="U357" i="1"/>
  <c r="AC357" i="1" s="1"/>
  <c r="AD357" i="1" s="1"/>
  <c r="P357" i="1"/>
  <c r="Q357" i="1" s="1"/>
  <c r="N357" i="1"/>
  <c r="L357" i="1"/>
  <c r="K357" i="1"/>
  <c r="U356" i="1"/>
  <c r="AC356" i="1" s="1"/>
  <c r="AD356" i="1" s="1"/>
  <c r="P356" i="1"/>
  <c r="N356" i="1"/>
  <c r="L356" i="1"/>
  <c r="K356" i="1"/>
  <c r="U355" i="1"/>
  <c r="AC355" i="1" s="1"/>
  <c r="AD355" i="1" s="1"/>
  <c r="P355" i="1"/>
  <c r="N355" i="1"/>
  <c r="L355" i="1"/>
  <c r="K355" i="1"/>
  <c r="U354" i="1"/>
  <c r="AC354" i="1" s="1"/>
  <c r="AD354" i="1" s="1"/>
  <c r="P354" i="1"/>
  <c r="N354" i="1"/>
  <c r="L354" i="1"/>
  <c r="K354" i="1"/>
  <c r="U353" i="1"/>
  <c r="AC353" i="1" s="1"/>
  <c r="AD353" i="1" s="1"/>
  <c r="P353" i="1"/>
  <c r="N353" i="1"/>
  <c r="L353" i="1"/>
  <c r="K353" i="1"/>
  <c r="U352" i="1"/>
  <c r="AC352" i="1" s="1"/>
  <c r="AD352" i="1" s="1"/>
  <c r="P352" i="1"/>
  <c r="Q352" i="1" s="1"/>
  <c r="N352" i="1"/>
  <c r="L352" i="1"/>
  <c r="K352" i="1"/>
  <c r="U351" i="1"/>
  <c r="AC351" i="1" s="1"/>
  <c r="AD351" i="1" s="1"/>
  <c r="P351" i="1"/>
  <c r="N351" i="1"/>
  <c r="L351" i="1"/>
  <c r="K351" i="1"/>
  <c r="U350" i="1"/>
  <c r="AC350" i="1" s="1"/>
  <c r="AD350" i="1" s="1"/>
  <c r="P350" i="1"/>
  <c r="Q350" i="1" s="1"/>
  <c r="N350" i="1"/>
  <c r="L350" i="1"/>
  <c r="K350" i="1"/>
  <c r="U349" i="1"/>
  <c r="AC349" i="1" s="1"/>
  <c r="AD349" i="1" s="1"/>
  <c r="P349" i="1"/>
  <c r="Q349" i="1" s="1"/>
  <c r="N349" i="1"/>
  <c r="L349" i="1"/>
  <c r="K349" i="1"/>
  <c r="U348" i="1"/>
  <c r="AC348" i="1" s="1"/>
  <c r="AD348" i="1" s="1"/>
  <c r="P348" i="1"/>
  <c r="N348" i="1"/>
  <c r="L348" i="1"/>
  <c r="K348" i="1"/>
  <c r="U347" i="1"/>
  <c r="S347" i="1" s="1"/>
  <c r="T347" i="1" s="1"/>
  <c r="N347" i="1"/>
  <c r="L347" i="1"/>
  <c r="K347" i="1"/>
  <c r="U346" i="1"/>
  <c r="AC346" i="1" s="1"/>
  <c r="AD346" i="1" s="1"/>
  <c r="P346" i="1"/>
  <c r="Q346" i="1" s="1"/>
  <c r="N346" i="1"/>
  <c r="L346" i="1"/>
  <c r="K346" i="1"/>
  <c r="U345" i="1"/>
  <c r="AC345" i="1" s="1"/>
  <c r="AD345" i="1" s="1"/>
  <c r="P345" i="1"/>
  <c r="Q345" i="1" s="1"/>
  <c r="N345" i="1"/>
  <c r="L345" i="1"/>
  <c r="K345" i="1"/>
  <c r="U344" i="1"/>
  <c r="AC344" i="1" s="1"/>
  <c r="AD344" i="1" s="1"/>
  <c r="P344" i="1"/>
  <c r="Q344" i="1" s="1"/>
  <c r="N344" i="1"/>
  <c r="L344" i="1"/>
  <c r="K344" i="1"/>
  <c r="U343" i="1"/>
  <c r="AC343" i="1" s="1"/>
  <c r="AD343" i="1" s="1"/>
  <c r="P343" i="1"/>
  <c r="Q343" i="1" s="1"/>
  <c r="N343" i="1"/>
  <c r="L343" i="1"/>
  <c r="K343" i="1"/>
  <c r="U342" i="1"/>
  <c r="AC342" i="1" s="1"/>
  <c r="AD342" i="1" s="1"/>
  <c r="P342" i="1"/>
  <c r="N342" i="1"/>
  <c r="L342" i="1"/>
  <c r="K342" i="1"/>
  <c r="U341" i="1"/>
  <c r="AC341" i="1" s="1"/>
  <c r="AD341" i="1" s="1"/>
  <c r="P341" i="1"/>
  <c r="Q341" i="1" s="1"/>
  <c r="N341" i="1"/>
  <c r="L341" i="1"/>
  <c r="K341" i="1"/>
  <c r="U340" i="1"/>
  <c r="AC340" i="1" s="1"/>
  <c r="AD340" i="1" s="1"/>
  <c r="P340" i="1"/>
  <c r="N340" i="1"/>
  <c r="L340" i="1"/>
  <c r="K340" i="1"/>
  <c r="U339" i="1"/>
  <c r="AC339" i="1" s="1"/>
  <c r="AD339" i="1" s="1"/>
  <c r="P339" i="1"/>
  <c r="Q339" i="1" s="1"/>
  <c r="N339" i="1"/>
  <c r="L339" i="1"/>
  <c r="K339" i="1"/>
  <c r="U338" i="1"/>
  <c r="AC338" i="1" s="1"/>
  <c r="AD338" i="1" s="1"/>
  <c r="P338" i="1"/>
  <c r="Q338" i="1" s="1"/>
  <c r="N338" i="1"/>
  <c r="L338" i="1"/>
  <c r="K338" i="1"/>
  <c r="U337" i="1"/>
  <c r="AC337" i="1" s="1"/>
  <c r="AD337" i="1" s="1"/>
  <c r="P337" i="1"/>
  <c r="N337" i="1"/>
  <c r="L337" i="1"/>
  <c r="K337" i="1"/>
  <c r="U336" i="1"/>
  <c r="AC336" i="1" s="1"/>
  <c r="AD336" i="1" s="1"/>
  <c r="P336" i="1"/>
  <c r="N336" i="1"/>
  <c r="L336" i="1"/>
  <c r="K336" i="1"/>
  <c r="U335" i="1"/>
  <c r="AC335" i="1" s="1"/>
  <c r="AD335" i="1" s="1"/>
  <c r="P335" i="1"/>
  <c r="Q335" i="1" s="1"/>
  <c r="N335" i="1"/>
  <c r="L335" i="1"/>
  <c r="K335" i="1"/>
  <c r="U334" i="1"/>
  <c r="AC334" i="1" s="1"/>
  <c r="AD334" i="1" s="1"/>
  <c r="P334" i="1"/>
  <c r="Q334" i="1" s="1"/>
  <c r="N334" i="1"/>
  <c r="L334" i="1"/>
  <c r="K334" i="1"/>
  <c r="U333" i="1"/>
  <c r="AC333" i="1" s="1"/>
  <c r="AD333" i="1" s="1"/>
  <c r="P333" i="1"/>
  <c r="N333" i="1"/>
  <c r="L333" i="1"/>
  <c r="K333" i="1"/>
  <c r="U332" i="1"/>
  <c r="AC332" i="1" s="1"/>
  <c r="AD332" i="1" s="1"/>
  <c r="P332" i="1"/>
  <c r="N332" i="1"/>
  <c r="L332" i="1"/>
  <c r="K332" i="1"/>
  <c r="U331" i="1"/>
  <c r="AC331" i="1" s="1"/>
  <c r="AD331" i="1" s="1"/>
  <c r="Q331" i="1"/>
  <c r="N331" i="1"/>
  <c r="L331" i="1"/>
  <c r="K331" i="1"/>
  <c r="U330" i="1"/>
  <c r="AC330" i="1" s="1"/>
  <c r="AD330" i="1" s="1"/>
  <c r="P330" i="1"/>
  <c r="Q330" i="1" s="1"/>
  <c r="N330" i="1"/>
  <c r="L330" i="1"/>
  <c r="K330" i="1"/>
  <c r="U329" i="1"/>
  <c r="AC329" i="1" s="1"/>
  <c r="AD329" i="1" s="1"/>
  <c r="Q329" i="1"/>
  <c r="N329" i="1"/>
  <c r="L329" i="1"/>
  <c r="K329" i="1"/>
  <c r="U328" i="1"/>
  <c r="P328" i="1"/>
  <c r="N328" i="1"/>
  <c r="L328" i="1"/>
  <c r="K328" i="1"/>
  <c r="U327" i="1"/>
  <c r="AC327" i="1" s="1"/>
  <c r="AD327" i="1" s="1"/>
  <c r="P327" i="1"/>
  <c r="Q327" i="1" s="1"/>
  <c r="N327" i="1"/>
  <c r="L327" i="1"/>
  <c r="K327" i="1"/>
  <c r="U326" i="1"/>
  <c r="AC326" i="1" s="1"/>
  <c r="AD326" i="1" s="1"/>
  <c r="P326" i="1"/>
  <c r="N326" i="1"/>
  <c r="L326" i="1"/>
  <c r="K326" i="1"/>
  <c r="U325" i="1"/>
  <c r="AC325" i="1" s="1"/>
  <c r="AD325" i="1" s="1"/>
  <c r="P325" i="1"/>
  <c r="N325" i="1"/>
  <c r="L325" i="1"/>
  <c r="K325" i="1"/>
  <c r="U324" i="1"/>
  <c r="AC324" i="1" s="1"/>
  <c r="AD324" i="1" s="1"/>
  <c r="P324" i="1"/>
  <c r="Q324" i="1" s="1"/>
  <c r="N324" i="1"/>
  <c r="L324" i="1"/>
  <c r="K324" i="1"/>
  <c r="U323" i="1"/>
  <c r="AC323" i="1" s="1"/>
  <c r="AD323" i="1" s="1"/>
  <c r="P323" i="1"/>
  <c r="Q323" i="1" s="1"/>
  <c r="N323" i="1"/>
  <c r="L323" i="1"/>
  <c r="K323" i="1"/>
  <c r="U322" i="1"/>
  <c r="AC322" i="1" s="1"/>
  <c r="AD322" i="1" s="1"/>
  <c r="P322" i="1"/>
  <c r="N322" i="1"/>
  <c r="L322" i="1"/>
  <c r="K322" i="1"/>
  <c r="U321" i="1"/>
  <c r="AC321" i="1" s="1"/>
  <c r="AD321" i="1" s="1"/>
  <c r="P321" i="1"/>
  <c r="N321" i="1"/>
  <c r="L321" i="1"/>
  <c r="K321" i="1"/>
  <c r="AA320" i="1"/>
  <c r="U320" i="1"/>
  <c r="AC320" i="1" s="1"/>
  <c r="AD320" i="1" s="1"/>
  <c r="P320" i="1"/>
  <c r="N320" i="1"/>
  <c r="L320" i="1"/>
  <c r="K320" i="1"/>
  <c r="U319" i="1"/>
  <c r="AC319" i="1" s="1"/>
  <c r="AD319" i="1" s="1"/>
  <c r="P319" i="1"/>
  <c r="Q319" i="1" s="1"/>
  <c r="N319" i="1"/>
  <c r="L319" i="1"/>
  <c r="K319" i="1"/>
  <c r="U318" i="1"/>
  <c r="AC318" i="1" s="1"/>
  <c r="AD318" i="1" s="1"/>
  <c r="P318" i="1"/>
  <c r="Q318" i="1" s="1"/>
  <c r="N318" i="1"/>
  <c r="L318" i="1"/>
  <c r="K318" i="1"/>
  <c r="U317" i="1"/>
  <c r="AC317" i="1" s="1"/>
  <c r="AD317" i="1" s="1"/>
  <c r="P317" i="1"/>
  <c r="Q317" i="1" s="1"/>
  <c r="N317" i="1"/>
  <c r="L317" i="1"/>
  <c r="K317" i="1"/>
  <c r="V316" i="1"/>
  <c r="U316" i="1" s="1"/>
  <c r="AC316" i="1" s="1"/>
  <c r="AD316" i="1" s="1"/>
  <c r="P316" i="1"/>
  <c r="Q316" i="1" s="1"/>
  <c r="N316" i="1"/>
  <c r="L316" i="1"/>
  <c r="K316" i="1"/>
  <c r="V315" i="1"/>
  <c r="U315" i="1" s="1"/>
  <c r="AC315" i="1" s="1"/>
  <c r="AD315" i="1" s="1"/>
  <c r="P315" i="1"/>
  <c r="Q315" i="1" s="1"/>
  <c r="N315" i="1"/>
  <c r="L315" i="1"/>
  <c r="K315" i="1"/>
  <c r="V314" i="1"/>
  <c r="U314" i="1" s="1"/>
  <c r="AC314" i="1" s="1"/>
  <c r="AD314" i="1" s="1"/>
  <c r="P314" i="1"/>
  <c r="Q314" i="1" s="1"/>
  <c r="N314" i="1"/>
  <c r="L314" i="1"/>
  <c r="K314" i="1"/>
  <c r="U313" i="1"/>
  <c r="AC313" i="1" s="1"/>
  <c r="AD313" i="1" s="1"/>
  <c r="P313" i="1"/>
  <c r="Q313" i="1" s="1"/>
  <c r="N313" i="1"/>
  <c r="L313" i="1"/>
  <c r="K313" i="1"/>
  <c r="U312" i="1"/>
  <c r="AC312" i="1" s="1"/>
  <c r="AD312" i="1" s="1"/>
  <c r="P312" i="1"/>
  <c r="N312" i="1"/>
  <c r="L312" i="1"/>
  <c r="K312" i="1"/>
  <c r="W311" i="1"/>
  <c r="V311" i="1"/>
  <c r="Q311" i="1"/>
  <c r="N311" i="1"/>
  <c r="L311" i="1"/>
  <c r="K311" i="1"/>
  <c r="V310" i="1"/>
  <c r="U310" i="1" s="1"/>
  <c r="AC310" i="1" s="1"/>
  <c r="AD310" i="1" s="1"/>
  <c r="P310" i="1"/>
  <c r="Q310" i="1" s="1"/>
  <c r="N310" i="1"/>
  <c r="L310" i="1"/>
  <c r="K310" i="1"/>
  <c r="U309" i="1"/>
  <c r="AC309" i="1" s="1"/>
  <c r="AD309" i="1" s="1"/>
  <c r="P309" i="1"/>
  <c r="Q309" i="1" s="1"/>
  <c r="N309" i="1"/>
  <c r="L309" i="1"/>
  <c r="K309" i="1"/>
  <c r="U308" i="1"/>
  <c r="AC308" i="1" s="1"/>
  <c r="AD308" i="1" s="1"/>
  <c r="P308" i="1"/>
  <c r="Q308" i="1" s="1"/>
  <c r="N308" i="1"/>
  <c r="L308" i="1"/>
  <c r="K308" i="1"/>
  <c r="V307" i="1"/>
  <c r="U307" i="1" s="1"/>
  <c r="AC307" i="1" s="1"/>
  <c r="AD307" i="1" s="1"/>
  <c r="P307" i="1"/>
  <c r="N307" i="1"/>
  <c r="L307" i="1"/>
  <c r="K307" i="1"/>
  <c r="U306" i="1"/>
  <c r="AC306" i="1" s="1"/>
  <c r="AD306" i="1" s="1"/>
  <c r="P306" i="1"/>
  <c r="Q306" i="1" s="1"/>
  <c r="N306" i="1"/>
  <c r="L306" i="1"/>
  <c r="K306" i="1"/>
  <c r="V305" i="1"/>
  <c r="U305" i="1" s="1"/>
  <c r="AC305" i="1" s="1"/>
  <c r="AD305" i="1" s="1"/>
  <c r="Q305" i="1"/>
  <c r="N305" i="1"/>
  <c r="L305" i="1"/>
  <c r="K305" i="1"/>
  <c r="U304" i="1"/>
  <c r="AC304" i="1" s="1"/>
  <c r="AD304" i="1" s="1"/>
  <c r="P304" i="1"/>
  <c r="Q304" i="1" s="1"/>
  <c r="N304" i="1"/>
  <c r="L304" i="1"/>
  <c r="K304" i="1"/>
  <c r="U303" i="1"/>
  <c r="AC303" i="1" s="1"/>
  <c r="AD303" i="1" s="1"/>
  <c r="P303" i="1"/>
  <c r="Q303" i="1" s="1"/>
  <c r="N303" i="1"/>
  <c r="L303" i="1"/>
  <c r="K303" i="1"/>
  <c r="U302" i="1"/>
  <c r="AC302" i="1" s="1"/>
  <c r="AD302" i="1" s="1"/>
  <c r="P302" i="1"/>
  <c r="Q302" i="1" s="1"/>
  <c r="N302" i="1"/>
  <c r="L302" i="1"/>
  <c r="K302" i="1"/>
  <c r="U301" i="1"/>
  <c r="AC301" i="1" s="1"/>
  <c r="AD301" i="1" s="1"/>
  <c r="P301" i="1"/>
  <c r="Q301" i="1" s="1"/>
  <c r="N301" i="1"/>
  <c r="L301" i="1"/>
  <c r="K301" i="1"/>
  <c r="U300" i="1"/>
  <c r="AC300" i="1" s="1"/>
  <c r="AD300" i="1" s="1"/>
  <c r="P300" i="1"/>
  <c r="Q300" i="1" s="1"/>
  <c r="N300" i="1"/>
  <c r="L300" i="1"/>
  <c r="K300" i="1"/>
  <c r="U299" i="1"/>
  <c r="AC299" i="1" s="1"/>
  <c r="AD299" i="1" s="1"/>
  <c r="P299" i="1"/>
  <c r="Q299" i="1" s="1"/>
  <c r="N299" i="1"/>
  <c r="L299" i="1"/>
  <c r="K299" i="1"/>
  <c r="U298" i="1"/>
  <c r="AC298" i="1" s="1"/>
  <c r="AD298" i="1" s="1"/>
  <c r="P298" i="1"/>
  <c r="N298" i="1"/>
  <c r="L298" i="1"/>
  <c r="K298" i="1"/>
  <c r="U297" i="1"/>
  <c r="AC297" i="1" s="1"/>
  <c r="AD297" i="1" s="1"/>
  <c r="P297" i="1"/>
  <c r="Q297" i="1" s="1"/>
  <c r="N297" i="1"/>
  <c r="L297" i="1"/>
  <c r="K297" i="1"/>
  <c r="U296" i="1"/>
  <c r="AC296" i="1" s="1"/>
  <c r="AD296" i="1" s="1"/>
  <c r="P296" i="1"/>
  <c r="Q296" i="1" s="1"/>
  <c r="N296" i="1"/>
  <c r="L296" i="1"/>
  <c r="K296" i="1"/>
  <c r="U295" i="1"/>
  <c r="AC295" i="1" s="1"/>
  <c r="AD295" i="1" s="1"/>
  <c r="P295" i="1"/>
  <c r="Q295" i="1" s="1"/>
  <c r="N295" i="1"/>
  <c r="L295" i="1"/>
  <c r="K295" i="1"/>
  <c r="U294" i="1"/>
  <c r="AC294" i="1" s="1"/>
  <c r="AD294" i="1" s="1"/>
  <c r="P294" i="1"/>
  <c r="Q294" i="1" s="1"/>
  <c r="N294" i="1"/>
  <c r="L294" i="1"/>
  <c r="K294" i="1"/>
  <c r="U293" i="1"/>
  <c r="AC293" i="1" s="1"/>
  <c r="AD293" i="1" s="1"/>
  <c r="P293" i="1"/>
  <c r="Q293" i="1" s="1"/>
  <c r="N293" i="1"/>
  <c r="L293" i="1"/>
  <c r="K293" i="1"/>
  <c r="U292" i="1"/>
  <c r="AC292" i="1" s="1"/>
  <c r="AD292" i="1" s="1"/>
  <c r="P292" i="1"/>
  <c r="Q292" i="1" s="1"/>
  <c r="N292" i="1"/>
  <c r="L292" i="1"/>
  <c r="K292" i="1"/>
  <c r="U291" i="1"/>
  <c r="AC291" i="1" s="1"/>
  <c r="AD291" i="1" s="1"/>
  <c r="P291" i="1"/>
  <c r="Q291" i="1" s="1"/>
  <c r="N291" i="1"/>
  <c r="L291" i="1"/>
  <c r="K291" i="1"/>
  <c r="U290" i="1"/>
  <c r="AC290" i="1" s="1"/>
  <c r="AD290" i="1" s="1"/>
  <c r="P290" i="1"/>
  <c r="Q290" i="1" s="1"/>
  <c r="N290" i="1"/>
  <c r="L290" i="1"/>
  <c r="K290" i="1"/>
  <c r="U289" i="1"/>
  <c r="AC289" i="1" s="1"/>
  <c r="AD289" i="1" s="1"/>
  <c r="P289" i="1"/>
  <c r="N289" i="1"/>
  <c r="L289" i="1"/>
  <c r="K289" i="1"/>
  <c r="U288" i="1"/>
  <c r="AC288" i="1" s="1"/>
  <c r="AD288" i="1" s="1"/>
  <c r="P288" i="1"/>
  <c r="Q288" i="1" s="1"/>
  <c r="N288" i="1"/>
  <c r="L288" i="1"/>
  <c r="K288" i="1"/>
  <c r="U287" i="1"/>
  <c r="AC287" i="1" s="1"/>
  <c r="AD287" i="1" s="1"/>
  <c r="P287" i="1"/>
  <c r="N287" i="1"/>
  <c r="L287" i="1"/>
  <c r="K287" i="1"/>
  <c r="U286" i="1"/>
  <c r="AC286" i="1" s="1"/>
  <c r="AD286" i="1" s="1"/>
  <c r="P286" i="1"/>
  <c r="Q286" i="1" s="1"/>
  <c r="N286" i="1"/>
  <c r="L286" i="1"/>
  <c r="K286" i="1"/>
  <c r="U285" i="1"/>
  <c r="AC285" i="1" s="1"/>
  <c r="AD285" i="1" s="1"/>
  <c r="P285" i="1"/>
  <c r="N285" i="1"/>
  <c r="L285" i="1"/>
  <c r="K285" i="1"/>
  <c r="U284" i="1"/>
  <c r="AC284" i="1" s="1"/>
  <c r="AD284" i="1" s="1"/>
  <c r="P284" i="1"/>
  <c r="Q284" i="1" s="1"/>
  <c r="N284" i="1"/>
  <c r="L284" i="1"/>
  <c r="K284" i="1"/>
  <c r="U283" i="1"/>
  <c r="AC283" i="1" s="1"/>
  <c r="AD283" i="1" s="1"/>
  <c r="P283" i="1"/>
  <c r="N283" i="1"/>
  <c r="L283" i="1"/>
  <c r="K283" i="1"/>
  <c r="U282" i="1"/>
  <c r="AC282" i="1" s="1"/>
  <c r="AD282" i="1" s="1"/>
  <c r="P282" i="1"/>
  <c r="Q282" i="1" s="1"/>
  <c r="N282" i="1"/>
  <c r="L282" i="1"/>
  <c r="K282" i="1"/>
  <c r="U281" i="1"/>
  <c r="AC281" i="1" s="1"/>
  <c r="AD281" i="1" s="1"/>
  <c r="P281" i="1"/>
  <c r="N281" i="1"/>
  <c r="L281" i="1"/>
  <c r="K281" i="1"/>
  <c r="U280" i="1"/>
  <c r="AC280" i="1" s="1"/>
  <c r="AD280" i="1" s="1"/>
  <c r="P280" i="1"/>
  <c r="Q280" i="1" s="1"/>
  <c r="N280" i="1"/>
  <c r="L280" i="1"/>
  <c r="K280" i="1"/>
  <c r="U279" i="1"/>
  <c r="AC279" i="1" s="1"/>
  <c r="AD279" i="1" s="1"/>
  <c r="P279" i="1"/>
  <c r="Q279" i="1" s="1"/>
  <c r="N279" i="1"/>
  <c r="L279" i="1"/>
  <c r="K279" i="1"/>
  <c r="U278" i="1"/>
  <c r="AC278" i="1" s="1"/>
  <c r="AD278" i="1" s="1"/>
  <c r="P278" i="1"/>
  <c r="Q278" i="1" s="1"/>
  <c r="N278" i="1"/>
  <c r="L278" i="1"/>
  <c r="K278" i="1"/>
  <c r="U277" i="1"/>
  <c r="AC277" i="1" s="1"/>
  <c r="AD277" i="1" s="1"/>
  <c r="P277" i="1"/>
  <c r="Q277" i="1" s="1"/>
  <c r="N277" i="1"/>
  <c r="L277" i="1"/>
  <c r="K277" i="1"/>
  <c r="U276" i="1"/>
  <c r="AC276" i="1" s="1"/>
  <c r="AD276" i="1" s="1"/>
  <c r="P276" i="1"/>
  <c r="Q276" i="1" s="1"/>
  <c r="N276" i="1"/>
  <c r="L276" i="1"/>
  <c r="K276" i="1"/>
  <c r="U275" i="1"/>
  <c r="AC275" i="1" s="1"/>
  <c r="AD275" i="1" s="1"/>
  <c r="P275" i="1"/>
  <c r="N275" i="1"/>
  <c r="L275" i="1"/>
  <c r="K275" i="1"/>
  <c r="U274" i="1"/>
  <c r="AC274" i="1" s="1"/>
  <c r="AD274" i="1" s="1"/>
  <c r="P274" i="1"/>
  <c r="Q274" i="1" s="1"/>
  <c r="N274" i="1"/>
  <c r="L274" i="1"/>
  <c r="K274" i="1"/>
  <c r="U273" i="1"/>
  <c r="AC273" i="1" s="1"/>
  <c r="AD273" i="1" s="1"/>
  <c r="P273" i="1"/>
  <c r="Q273" i="1" s="1"/>
  <c r="N273" i="1"/>
  <c r="L273" i="1"/>
  <c r="K273" i="1"/>
  <c r="U272" i="1"/>
  <c r="AC272" i="1" s="1"/>
  <c r="AD272" i="1" s="1"/>
  <c r="P272" i="1"/>
  <c r="N272" i="1"/>
  <c r="L272" i="1"/>
  <c r="K272" i="1"/>
  <c r="U271" i="1"/>
  <c r="AC271" i="1" s="1"/>
  <c r="AD271" i="1" s="1"/>
  <c r="P271" i="1"/>
  <c r="Q271" i="1" s="1"/>
  <c r="N271" i="1"/>
  <c r="L271" i="1"/>
  <c r="K271" i="1"/>
  <c r="U270" i="1"/>
  <c r="AC270" i="1" s="1"/>
  <c r="AD270" i="1" s="1"/>
  <c r="P270" i="1"/>
  <c r="Q270" i="1" s="1"/>
  <c r="N270" i="1"/>
  <c r="L270" i="1"/>
  <c r="K270" i="1"/>
  <c r="U269" i="1"/>
  <c r="AC269" i="1" s="1"/>
  <c r="AD269" i="1" s="1"/>
  <c r="P269" i="1"/>
  <c r="N269" i="1"/>
  <c r="L269" i="1"/>
  <c r="K269" i="1"/>
  <c r="U268" i="1"/>
  <c r="AC268" i="1" s="1"/>
  <c r="AD268" i="1" s="1"/>
  <c r="P268" i="1"/>
  <c r="Q268" i="1" s="1"/>
  <c r="N268" i="1"/>
  <c r="L268" i="1"/>
  <c r="K268" i="1"/>
  <c r="U267" i="1"/>
  <c r="AC267" i="1" s="1"/>
  <c r="AD267" i="1" s="1"/>
  <c r="P267" i="1"/>
  <c r="Q267" i="1" s="1"/>
  <c r="N267" i="1"/>
  <c r="L267" i="1"/>
  <c r="K267" i="1"/>
  <c r="U266" i="1"/>
  <c r="AC266" i="1" s="1"/>
  <c r="AD266" i="1" s="1"/>
  <c r="P266" i="1"/>
  <c r="Q266" i="1" s="1"/>
  <c r="N266" i="1"/>
  <c r="L266" i="1"/>
  <c r="K266" i="1"/>
  <c r="U265" i="1"/>
  <c r="AC265" i="1" s="1"/>
  <c r="AD265" i="1" s="1"/>
  <c r="P265" i="1"/>
  <c r="Q265" i="1" s="1"/>
  <c r="N265" i="1"/>
  <c r="L265" i="1"/>
  <c r="K265" i="1"/>
  <c r="U264" i="1"/>
  <c r="AC264" i="1" s="1"/>
  <c r="AD264" i="1" s="1"/>
  <c r="Q264" i="1"/>
  <c r="N264" i="1"/>
  <c r="L264" i="1"/>
  <c r="K264" i="1"/>
  <c r="U263" i="1"/>
  <c r="AC263" i="1" s="1"/>
  <c r="AD263" i="1" s="1"/>
  <c r="P263" i="1"/>
  <c r="Q263" i="1" s="1"/>
  <c r="N263" i="1"/>
  <c r="L263" i="1"/>
  <c r="K263" i="1"/>
  <c r="U262" i="1"/>
  <c r="AC262" i="1" s="1"/>
  <c r="AD262" i="1" s="1"/>
  <c r="P262" i="1"/>
  <c r="N262" i="1"/>
  <c r="L262" i="1"/>
  <c r="K262" i="1"/>
  <c r="U261" i="1"/>
  <c r="AC261" i="1" s="1"/>
  <c r="AD261" i="1" s="1"/>
  <c r="P261" i="1"/>
  <c r="Q261" i="1" s="1"/>
  <c r="N261" i="1"/>
  <c r="L261" i="1"/>
  <c r="K261" i="1"/>
  <c r="U260" i="1"/>
  <c r="AC260" i="1" s="1"/>
  <c r="AD260" i="1" s="1"/>
  <c r="P260" i="1"/>
  <c r="Q260" i="1" s="1"/>
  <c r="N260" i="1"/>
  <c r="L260" i="1"/>
  <c r="K260" i="1"/>
  <c r="U259" i="1"/>
  <c r="AC259" i="1" s="1"/>
  <c r="AD259" i="1" s="1"/>
  <c r="P259" i="1"/>
  <c r="Q259" i="1" s="1"/>
  <c r="N259" i="1"/>
  <c r="L259" i="1"/>
  <c r="K259" i="1"/>
  <c r="U258" i="1"/>
  <c r="AC258" i="1" s="1"/>
  <c r="AD258" i="1" s="1"/>
  <c r="P258" i="1"/>
  <c r="Q258" i="1" s="1"/>
  <c r="N258" i="1"/>
  <c r="L258" i="1"/>
  <c r="K258" i="1"/>
  <c r="U257" i="1"/>
  <c r="AC257" i="1" s="1"/>
  <c r="AD257" i="1" s="1"/>
  <c r="P257" i="1"/>
  <c r="Q257" i="1" s="1"/>
  <c r="N257" i="1"/>
  <c r="L257" i="1"/>
  <c r="K257" i="1"/>
  <c r="U256" i="1"/>
  <c r="AC256" i="1" s="1"/>
  <c r="AD256" i="1" s="1"/>
  <c r="P256" i="1"/>
  <c r="N256" i="1"/>
  <c r="L256" i="1"/>
  <c r="K256" i="1"/>
  <c r="U255" i="1"/>
  <c r="AC255" i="1" s="1"/>
  <c r="AD255" i="1" s="1"/>
  <c r="P255" i="1"/>
  <c r="Q255" i="1" s="1"/>
  <c r="N255" i="1"/>
  <c r="L255" i="1"/>
  <c r="K255" i="1"/>
  <c r="U254" i="1"/>
  <c r="AC254" i="1" s="1"/>
  <c r="AD254" i="1" s="1"/>
  <c r="P254" i="1"/>
  <c r="Q254" i="1" s="1"/>
  <c r="N254" i="1"/>
  <c r="L254" i="1"/>
  <c r="K254" i="1"/>
  <c r="U253" i="1"/>
  <c r="AC253" i="1" s="1"/>
  <c r="AD253" i="1" s="1"/>
  <c r="P253" i="1"/>
  <c r="N253" i="1"/>
  <c r="L253" i="1"/>
  <c r="K253" i="1"/>
  <c r="U252" i="1"/>
  <c r="AC252" i="1" s="1"/>
  <c r="AD252" i="1" s="1"/>
  <c r="P252" i="1"/>
  <c r="N252" i="1"/>
  <c r="L252" i="1"/>
  <c r="K252" i="1"/>
  <c r="U251" i="1"/>
  <c r="N251" i="1"/>
  <c r="L251" i="1"/>
  <c r="K251" i="1"/>
  <c r="U250" i="1"/>
  <c r="AC250" i="1" s="1"/>
  <c r="AD250" i="1" s="1"/>
  <c r="Q250" i="1"/>
  <c r="N250" i="1"/>
  <c r="L250" i="1"/>
  <c r="K250" i="1"/>
  <c r="U249" i="1"/>
  <c r="AC249" i="1" s="1"/>
  <c r="AD249" i="1" s="1"/>
  <c r="P249" i="1"/>
  <c r="Q249" i="1" s="1"/>
  <c r="N249" i="1"/>
  <c r="L249" i="1"/>
  <c r="K249" i="1"/>
  <c r="U248" i="1"/>
  <c r="AC248" i="1" s="1"/>
  <c r="AD248" i="1" s="1"/>
  <c r="P248" i="1"/>
  <c r="N248" i="1"/>
  <c r="L248" i="1"/>
  <c r="K248" i="1"/>
  <c r="U247" i="1"/>
  <c r="AC247" i="1" s="1"/>
  <c r="AD247" i="1" s="1"/>
  <c r="P247" i="1"/>
  <c r="Q247" i="1" s="1"/>
  <c r="N247" i="1"/>
  <c r="L247" i="1"/>
  <c r="K247" i="1"/>
  <c r="U246" i="1"/>
  <c r="AC246" i="1" s="1"/>
  <c r="AD246" i="1" s="1"/>
  <c r="P246" i="1"/>
  <c r="Q246" i="1" s="1"/>
  <c r="N246" i="1"/>
  <c r="L246" i="1"/>
  <c r="K246" i="1"/>
  <c r="U245" i="1"/>
  <c r="AC245" i="1" s="1"/>
  <c r="AD245" i="1" s="1"/>
  <c r="P245" i="1"/>
  <c r="Q245" i="1" s="1"/>
  <c r="N245" i="1"/>
  <c r="L245" i="1"/>
  <c r="K245" i="1"/>
  <c r="U244" i="1"/>
  <c r="AC244" i="1" s="1"/>
  <c r="AD244" i="1" s="1"/>
  <c r="P244" i="1"/>
  <c r="N244" i="1"/>
  <c r="L244" i="1"/>
  <c r="K244" i="1"/>
  <c r="U243" i="1"/>
  <c r="AC243" i="1" s="1"/>
  <c r="AD243" i="1" s="1"/>
  <c r="P243" i="1"/>
  <c r="N243" i="1"/>
  <c r="L243" i="1"/>
  <c r="K243" i="1"/>
  <c r="U242" i="1"/>
  <c r="AC242" i="1" s="1"/>
  <c r="AD242" i="1" s="1"/>
  <c r="P242" i="1"/>
  <c r="N242" i="1"/>
  <c r="L242" i="1"/>
  <c r="K242" i="1"/>
  <c r="U241" i="1"/>
  <c r="AC241" i="1" s="1"/>
  <c r="AD241" i="1" s="1"/>
  <c r="P241" i="1"/>
  <c r="N241" i="1"/>
  <c r="L241" i="1"/>
  <c r="K241" i="1"/>
  <c r="U240" i="1"/>
  <c r="AC240" i="1" s="1"/>
  <c r="AD240" i="1" s="1"/>
  <c r="P240" i="1"/>
  <c r="N240" i="1"/>
  <c r="L240" i="1"/>
  <c r="K240" i="1"/>
  <c r="U239" i="1"/>
  <c r="AC239" i="1" s="1"/>
  <c r="AD239" i="1" s="1"/>
  <c r="P239" i="1"/>
  <c r="Q239" i="1" s="1"/>
  <c r="N239" i="1"/>
  <c r="L239" i="1"/>
  <c r="K239" i="1"/>
  <c r="U238" i="1"/>
  <c r="AC238" i="1" s="1"/>
  <c r="AD238" i="1" s="1"/>
  <c r="P238" i="1"/>
  <c r="Q238" i="1" s="1"/>
  <c r="N238" i="1"/>
  <c r="L238" i="1"/>
  <c r="K238" i="1"/>
  <c r="U237" i="1"/>
  <c r="AC237" i="1" s="1"/>
  <c r="AD237" i="1" s="1"/>
  <c r="P237" i="1"/>
  <c r="N237" i="1"/>
  <c r="L237" i="1"/>
  <c r="K237" i="1"/>
  <c r="U236" i="1"/>
  <c r="AC236" i="1" s="1"/>
  <c r="AD236" i="1" s="1"/>
  <c r="P236" i="1"/>
  <c r="Q236" i="1" s="1"/>
  <c r="N236" i="1"/>
  <c r="L236" i="1"/>
  <c r="K236" i="1"/>
  <c r="U235" i="1"/>
  <c r="AC235" i="1" s="1"/>
  <c r="AD235" i="1" s="1"/>
  <c r="P235" i="1"/>
  <c r="Q235" i="1" s="1"/>
  <c r="N235" i="1"/>
  <c r="L235" i="1"/>
  <c r="K235" i="1"/>
  <c r="U234" i="1"/>
  <c r="AC234" i="1" s="1"/>
  <c r="AD234" i="1" s="1"/>
  <c r="Q234" i="1"/>
  <c r="N234" i="1"/>
  <c r="L234" i="1"/>
  <c r="K234" i="1"/>
  <c r="AA233" i="1"/>
  <c r="Y233" i="1"/>
  <c r="W233" i="1"/>
  <c r="V233" i="1"/>
  <c r="P233" i="1"/>
  <c r="Q233" i="1" s="1"/>
  <c r="N233" i="1"/>
  <c r="L233" i="1"/>
  <c r="K233" i="1"/>
  <c r="U232" i="1"/>
  <c r="AC232" i="1" s="1"/>
  <c r="AD232" i="1" s="1"/>
  <c r="P232" i="1"/>
  <c r="N232" i="1"/>
  <c r="L232" i="1"/>
  <c r="K232" i="1"/>
  <c r="U231" i="1"/>
  <c r="P231" i="1"/>
  <c r="N231" i="1"/>
  <c r="L231" i="1"/>
  <c r="K231" i="1"/>
  <c r="U230" i="1"/>
  <c r="AC230" i="1" s="1"/>
  <c r="AD230" i="1" s="1"/>
  <c r="P230" i="1"/>
  <c r="Q230" i="1" s="1"/>
  <c r="N230" i="1"/>
  <c r="L230" i="1"/>
  <c r="K230" i="1"/>
  <c r="U229" i="1"/>
  <c r="AC229" i="1" s="1"/>
  <c r="AD229" i="1" s="1"/>
  <c r="P229" i="1"/>
  <c r="N229" i="1"/>
  <c r="L229" i="1"/>
  <c r="K229" i="1"/>
  <c r="U228" i="1"/>
  <c r="AC228" i="1" s="1"/>
  <c r="AD228" i="1" s="1"/>
  <c r="P228" i="1"/>
  <c r="Q228" i="1" s="1"/>
  <c r="N228" i="1"/>
  <c r="L228" i="1"/>
  <c r="K228" i="1"/>
  <c r="U227" i="1"/>
  <c r="AC227" i="1" s="1"/>
  <c r="AD227" i="1" s="1"/>
  <c r="P227" i="1"/>
  <c r="N227" i="1"/>
  <c r="L227" i="1"/>
  <c r="K227" i="1"/>
  <c r="U226" i="1"/>
  <c r="AC226" i="1" s="1"/>
  <c r="AD226" i="1" s="1"/>
  <c r="P226" i="1"/>
  <c r="N226" i="1"/>
  <c r="L226" i="1"/>
  <c r="K226" i="1"/>
  <c r="U225" i="1"/>
  <c r="AC225" i="1" s="1"/>
  <c r="AD225" i="1" s="1"/>
  <c r="P225" i="1"/>
  <c r="Q225" i="1" s="1"/>
  <c r="N225" i="1"/>
  <c r="L225" i="1"/>
  <c r="K225" i="1"/>
  <c r="U224" i="1"/>
  <c r="AC224" i="1" s="1"/>
  <c r="AD224" i="1" s="1"/>
  <c r="P224" i="1"/>
  <c r="Q224" i="1" s="1"/>
  <c r="N224" i="1"/>
  <c r="L224" i="1"/>
  <c r="K224" i="1"/>
  <c r="V223" i="1"/>
  <c r="U223" i="1" s="1"/>
  <c r="AC223" i="1" s="1"/>
  <c r="AD223" i="1" s="1"/>
  <c r="P223" i="1"/>
  <c r="N223" i="1"/>
  <c r="L223" i="1"/>
  <c r="K223" i="1"/>
  <c r="V222" i="1"/>
  <c r="U222" i="1" s="1"/>
  <c r="AC222" i="1" s="1"/>
  <c r="AD222" i="1" s="1"/>
  <c r="P222" i="1"/>
  <c r="Q222" i="1" s="1"/>
  <c r="N222" i="1"/>
  <c r="L222" i="1"/>
  <c r="K222" i="1"/>
  <c r="V221" i="1"/>
  <c r="U221" i="1" s="1"/>
  <c r="AC221" i="1" s="1"/>
  <c r="AD221" i="1" s="1"/>
  <c r="P221" i="1"/>
  <c r="Q221" i="1" s="1"/>
  <c r="N221" i="1"/>
  <c r="L221" i="1"/>
  <c r="K221" i="1"/>
  <c r="V220" i="1"/>
  <c r="U220" i="1" s="1"/>
  <c r="AC220" i="1" s="1"/>
  <c r="AD220" i="1" s="1"/>
  <c r="P220" i="1"/>
  <c r="Q220" i="1" s="1"/>
  <c r="N220" i="1"/>
  <c r="L220" i="1"/>
  <c r="K220" i="1"/>
  <c r="U219" i="1"/>
  <c r="AC219" i="1" s="1"/>
  <c r="AD219" i="1" s="1"/>
  <c r="P219" i="1"/>
  <c r="N219" i="1"/>
  <c r="L219" i="1"/>
  <c r="K219" i="1"/>
  <c r="V218" i="1"/>
  <c r="U218" i="1" s="1"/>
  <c r="AC218" i="1" s="1"/>
  <c r="AD218" i="1" s="1"/>
  <c r="P218" i="1"/>
  <c r="N218" i="1"/>
  <c r="L218" i="1"/>
  <c r="K218" i="1"/>
  <c r="AC217" i="1"/>
  <c r="AD217" i="1" s="1"/>
  <c r="V217" i="1"/>
  <c r="S217" i="1"/>
  <c r="R217" i="1"/>
  <c r="P217" i="1"/>
  <c r="L217" i="1"/>
  <c r="K217" i="1"/>
  <c r="V216" i="1"/>
  <c r="U216" i="1" s="1"/>
  <c r="AC216" i="1" s="1"/>
  <c r="AD216" i="1" s="1"/>
  <c r="P216" i="1"/>
  <c r="N216" i="1"/>
  <c r="L216" i="1"/>
  <c r="K216" i="1"/>
  <c r="U215" i="1"/>
  <c r="AC215" i="1" s="1"/>
  <c r="AD215" i="1" s="1"/>
  <c r="P215" i="1"/>
  <c r="N215" i="1"/>
  <c r="L215" i="1"/>
  <c r="K215" i="1"/>
  <c r="AA214" i="1"/>
  <c r="Y214" i="1"/>
  <c r="W214" i="1"/>
  <c r="V214" i="1"/>
  <c r="P214" i="1"/>
  <c r="Q214" i="1" s="1"/>
  <c r="N214" i="1"/>
  <c r="L214" i="1"/>
  <c r="K214" i="1"/>
  <c r="V213" i="1"/>
  <c r="U213" i="1" s="1"/>
  <c r="AC213" i="1" s="1"/>
  <c r="AD213" i="1" s="1"/>
  <c r="P213" i="1"/>
  <c r="N213" i="1"/>
  <c r="L213" i="1"/>
  <c r="K213" i="1"/>
  <c r="V212" i="1"/>
  <c r="U212" i="1" s="1"/>
  <c r="AC212" i="1" s="1"/>
  <c r="AD212" i="1" s="1"/>
  <c r="P212" i="1"/>
  <c r="N212" i="1"/>
  <c r="L212" i="1"/>
  <c r="K212" i="1"/>
  <c r="U211" i="1"/>
  <c r="AC211" i="1" s="1"/>
  <c r="AD211" i="1" s="1"/>
  <c r="P211" i="1"/>
  <c r="N211" i="1"/>
  <c r="L211" i="1"/>
  <c r="K211" i="1"/>
  <c r="AA210" i="1"/>
  <c r="Y210" i="1"/>
  <c r="W210" i="1"/>
  <c r="V210" i="1"/>
  <c r="Q210" i="1"/>
  <c r="N210" i="1"/>
  <c r="L210" i="1"/>
  <c r="K210" i="1"/>
  <c r="U209" i="1"/>
  <c r="AC209" i="1" s="1"/>
  <c r="AD209" i="1" s="1"/>
  <c r="P209" i="1"/>
  <c r="N209" i="1"/>
  <c r="L209" i="1"/>
  <c r="K209" i="1"/>
  <c r="U208" i="1"/>
  <c r="AC208" i="1" s="1"/>
  <c r="AD208" i="1" s="1"/>
  <c r="P208" i="1"/>
  <c r="Q208" i="1" s="1"/>
  <c r="N208" i="1"/>
  <c r="L208" i="1"/>
  <c r="K208" i="1"/>
  <c r="U207" i="1"/>
  <c r="AC207" i="1" s="1"/>
  <c r="AD207" i="1" s="1"/>
  <c r="P207" i="1"/>
  <c r="N207" i="1"/>
  <c r="L207" i="1"/>
  <c r="K207" i="1"/>
  <c r="V206" i="1"/>
  <c r="P206" i="1"/>
  <c r="Q206" i="1" s="1"/>
  <c r="N206" i="1"/>
  <c r="L206" i="1"/>
  <c r="K206" i="1"/>
  <c r="U205" i="1"/>
  <c r="AC205" i="1" s="1"/>
  <c r="AD205" i="1" s="1"/>
  <c r="P205" i="1"/>
  <c r="Q205" i="1" s="1"/>
  <c r="N205" i="1"/>
  <c r="L205" i="1"/>
  <c r="K205" i="1"/>
  <c r="V204" i="1"/>
  <c r="U204" i="1" s="1"/>
  <c r="AC204" i="1" s="1"/>
  <c r="AD204" i="1" s="1"/>
  <c r="P204" i="1"/>
  <c r="N204" i="1"/>
  <c r="L204" i="1"/>
  <c r="K204" i="1"/>
  <c r="V203" i="1"/>
  <c r="U203" i="1" s="1"/>
  <c r="AC203" i="1" s="1"/>
  <c r="AD203" i="1" s="1"/>
  <c r="Q203" i="1"/>
  <c r="N203" i="1"/>
  <c r="L203" i="1"/>
  <c r="K203" i="1"/>
  <c r="U202" i="1"/>
  <c r="AC202" i="1" s="1"/>
  <c r="AD202" i="1" s="1"/>
  <c r="P202" i="1"/>
  <c r="Q202" i="1" s="1"/>
  <c r="N202" i="1"/>
  <c r="L202" i="1"/>
  <c r="K202" i="1"/>
  <c r="V201" i="1"/>
  <c r="Q201" i="1"/>
  <c r="N201" i="1"/>
  <c r="L201" i="1"/>
  <c r="K201" i="1"/>
  <c r="U200" i="1"/>
  <c r="AC200" i="1" s="1"/>
  <c r="AD200" i="1" s="1"/>
  <c r="P200" i="1"/>
  <c r="Q200" i="1" s="1"/>
  <c r="N200" i="1"/>
  <c r="L200" i="1"/>
  <c r="K200" i="1"/>
  <c r="U199" i="1"/>
  <c r="P199" i="1"/>
  <c r="N199" i="1"/>
  <c r="L199" i="1"/>
  <c r="K199" i="1"/>
  <c r="U198" i="1"/>
  <c r="AC198" i="1" s="1"/>
  <c r="AD198" i="1" s="1"/>
  <c r="P198" i="1"/>
  <c r="Q198" i="1" s="1"/>
  <c r="N198" i="1"/>
  <c r="L198" i="1"/>
  <c r="K198" i="1"/>
  <c r="U197" i="1"/>
  <c r="S197" i="1" s="1"/>
  <c r="N197" i="1"/>
  <c r="L197" i="1"/>
  <c r="K197" i="1"/>
  <c r="U196" i="1"/>
  <c r="AC196" i="1" s="1"/>
  <c r="AD196" i="1" s="1"/>
  <c r="P196" i="1"/>
  <c r="Q196" i="1" s="1"/>
  <c r="N196" i="1"/>
  <c r="L196" i="1"/>
  <c r="K196" i="1"/>
  <c r="U195" i="1"/>
  <c r="AC195" i="1" s="1"/>
  <c r="AD195" i="1" s="1"/>
  <c r="P195" i="1"/>
  <c r="Q195" i="1" s="1"/>
  <c r="N195" i="1"/>
  <c r="L195" i="1"/>
  <c r="K195" i="1"/>
  <c r="U194" i="1"/>
  <c r="AC194" i="1" s="1"/>
  <c r="AD194" i="1" s="1"/>
  <c r="P194" i="1"/>
  <c r="Q194" i="1" s="1"/>
  <c r="N194" i="1"/>
  <c r="L194" i="1"/>
  <c r="K194" i="1"/>
  <c r="U193" i="1"/>
  <c r="AC193" i="1" s="1"/>
  <c r="AD193" i="1" s="1"/>
  <c r="Q193" i="1"/>
  <c r="N193" i="1"/>
  <c r="L193" i="1"/>
  <c r="K193" i="1"/>
  <c r="U192" i="1"/>
  <c r="AC192" i="1" s="1"/>
  <c r="AD192" i="1" s="1"/>
  <c r="P192" i="1"/>
  <c r="N192" i="1"/>
  <c r="L192" i="1"/>
  <c r="K192" i="1"/>
  <c r="U191" i="1"/>
  <c r="AC191" i="1" s="1"/>
  <c r="AD191" i="1" s="1"/>
  <c r="Q191" i="1"/>
  <c r="N191" i="1"/>
  <c r="L191" i="1"/>
  <c r="K191" i="1"/>
  <c r="U190" i="1"/>
  <c r="AC190" i="1" s="1"/>
  <c r="AD190" i="1" s="1"/>
  <c r="P190" i="1"/>
  <c r="N190" i="1"/>
  <c r="L190" i="1"/>
  <c r="K190" i="1"/>
  <c r="U189" i="1"/>
  <c r="AC189" i="1" s="1"/>
  <c r="AD189" i="1" s="1"/>
  <c r="P189" i="1"/>
  <c r="Q189" i="1" s="1"/>
  <c r="N189" i="1"/>
  <c r="L189" i="1"/>
  <c r="K189" i="1"/>
  <c r="U188" i="1"/>
  <c r="AC188" i="1" s="1"/>
  <c r="AD188" i="1" s="1"/>
  <c r="P188" i="1"/>
  <c r="Q188" i="1" s="1"/>
  <c r="N188" i="1"/>
  <c r="L188" i="1"/>
  <c r="K188" i="1"/>
  <c r="V187" i="1"/>
  <c r="Q187" i="1"/>
  <c r="N187" i="1"/>
  <c r="L187" i="1"/>
  <c r="K187" i="1"/>
  <c r="U186" i="1"/>
  <c r="AC186" i="1" s="1"/>
  <c r="AD186" i="1" s="1"/>
  <c r="P186" i="1"/>
  <c r="N186" i="1"/>
  <c r="L186" i="1"/>
  <c r="K186" i="1"/>
  <c r="U185" i="1"/>
  <c r="AC185" i="1" s="1"/>
  <c r="AD185" i="1" s="1"/>
  <c r="P185" i="1"/>
  <c r="N185" i="1"/>
  <c r="L185" i="1"/>
  <c r="K185" i="1"/>
  <c r="V184" i="1"/>
  <c r="U184" i="1" s="1"/>
  <c r="AC184" i="1" s="1"/>
  <c r="AD184" i="1" s="1"/>
  <c r="P184" i="1"/>
  <c r="N184" i="1"/>
  <c r="L184" i="1"/>
  <c r="K184" i="1"/>
  <c r="V183" i="1"/>
  <c r="U183" i="1" s="1"/>
  <c r="AC183" i="1" s="1"/>
  <c r="AD183" i="1" s="1"/>
  <c r="P183" i="1"/>
  <c r="N183" i="1"/>
  <c r="L183" i="1"/>
  <c r="K183" i="1"/>
  <c r="U182" i="1"/>
  <c r="AC182" i="1" s="1"/>
  <c r="AD182" i="1" s="1"/>
  <c r="P182" i="1"/>
  <c r="N182" i="1"/>
  <c r="L182" i="1"/>
  <c r="K182" i="1"/>
  <c r="V181" i="1"/>
  <c r="U181" i="1" s="1"/>
  <c r="AC181" i="1" s="1"/>
  <c r="AD181" i="1" s="1"/>
  <c r="P181" i="1"/>
  <c r="Q181" i="1" s="1"/>
  <c r="N181" i="1"/>
  <c r="L181" i="1"/>
  <c r="K181" i="1"/>
  <c r="V180" i="1"/>
  <c r="P180" i="1"/>
  <c r="N180" i="1"/>
  <c r="L180" i="1"/>
  <c r="K180" i="1"/>
  <c r="AA179" i="1"/>
  <c r="Y179" i="1"/>
  <c r="W179" i="1"/>
  <c r="V179" i="1"/>
  <c r="P179" i="1"/>
  <c r="Q179" i="1" s="1"/>
  <c r="N179" i="1"/>
  <c r="L179" i="1"/>
  <c r="K179" i="1"/>
  <c r="AA178" i="1"/>
  <c r="Y178" i="1"/>
  <c r="W178" i="1"/>
  <c r="V178" i="1"/>
  <c r="P178" i="1"/>
  <c r="Q178" i="1" s="1"/>
  <c r="N178" i="1"/>
  <c r="L178" i="1"/>
  <c r="K178" i="1"/>
  <c r="V177" i="1"/>
  <c r="U177" i="1" s="1"/>
  <c r="AC177" i="1" s="1"/>
  <c r="AD177" i="1" s="1"/>
  <c r="P177" i="1"/>
  <c r="N177" i="1"/>
  <c r="L177" i="1"/>
  <c r="K177" i="1"/>
  <c r="U176" i="1"/>
  <c r="AC176" i="1" s="1"/>
  <c r="AD176" i="1" s="1"/>
  <c r="P176" i="1"/>
  <c r="Q176" i="1" s="1"/>
  <c r="N176" i="1"/>
  <c r="L176" i="1"/>
  <c r="K176" i="1"/>
  <c r="U175" i="1"/>
  <c r="AC175" i="1" s="1"/>
  <c r="AD175" i="1" s="1"/>
  <c r="P175" i="1"/>
  <c r="Q175" i="1" s="1"/>
  <c r="N175" i="1"/>
  <c r="L175" i="1"/>
  <c r="K175" i="1"/>
  <c r="AC174" i="1"/>
  <c r="AD174" i="1" s="1"/>
  <c r="AA174" i="1"/>
  <c r="Y174" i="1"/>
  <c r="W174" i="1"/>
  <c r="V174" i="1"/>
  <c r="S174" i="1"/>
  <c r="R174" i="1"/>
  <c r="P174" i="1"/>
  <c r="N174" i="1"/>
  <c r="L174" i="1"/>
  <c r="K174" i="1"/>
  <c r="U173" i="1"/>
  <c r="AC173" i="1" s="1"/>
  <c r="AD173" i="1" s="1"/>
  <c r="P173" i="1"/>
  <c r="Q173" i="1" s="1"/>
  <c r="N173" i="1"/>
  <c r="L173" i="1"/>
  <c r="K173" i="1"/>
  <c r="U172" i="1"/>
  <c r="AC172" i="1" s="1"/>
  <c r="AD172" i="1" s="1"/>
  <c r="P172" i="1"/>
  <c r="Q172" i="1" s="1"/>
  <c r="N172" i="1"/>
  <c r="L172" i="1"/>
  <c r="K172" i="1"/>
  <c r="V171" i="1"/>
  <c r="U171" i="1" s="1"/>
  <c r="AC171" i="1" s="1"/>
  <c r="AD171" i="1" s="1"/>
  <c r="P171" i="1"/>
  <c r="N171" i="1"/>
  <c r="L171" i="1"/>
  <c r="K171" i="1"/>
  <c r="U170" i="1"/>
  <c r="AC170" i="1" s="1"/>
  <c r="AD170" i="1" s="1"/>
  <c r="P170" i="1"/>
  <c r="Q170" i="1" s="1"/>
  <c r="N170" i="1"/>
  <c r="L170" i="1"/>
  <c r="K170" i="1"/>
  <c r="AA169" i="1"/>
  <c r="Y169" i="1"/>
  <c r="W169" i="1"/>
  <c r="V169" i="1"/>
  <c r="P169" i="1"/>
  <c r="N169" i="1"/>
  <c r="L169" i="1"/>
  <c r="K169" i="1"/>
  <c r="V168" i="1"/>
  <c r="U168" i="1" s="1"/>
  <c r="AC168" i="1" s="1"/>
  <c r="AD168" i="1" s="1"/>
  <c r="P168" i="1"/>
  <c r="Q168" i="1" s="1"/>
  <c r="N168" i="1"/>
  <c r="L168" i="1"/>
  <c r="K168" i="1"/>
  <c r="V167" i="1"/>
  <c r="U167" i="1" s="1"/>
  <c r="P167" i="1"/>
  <c r="Q167" i="1" s="1"/>
  <c r="N167" i="1"/>
  <c r="L167" i="1"/>
  <c r="K167" i="1"/>
  <c r="V166" i="1"/>
  <c r="U166" i="1" s="1"/>
  <c r="AC166" i="1" s="1"/>
  <c r="AD166" i="1" s="1"/>
  <c r="P166" i="1"/>
  <c r="N166" i="1"/>
  <c r="L166" i="1"/>
  <c r="K166" i="1"/>
  <c r="U165" i="1"/>
  <c r="AC165" i="1" s="1"/>
  <c r="AD165" i="1" s="1"/>
  <c r="Q165" i="1"/>
  <c r="N165" i="1"/>
  <c r="L165" i="1"/>
  <c r="K165" i="1"/>
  <c r="U164" i="1"/>
  <c r="AC164" i="1" s="1"/>
  <c r="AD164" i="1" s="1"/>
  <c r="P164" i="1"/>
  <c r="N164" i="1"/>
  <c r="L164" i="1"/>
  <c r="K164" i="1"/>
  <c r="V163" i="1"/>
  <c r="U163" i="1" s="1"/>
  <c r="P163" i="1"/>
  <c r="N163" i="1"/>
  <c r="L163" i="1"/>
  <c r="K163" i="1"/>
  <c r="U162" i="1"/>
  <c r="AC162" i="1" s="1"/>
  <c r="AD162" i="1" s="1"/>
  <c r="P162" i="1"/>
  <c r="N162" i="1"/>
  <c r="L162" i="1"/>
  <c r="K162" i="1"/>
  <c r="AA161" i="1"/>
  <c r="Y161" i="1"/>
  <c r="W161" i="1"/>
  <c r="V161" i="1"/>
  <c r="P161" i="1"/>
  <c r="N161" i="1"/>
  <c r="L161" i="1"/>
  <c r="K161" i="1"/>
  <c r="AA160" i="1"/>
  <c r="Y160" i="1"/>
  <c r="W160" i="1"/>
  <c r="V160" i="1"/>
  <c r="S160" i="1"/>
  <c r="R160" i="1"/>
  <c r="P160" i="1"/>
  <c r="N160" i="1"/>
  <c r="L160" i="1"/>
  <c r="K160" i="1"/>
  <c r="U159" i="1"/>
  <c r="AC159" i="1" s="1"/>
  <c r="AD159" i="1" s="1"/>
  <c r="P159" i="1"/>
  <c r="N159" i="1"/>
  <c r="L159" i="1"/>
  <c r="K159" i="1"/>
  <c r="U158" i="1"/>
  <c r="AC158" i="1" s="1"/>
  <c r="AD158" i="1" s="1"/>
  <c r="P158" i="1"/>
  <c r="Q158" i="1" s="1"/>
  <c r="N158" i="1"/>
  <c r="L158" i="1"/>
  <c r="K158" i="1"/>
  <c r="U157" i="1"/>
  <c r="AC157" i="1" s="1"/>
  <c r="AD157" i="1" s="1"/>
  <c r="P157" i="1"/>
  <c r="N157" i="1"/>
  <c r="L157" i="1"/>
  <c r="K157" i="1"/>
  <c r="W156" i="1"/>
  <c r="U156" i="1" s="1"/>
  <c r="AC156" i="1" s="1"/>
  <c r="AD156" i="1" s="1"/>
  <c r="Q156" i="1"/>
  <c r="N156" i="1"/>
  <c r="L156" i="1"/>
  <c r="K156" i="1"/>
  <c r="AA155" i="1"/>
  <c r="Y155" i="1"/>
  <c r="W155" i="1"/>
  <c r="V155" i="1"/>
  <c r="P155" i="1"/>
  <c r="N155" i="1"/>
  <c r="L155" i="1"/>
  <c r="K155" i="1"/>
  <c r="U154" i="1"/>
  <c r="AC154" i="1" s="1"/>
  <c r="AD154" i="1" s="1"/>
  <c r="P154" i="1"/>
  <c r="Q154" i="1" s="1"/>
  <c r="N154" i="1"/>
  <c r="L154" i="1"/>
  <c r="K154" i="1"/>
  <c r="U153" i="1"/>
  <c r="AC153" i="1" s="1"/>
  <c r="AD153" i="1" s="1"/>
  <c r="P153" i="1"/>
  <c r="N153" i="1"/>
  <c r="L153" i="1"/>
  <c r="K153" i="1"/>
  <c r="AC152" i="1"/>
  <c r="AD152" i="1" s="1"/>
  <c r="AA152" i="1"/>
  <c r="Y152" i="1"/>
  <c r="P152" i="1"/>
  <c r="Q152" i="1" s="1"/>
  <c r="S152" i="1" s="1"/>
  <c r="N152" i="1"/>
  <c r="L152" i="1"/>
  <c r="K152" i="1"/>
  <c r="AC151" i="1"/>
  <c r="AD151" i="1" s="1"/>
  <c r="P151" i="1"/>
  <c r="N151" i="1"/>
  <c r="L151" i="1"/>
  <c r="K151" i="1"/>
  <c r="AC150" i="1"/>
  <c r="AD150" i="1" s="1"/>
  <c r="P150" i="1"/>
  <c r="Q150" i="1" s="1"/>
  <c r="N150" i="1"/>
  <c r="L150" i="1"/>
  <c r="K150" i="1"/>
  <c r="AC149" i="1"/>
  <c r="AD149" i="1" s="1"/>
  <c r="P149" i="1"/>
  <c r="N149" i="1"/>
  <c r="L149" i="1"/>
  <c r="K149" i="1"/>
  <c r="AC148" i="1"/>
  <c r="AD148" i="1" s="1"/>
  <c r="P148" i="1"/>
  <c r="N148" i="1"/>
  <c r="L148" i="1"/>
  <c r="K148" i="1"/>
  <c r="AC147" i="1"/>
  <c r="AD147" i="1" s="1"/>
  <c r="P147" i="1"/>
  <c r="N147" i="1"/>
  <c r="L147" i="1"/>
  <c r="K147" i="1"/>
  <c r="AC146" i="1"/>
  <c r="AD146" i="1" s="1"/>
  <c r="P146" i="1"/>
  <c r="Q146" i="1" s="1"/>
  <c r="N146" i="1"/>
  <c r="L146" i="1"/>
  <c r="K146" i="1"/>
  <c r="AC145" i="1"/>
  <c r="AD145" i="1" s="1"/>
  <c r="AA145" i="1"/>
  <c r="V145" i="1"/>
  <c r="S145" i="1"/>
  <c r="R145" i="1"/>
  <c r="P145" i="1"/>
  <c r="N145" i="1"/>
  <c r="L145" i="1"/>
  <c r="K145" i="1"/>
  <c r="AC144" i="1"/>
  <c r="AD144" i="1" s="1"/>
  <c r="V144" i="1"/>
  <c r="P144" i="1"/>
  <c r="Q144" i="1" s="1"/>
  <c r="N144" i="1"/>
  <c r="L144" i="1"/>
  <c r="K144" i="1"/>
  <c r="AC143" i="1"/>
  <c r="AD143" i="1" s="1"/>
  <c r="P143" i="1"/>
  <c r="N143" i="1"/>
  <c r="L143" i="1"/>
  <c r="K143" i="1"/>
  <c r="AA142" i="1"/>
  <c r="U142" i="1"/>
  <c r="AC142" i="1" s="1"/>
  <c r="AD142" i="1" s="1"/>
  <c r="P142" i="1"/>
  <c r="Q142" i="1" s="1"/>
  <c r="N142" i="1"/>
  <c r="L142" i="1"/>
  <c r="K142" i="1"/>
  <c r="AC141" i="1"/>
  <c r="AD141" i="1" s="1"/>
  <c r="Q141" i="1"/>
  <c r="R141" i="1" s="1"/>
  <c r="N141" i="1"/>
  <c r="L141" i="1"/>
  <c r="K141" i="1"/>
  <c r="AC140" i="1"/>
  <c r="AD140" i="1" s="1"/>
  <c r="P140" i="1"/>
  <c r="N140" i="1"/>
  <c r="L140" i="1"/>
  <c r="K140" i="1"/>
  <c r="AC139" i="1"/>
  <c r="AD139" i="1" s="1"/>
  <c r="AA139" i="1"/>
  <c r="Y139" i="1"/>
  <c r="W139" i="1"/>
  <c r="V139" i="1"/>
  <c r="S139" i="1"/>
  <c r="T139" i="1" s="1"/>
  <c r="R139" i="1"/>
  <c r="P139" i="1"/>
  <c r="L139" i="1"/>
  <c r="K139" i="1"/>
  <c r="AC138" i="1"/>
  <c r="AD138" i="1" s="1"/>
  <c r="Q138" i="1"/>
  <c r="R138" i="1" s="1"/>
  <c r="N138" i="1"/>
  <c r="L138" i="1"/>
  <c r="K138" i="1"/>
  <c r="AC137" i="1"/>
  <c r="AD137" i="1" s="1"/>
  <c r="P137" i="1"/>
  <c r="N137" i="1"/>
  <c r="L137" i="1"/>
  <c r="K137" i="1"/>
  <c r="AC136" i="1"/>
  <c r="AD136" i="1" s="1"/>
  <c r="P136" i="1"/>
  <c r="N136" i="1"/>
  <c r="L136" i="1"/>
  <c r="K136" i="1"/>
  <c r="AC135" i="1"/>
  <c r="AD135" i="1" s="1"/>
  <c r="P135" i="1"/>
  <c r="N135" i="1"/>
  <c r="L135" i="1"/>
  <c r="K135" i="1"/>
  <c r="AC134" i="1"/>
  <c r="AD134" i="1" s="1"/>
  <c r="P134" i="1"/>
  <c r="N134" i="1"/>
  <c r="L134" i="1"/>
  <c r="K134" i="1"/>
  <c r="AC133" i="1"/>
  <c r="AD133" i="1" s="1"/>
  <c r="P133" i="1"/>
  <c r="Q133" i="1" s="1"/>
  <c r="R133" i="1" s="1"/>
  <c r="N133" i="1"/>
  <c r="L133" i="1"/>
  <c r="K133" i="1"/>
  <c r="AC132" i="1"/>
  <c r="AD132" i="1" s="1"/>
  <c r="P132" i="1"/>
  <c r="N132" i="1"/>
  <c r="L132" i="1"/>
  <c r="K132" i="1"/>
  <c r="AC131" i="1"/>
  <c r="AD131" i="1" s="1"/>
  <c r="Q131" i="1"/>
  <c r="S131" i="1" s="1"/>
  <c r="N131" i="1"/>
  <c r="L131" i="1"/>
  <c r="K131" i="1"/>
  <c r="AC130" i="1"/>
  <c r="AD130" i="1" s="1"/>
  <c r="AA130" i="1"/>
  <c r="Y130" i="1"/>
  <c r="P130" i="1"/>
  <c r="N130" i="1"/>
  <c r="L130" i="1"/>
  <c r="K130" i="1"/>
  <c r="AC129" i="1"/>
  <c r="AD129" i="1" s="1"/>
  <c r="P129" i="1"/>
  <c r="Q129" i="1" s="1"/>
  <c r="N129" i="1"/>
  <c r="L129" i="1"/>
  <c r="K129" i="1"/>
  <c r="AC128" i="1"/>
  <c r="AD128" i="1" s="1"/>
  <c r="P128" i="1"/>
  <c r="Q128" i="1" s="1"/>
  <c r="N128" i="1"/>
  <c r="L128" i="1"/>
  <c r="K128" i="1"/>
  <c r="AC127" i="1"/>
  <c r="AD127" i="1" s="1"/>
  <c r="Q127" i="1"/>
  <c r="S127" i="1" s="1"/>
  <c r="AB127" i="1" s="1"/>
  <c r="N127" i="1"/>
  <c r="L127" i="1"/>
  <c r="K127" i="1"/>
  <c r="AC126" i="1"/>
  <c r="AD126" i="1" s="1"/>
  <c r="P126" i="1"/>
  <c r="N126" i="1"/>
  <c r="L126" i="1"/>
  <c r="K126" i="1"/>
  <c r="AC125" i="1"/>
  <c r="AD125" i="1" s="1"/>
  <c r="P125" i="1"/>
  <c r="Q125" i="1" s="1"/>
  <c r="N125" i="1"/>
  <c r="L125" i="1"/>
  <c r="K125" i="1"/>
  <c r="AC124" i="1"/>
  <c r="AD124" i="1" s="1"/>
  <c r="P124" i="1"/>
  <c r="N124" i="1"/>
  <c r="L124" i="1"/>
  <c r="K124" i="1"/>
  <c r="AC123" i="1"/>
  <c r="AD123" i="1" s="1"/>
  <c r="P123" i="1"/>
  <c r="Q123" i="1" s="1"/>
  <c r="N123" i="1"/>
  <c r="L123" i="1"/>
  <c r="K123" i="1"/>
  <c r="AC122" i="1"/>
  <c r="AD122" i="1" s="1"/>
  <c r="P122" i="1"/>
  <c r="N122" i="1"/>
  <c r="L122" i="1"/>
  <c r="K122" i="1"/>
  <c r="AC121" i="1"/>
  <c r="AD121" i="1" s="1"/>
  <c r="AA121" i="1"/>
  <c r="P121" i="1"/>
  <c r="Q121" i="1" s="1"/>
  <c r="N121" i="1"/>
  <c r="L121" i="1"/>
  <c r="K121" i="1"/>
  <c r="AC120" i="1"/>
  <c r="AD120" i="1" s="1"/>
  <c r="P120" i="1"/>
  <c r="Q120" i="1" s="1"/>
  <c r="N120" i="1"/>
  <c r="L120" i="1"/>
  <c r="K120" i="1"/>
  <c r="AC119" i="1"/>
  <c r="AD119" i="1" s="1"/>
  <c r="Q119" i="1"/>
  <c r="S119" i="1" s="1"/>
  <c r="AB119" i="1" s="1"/>
  <c r="N119" i="1"/>
  <c r="L119" i="1"/>
  <c r="K119" i="1"/>
  <c r="AC118" i="1"/>
  <c r="AD118" i="1" s="1"/>
  <c r="P118" i="1"/>
  <c r="N118" i="1"/>
  <c r="L118" i="1"/>
  <c r="K118" i="1"/>
  <c r="AC117" i="1"/>
  <c r="AD117" i="1" s="1"/>
  <c r="P117" i="1"/>
  <c r="Q117" i="1" s="1"/>
  <c r="N117" i="1"/>
  <c r="L117" i="1"/>
  <c r="K117" i="1"/>
  <c r="AC116" i="1"/>
  <c r="AD116" i="1" s="1"/>
  <c r="P116" i="1"/>
  <c r="Q116" i="1" s="1"/>
  <c r="N116" i="1"/>
  <c r="L116" i="1"/>
  <c r="K116" i="1"/>
  <c r="AC115" i="1"/>
  <c r="AD115" i="1" s="1"/>
  <c r="AA115" i="1"/>
  <c r="P115" i="1"/>
  <c r="N115" i="1"/>
  <c r="L115" i="1"/>
  <c r="K115" i="1"/>
  <c r="AC114" i="1"/>
  <c r="AD114" i="1" s="1"/>
  <c r="P114" i="1"/>
  <c r="Q114" i="1" s="1"/>
  <c r="N114" i="1"/>
  <c r="L114" i="1"/>
  <c r="K114" i="1"/>
  <c r="AC113" i="1"/>
  <c r="AD113" i="1" s="1"/>
  <c r="P113" i="1"/>
  <c r="N113" i="1"/>
  <c r="L113" i="1"/>
  <c r="K113" i="1"/>
  <c r="AC112" i="1"/>
  <c r="AD112" i="1" s="1"/>
  <c r="P112" i="1"/>
  <c r="Q112" i="1" s="1"/>
  <c r="N112" i="1"/>
  <c r="L112" i="1"/>
  <c r="K112" i="1"/>
  <c r="AC111" i="1"/>
  <c r="AD111" i="1" s="1"/>
  <c r="P111" i="1"/>
  <c r="N111" i="1"/>
  <c r="L111" i="1"/>
  <c r="K111" i="1"/>
  <c r="S110" i="1"/>
  <c r="Z110" i="1" s="1"/>
  <c r="N110" i="1"/>
  <c r="L110" i="1"/>
  <c r="K110" i="1"/>
  <c r="AC109" i="1"/>
  <c r="AD109" i="1" s="1"/>
  <c r="P109" i="1"/>
  <c r="N109" i="1"/>
  <c r="L109" i="1"/>
  <c r="K109" i="1"/>
  <c r="AC108" i="1"/>
  <c r="AD108" i="1" s="1"/>
  <c r="P108" i="1"/>
  <c r="N108" i="1"/>
  <c r="L108" i="1"/>
  <c r="K108" i="1"/>
  <c r="AC107" i="1"/>
  <c r="AD107" i="1" s="1"/>
  <c r="P107" i="1"/>
  <c r="Q107" i="1" s="1"/>
  <c r="S107" i="1" s="1"/>
  <c r="N107" i="1"/>
  <c r="L107" i="1"/>
  <c r="K107" i="1"/>
  <c r="AC106" i="1"/>
  <c r="AD106" i="1" s="1"/>
  <c r="P106" i="1"/>
  <c r="N106" i="1"/>
  <c r="L106" i="1"/>
  <c r="K106" i="1"/>
  <c r="AC105" i="1"/>
  <c r="AD105" i="1" s="1"/>
  <c r="P105" i="1"/>
  <c r="N105" i="1"/>
  <c r="L105" i="1"/>
  <c r="K105" i="1"/>
  <c r="AC104" i="1"/>
  <c r="AD104" i="1" s="1"/>
  <c r="P104" i="1"/>
  <c r="N104" i="1"/>
  <c r="L104" i="1"/>
  <c r="K104" i="1"/>
  <c r="AC103" i="1"/>
  <c r="AD103" i="1" s="1"/>
  <c r="P103" i="1"/>
  <c r="N103" i="1"/>
  <c r="L103" i="1"/>
  <c r="K103" i="1"/>
  <c r="AC102" i="1"/>
  <c r="AD102" i="1" s="1"/>
  <c r="P102" i="1"/>
  <c r="N102" i="1"/>
  <c r="L102" i="1"/>
  <c r="K102" i="1"/>
  <c r="AC101" i="1"/>
  <c r="AD101" i="1" s="1"/>
  <c r="P101" i="1"/>
  <c r="Q101" i="1" s="1"/>
  <c r="N101" i="1"/>
  <c r="L101" i="1"/>
  <c r="K101" i="1"/>
  <c r="AC100" i="1"/>
  <c r="AD100" i="1" s="1"/>
  <c r="P100" i="1"/>
  <c r="N100" i="1"/>
  <c r="L100" i="1"/>
  <c r="K100" i="1"/>
  <c r="AC99" i="1"/>
  <c r="AD99" i="1" s="1"/>
  <c r="Q99" i="1"/>
  <c r="N99" i="1"/>
  <c r="L99" i="1"/>
  <c r="K99" i="1"/>
  <c r="AC98" i="1"/>
  <c r="AD98" i="1" s="1"/>
  <c r="O98" i="1"/>
  <c r="P98" i="1" s="1"/>
  <c r="L98" i="1"/>
  <c r="K98" i="1"/>
  <c r="AC97" i="1"/>
  <c r="AD97" i="1" s="1"/>
  <c r="O97" i="1"/>
  <c r="P97" i="1" s="1"/>
  <c r="L97" i="1"/>
  <c r="K97" i="1"/>
  <c r="AC96" i="1"/>
  <c r="AD96" i="1" s="1"/>
  <c r="O96" i="1"/>
  <c r="L96" i="1"/>
  <c r="K96" i="1"/>
  <c r="AC95" i="1"/>
  <c r="AD95" i="1" s="1"/>
  <c r="O95" i="1"/>
  <c r="N95" i="1" s="1"/>
  <c r="L95" i="1"/>
  <c r="K95" i="1"/>
  <c r="AC94" i="1"/>
  <c r="AD94" i="1" s="1"/>
  <c r="O94" i="1"/>
  <c r="P94" i="1" s="1"/>
  <c r="Q94" i="1" s="1"/>
  <c r="L94" i="1"/>
  <c r="K94" i="1"/>
  <c r="AC93" i="1"/>
  <c r="AD93" i="1" s="1"/>
  <c r="O93" i="1"/>
  <c r="P93" i="1" s="1"/>
  <c r="L93" i="1"/>
  <c r="K93" i="1"/>
  <c r="AC92" i="1"/>
  <c r="AD92" i="1" s="1"/>
  <c r="O92" i="1"/>
  <c r="N92" i="1" s="1"/>
  <c r="L92" i="1"/>
  <c r="K92" i="1"/>
  <c r="AC91" i="1"/>
  <c r="AD91" i="1" s="1"/>
  <c r="O91" i="1"/>
  <c r="P91" i="1" s="1"/>
  <c r="Q91" i="1" s="1"/>
  <c r="L91" i="1"/>
  <c r="K91" i="1"/>
  <c r="AC90" i="1"/>
  <c r="AD90" i="1" s="1"/>
  <c r="P90" i="1"/>
  <c r="N90" i="1"/>
  <c r="L90" i="1"/>
  <c r="K90" i="1"/>
  <c r="AC89" i="1"/>
  <c r="AD89" i="1" s="1"/>
  <c r="P89" i="1"/>
  <c r="N89" i="1"/>
  <c r="K89" i="1"/>
  <c r="AC88" i="1"/>
  <c r="AD88" i="1" s="1"/>
  <c r="P88" i="1"/>
  <c r="N88" i="1"/>
  <c r="K88" i="1"/>
  <c r="AC87" i="1"/>
  <c r="AD87" i="1" s="1"/>
  <c r="P87" i="1"/>
  <c r="Q87" i="1" s="1"/>
  <c r="N87" i="1"/>
  <c r="K87" i="1"/>
  <c r="AC86" i="1"/>
  <c r="AD86" i="1" s="1"/>
  <c r="Q86" i="1"/>
  <c r="S86" i="1" s="1"/>
  <c r="N86" i="1"/>
  <c r="K86" i="1"/>
  <c r="U85" i="1"/>
  <c r="AC85" i="1" s="1"/>
  <c r="AD85" i="1" s="1"/>
  <c r="Q85" i="1"/>
  <c r="N85" i="1"/>
  <c r="K85" i="1"/>
  <c r="AC84" i="1"/>
  <c r="AD84" i="1" s="1"/>
  <c r="P84" i="1"/>
  <c r="N84" i="1"/>
  <c r="K84" i="1"/>
  <c r="AC83" i="1"/>
  <c r="AD83" i="1" s="1"/>
  <c r="P83" i="1"/>
  <c r="N83" i="1"/>
  <c r="K83" i="1"/>
  <c r="AC82" i="1"/>
  <c r="AD82" i="1" s="1"/>
  <c r="P82" i="1"/>
  <c r="Q82" i="1" s="1"/>
  <c r="N82" i="1"/>
  <c r="K82" i="1"/>
  <c r="AC81" i="1"/>
  <c r="AD81" i="1" s="1"/>
  <c r="P81" i="1"/>
  <c r="N81" i="1"/>
  <c r="K81" i="1"/>
  <c r="AC80" i="1"/>
  <c r="AD80" i="1" s="1"/>
  <c r="P80" i="1"/>
  <c r="N80" i="1"/>
  <c r="L80" i="1"/>
  <c r="K80" i="1"/>
  <c r="AC79" i="1"/>
  <c r="AD79" i="1" s="1"/>
  <c r="P79" i="1"/>
  <c r="Q79" i="1" s="1"/>
  <c r="N79" i="1"/>
  <c r="L79" i="1"/>
  <c r="K79" i="1"/>
  <c r="AC78" i="1"/>
  <c r="AD78" i="1" s="1"/>
  <c r="P78" i="1"/>
  <c r="N78" i="1"/>
  <c r="L78" i="1"/>
  <c r="K78" i="1"/>
  <c r="AC77" i="1"/>
  <c r="AD77" i="1" s="1"/>
  <c r="P77" i="1"/>
  <c r="Q77" i="1" s="1"/>
  <c r="N77" i="1"/>
  <c r="L77" i="1"/>
  <c r="K77" i="1"/>
  <c r="AC76" i="1"/>
  <c r="AD76" i="1" s="1"/>
  <c r="P76" i="1"/>
  <c r="N76" i="1"/>
  <c r="L76" i="1"/>
  <c r="K76" i="1"/>
  <c r="AC75" i="1"/>
  <c r="AD75" i="1" s="1"/>
  <c r="P75" i="1"/>
  <c r="Q75" i="1" s="1"/>
  <c r="N75" i="1"/>
  <c r="L75" i="1"/>
  <c r="K75" i="1"/>
  <c r="W74" i="1"/>
  <c r="U74" i="1" s="1"/>
  <c r="AC74" i="1" s="1"/>
  <c r="AD74" i="1" s="1"/>
  <c r="Q74" i="1"/>
  <c r="N74" i="1"/>
  <c r="L74" i="1"/>
  <c r="K74" i="1"/>
  <c r="AC73" i="1"/>
  <c r="AD73" i="1" s="1"/>
  <c r="P73" i="1"/>
  <c r="Q73" i="1" s="1"/>
  <c r="N73" i="1"/>
  <c r="L73" i="1"/>
  <c r="K73" i="1"/>
  <c r="AC72" i="1"/>
  <c r="AD72" i="1" s="1"/>
  <c r="P72" i="1"/>
  <c r="N72" i="1"/>
  <c r="L72" i="1"/>
  <c r="K72" i="1"/>
  <c r="AC71" i="1"/>
  <c r="AD71" i="1" s="1"/>
  <c r="Q71" i="1"/>
  <c r="R71" i="1" s="1"/>
  <c r="N71" i="1"/>
  <c r="L71" i="1"/>
  <c r="K71" i="1"/>
  <c r="AC70" i="1"/>
  <c r="AD70" i="1" s="1"/>
  <c r="Q70" i="1"/>
  <c r="R70" i="1" s="1"/>
  <c r="N70" i="1"/>
  <c r="L70" i="1"/>
  <c r="K70" i="1"/>
  <c r="AC69" i="1"/>
  <c r="AD69" i="1" s="1"/>
  <c r="Q69" i="1"/>
  <c r="S69" i="1" s="1"/>
  <c r="N69" i="1"/>
  <c r="L69" i="1"/>
  <c r="K69" i="1"/>
  <c r="U68" i="1"/>
  <c r="AC68" i="1" s="1"/>
  <c r="AD68" i="1" s="1"/>
  <c r="Q68" i="1"/>
  <c r="N68" i="1"/>
  <c r="L68" i="1"/>
  <c r="K68" i="1"/>
  <c r="AC67" i="1"/>
  <c r="AD67" i="1" s="1"/>
  <c r="P67" i="1"/>
  <c r="N67" i="1"/>
  <c r="L67" i="1"/>
  <c r="K67" i="1"/>
  <c r="AC66" i="1"/>
  <c r="AD66" i="1" s="1"/>
  <c r="Q66" i="1"/>
  <c r="N66" i="1"/>
  <c r="L66" i="1"/>
  <c r="K66" i="1"/>
  <c r="AC65" i="1"/>
  <c r="AD65" i="1" s="1"/>
  <c r="Q65" i="1"/>
  <c r="S65" i="1" s="1"/>
  <c r="N65" i="1"/>
  <c r="L65" i="1"/>
  <c r="K65" i="1"/>
  <c r="AC64" i="1"/>
  <c r="AD64" i="1" s="1"/>
  <c r="P64" i="1"/>
  <c r="N64" i="1"/>
  <c r="L64" i="1"/>
  <c r="K64" i="1"/>
  <c r="AC63" i="1"/>
  <c r="AD63" i="1" s="1"/>
  <c r="Q63" i="1"/>
  <c r="S63" i="1" s="1"/>
  <c r="N63" i="1"/>
  <c r="L63" i="1"/>
  <c r="K63" i="1"/>
  <c r="AC62" i="1"/>
  <c r="AD62" i="1" s="1"/>
  <c r="Q62" i="1"/>
  <c r="R62" i="1" s="1"/>
  <c r="N62" i="1"/>
  <c r="L62" i="1"/>
  <c r="K62" i="1"/>
  <c r="AC61" i="1"/>
  <c r="AD61" i="1" s="1"/>
  <c r="Q61" i="1"/>
  <c r="S61" i="1" s="1"/>
  <c r="AB61" i="1" s="1"/>
  <c r="N61" i="1"/>
  <c r="L61" i="1"/>
  <c r="K61" i="1"/>
  <c r="AC60" i="1"/>
  <c r="AD60" i="1" s="1"/>
  <c r="Q60" i="1"/>
  <c r="R60" i="1" s="1"/>
  <c r="N60" i="1"/>
  <c r="L60" i="1"/>
  <c r="K60" i="1"/>
  <c r="AC59" i="1"/>
  <c r="AD59" i="1" s="1"/>
  <c r="Q59" i="1"/>
  <c r="S59" i="1" s="1"/>
  <c r="N59" i="1"/>
  <c r="L59" i="1"/>
  <c r="K59" i="1"/>
  <c r="AC58" i="1"/>
  <c r="AD58" i="1" s="1"/>
  <c r="Q58" i="1"/>
  <c r="R58" i="1" s="1"/>
  <c r="N58" i="1"/>
  <c r="L58" i="1"/>
  <c r="K58" i="1"/>
  <c r="AC57" i="1"/>
  <c r="AD57" i="1" s="1"/>
  <c r="Q57" i="1"/>
  <c r="R57" i="1" s="1"/>
  <c r="N57" i="1"/>
  <c r="L57" i="1"/>
  <c r="K57" i="1"/>
  <c r="AC56" i="1"/>
  <c r="AD56" i="1" s="1"/>
  <c r="Q56" i="1"/>
  <c r="S56" i="1" s="1"/>
  <c r="N56" i="1"/>
  <c r="L56" i="1"/>
  <c r="K56" i="1"/>
  <c r="AC55" i="1"/>
  <c r="AD55" i="1" s="1"/>
  <c r="Q55" i="1"/>
  <c r="R55" i="1" s="1"/>
  <c r="N55" i="1"/>
  <c r="L55" i="1"/>
  <c r="K55" i="1"/>
  <c r="AC54" i="1"/>
  <c r="AD54" i="1" s="1"/>
  <c r="Q54" i="1"/>
  <c r="S54" i="1" s="1"/>
  <c r="N54" i="1"/>
  <c r="L54" i="1"/>
  <c r="K54" i="1"/>
  <c r="AC53" i="1"/>
  <c r="AD53" i="1" s="1"/>
  <c r="Q53" i="1"/>
  <c r="S53" i="1" s="1"/>
  <c r="AB53" i="1" s="1"/>
  <c r="N53" i="1"/>
  <c r="L53" i="1"/>
  <c r="K53" i="1"/>
  <c r="AC52" i="1"/>
  <c r="AD52" i="1" s="1"/>
  <c r="Q52" i="1"/>
  <c r="S52" i="1" s="1"/>
  <c r="N52" i="1"/>
  <c r="L52" i="1"/>
  <c r="K52" i="1"/>
  <c r="U51" i="1"/>
  <c r="AC51" i="1" s="1"/>
  <c r="AD51" i="1" s="1"/>
  <c r="Q51" i="1"/>
  <c r="N51" i="1"/>
  <c r="L51" i="1"/>
  <c r="K51" i="1"/>
  <c r="AC50" i="1"/>
  <c r="AD50" i="1" s="1"/>
  <c r="Q50" i="1"/>
  <c r="S50" i="1" s="1"/>
  <c r="AB50" i="1" s="1"/>
  <c r="N50" i="1"/>
  <c r="L50" i="1"/>
  <c r="K50" i="1"/>
  <c r="S49" i="1"/>
  <c r="Z49" i="1" s="1"/>
  <c r="R49" i="1"/>
  <c r="S48" i="1"/>
  <c r="AB48" i="1" s="1"/>
  <c r="R48" i="1"/>
  <c r="S47" i="1"/>
  <c r="Z47" i="1" s="1"/>
  <c r="R47" i="1"/>
  <c r="S46" i="1"/>
  <c r="AB46" i="1" s="1"/>
  <c r="R46" i="1"/>
  <c r="W45" i="1"/>
  <c r="S45" i="1"/>
  <c r="AB45" i="1" s="1"/>
  <c r="R45" i="1"/>
  <c r="AC44" i="1"/>
  <c r="AD44" i="1" s="1"/>
  <c r="S44" i="1"/>
  <c r="Z44" i="1" s="1"/>
  <c r="R44" i="1"/>
  <c r="L44" i="1"/>
  <c r="K44" i="1"/>
  <c r="S43" i="1"/>
  <c r="AB43" i="1" s="1"/>
  <c r="R43" i="1"/>
  <c r="S42" i="1"/>
  <c r="AB42" i="1" s="1"/>
  <c r="R42" i="1"/>
  <c r="S41" i="1"/>
  <c r="T41" i="1" s="1"/>
  <c r="R41" i="1"/>
  <c r="AB40" i="1"/>
  <c r="Z40" i="1"/>
  <c r="S39" i="1"/>
  <c r="AB39" i="1" s="1"/>
  <c r="R39" i="1"/>
  <c r="U38" i="1"/>
  <c r="S38" i="1" s="1"/>
  <c r="S37" i="1"/>
  <c r="T37" i="1" s="1"/>
  <c r="R37" i="1"/>
  <c r="W36" i="1"/>
  <c r="U36" i="1"/>
  <c r="R36" i="1" s="1"/>
  <c r="S35" i="1"/>
  <c r="AB35" i="1" s="1"/>
  <c r="R35" i="1"/>
  <c r="U34" i="1"/>
  <c r="S34" i="1" s="1"/>
  <c r="S33" i="1"/>
  <c r="T33" i="1" s="1"/>
  <c r="R33" i="1"/>
  <c r="S32" i="1"/>
  <c r="AB32" i="1" s="1"/>
  <c r="R32" i="1"/>
  <c r="S31" i="1"/>
  <c r="AB31" i="1" s="1"/>
  <c r="R31" i="1"/>
  <c r="S30" i="1"/>
  <c r="AB30" i="1" s="1"/>
  <c r="R30" i="1"/>
  <c r="S29" i="1"/>
  <c r="AB29" i="1" s="1"/>
  <c r="R29" i="1"/>
  <c r="S28" i="1"/>
  <c r="Z28" i="1" s="1"/>
  <c r="R28" i="1"/>
  <c r="S27" i="1"/>
  <c r="AB27" i="1" s="1"/>
  <c r="R27" i="1"/>
  <c r="S26" i="1"/>
  <c r="Z26" i="1" s="1"/>
  <c r="R26" i="1"/>
  <c r="S25" i="1"/>
  <c r="Z25" i="1" s="1"/>
  <c r="R25" i="1"/>
  <c r="S24" i="1"/>
  <c r="AB24" i="1" s="1"/>
  <c r="R24" i="1"/>
  <c r="S23" i="1"/>
  <c r="AB23" i="1" s="1"/>
  <c r="R23" i="1"/>
  <c r="P23" i="1"/>
  <c r="N23" i="1"/>
  <c r="L23" i="1"/>
  <c r="K23" i="1"/>
  <c r="AC22" i="1"/>
  <c r="AD22" i="1" s="1"/>
  <c r="S22" i="1"/>
  <c r="Z22" i="1" s="1"/>
  <c r="R22" i="1"/>
  <c r="N22" i="1"/>
  <c r="L22" i="1"/>
  <c r="K22" i="1"/>
  <c r="AC21" i="1"/>
  <c r="AD21" i="1" s="1"/>
  <c r="S21" i="1"/>
  <c r="Z21" i="1" s="1"/>
  <c r="R21" i="1"/>
  <c r="N21" i="1"/>
  <c r="L21" i="1"/>
  <c r="K21" i="1"/>
  <c r="AC20" i="1"/>
  <c r="AD20" i="1" s="1"/>
  <c r="S20" i="1"/>
  <c r="R20" i="1"/>
  <c r="P20" i="1"/>
  <c r="AC19" i="1"/>
  <c r="AD19" i="1" s="1"/>
  <c r="S19" i="1"/>
  <c r="Z19" i="1" s="1"/>
  <c r="R19" i="1"/>
  <c r="P19" i="1"/>
  <c r="AC18" i="1"/>
  <c r="AD18" i="1" s="1"/>
  <c r="S18" i="1"/>
  <c r="AB18" i="1" s="1"/>
  <c r="R18" i="1"/>
  <c r="P18" i="1"/>
  <c r="U17" i="1"/>
  <c r="AC17" i="1" s="1"/>
  <c r="AD17" i="1" s="1"/>
  <c r="P17" i="1"/>
  <c r="AC16" i="1"/>
  <c r="AD16" i="1" s="1"/>
  <c r="S16" i="1"/>
  <c r="R16" i="1"/>
  <c r="P16" i="1"/>
  <c r="AC15" i="1"/>
  <c r="AD15" i="1" s="1"/>
  <c r="S15" i="1"/>
  <c r="R15" i="1"/>
  <c r="P15" i="1"/>
  <c r="AC14" i="1"/>
  <c r="AD14" i="1" s="1"/>
  <c r="S14" i="1"/>
  <c r="T14" i="1" s="1"/>
  <c r="R14" i="1"/>
  <c r="P14" i="1"/>
  <c r="U13" i="1"/>
  <c r="S13" i="1" s="1"/>
  <c r="P13" i="1"/>
  <c r="U12" i="1"/>
  <c r="AC12" i="1" s="1"/>
  <c r="AD12" i="1" s="1"/>
  <c r="P12" i="1"/>
  <c r="V11" i="1"/>
  <c r="Q11" i="1"/>
  <c r="N11" i="1"/>
  <c r="U10" i="1"/>
  <c r="AC10" i="1" s="1"/>
  <c r="AD10" i="1" s="1"/>
  <c r="P10" i="1"/>
  <c r="N10" i="1"/>
  <c r="U9" i="1"/>
  <c r="AC9" i="1" s="1"/>
  <c r="AD9" i="1" s="1"/>
  <c r="P9" i="1"/>
  <c r="Q9" i="1" s="1"/>
  <c r="N9" i="1"/>
  <c r="U8" i="1"/>
  <c r="AC8" i="1" s="1"/>
  <c r="AD8" i="1" s="1"/>
  <c r="P8" i="1"/>
  <c r="Q8" i="1" s="1"/>
  <c r="N8" i="1"/>
  <c r="U7" i="1"/>
  <c r="AC7" i="1" s="1"/>
  <c r="AD7" i="1" s="1"/>
  <c r="P7" i="1"/>
  <c r="N7" i="1"/>
  <c r="U6" i="1"/>
  <c r="AC6" i="1" s="1"/>
  <c r="AD6" i="1" s="1"/>
  <c r="P6" i="1"/>
  <c r="Q6" i="1" s="1"/>
  <c r="N6" i="1"/>
  <c r="U5" i="1"/>
  <c r="AC5" i="1" s="1"/>
  <c r="AD5" i="1" s="1"/>
  <c r="P5" i="1"/>
  <c r="Q5" i="1" s="1"/>
  <c r="N5" i="1"/>
  <c r="U4" i="1"/>
  <c r="AC4" i="1" s="1"/>
  <c r="AD4" i="1" s="1"/>
  <c r="P4" i="1"/>
  <c r="N4" i="1"/>
  <c r="U3" i="1"/>
  <c r="AC3" i="1" s="1"/>
  <c r="AD3" i="1" s="1"/>
  <c r="P3" i="1"/>
  <c r="N3" i="1"/>
  <c r="S533" i="1" l="1"/>
  <c r="T26" i="1"/>
  <c r="T31" i="1"/>
  <c r="S261" i="1"/>
  <c r="AB261" i="1" s="1"/>
  <c r="R596" i="1"/>
  <c r="Q422" i="1"/>
  <c r="S422" i="1" s="1"/>
  <c r="R34" i="1"/>
  <c r="S296" i="1"/>
  <c r="Z296" i="1" s="1"/>
  <c r="R61" i="1"/>
  <c r="AB33" i="1"/>
  <c r="S450" i="1"/>
  <c r="Z31" i="1"/>
  <c r="R127" i="1"/>
  <c r="Q404" i="1"/>
  <c r="S404" i="1" s="1"/>
  <c r="AB404" i="1" s="1"/>
  <c r="Q72" i="1"/>
  <c r="S72" i="1" s="1"/>
  <c r="AB72" i="1" s="1"/>
  <c r="R551" i="1"/>
  <c r="S586" i="1"/>
  <c r="T586" i="1" s="1"/>
  <c r="S294" i="1"/>
  <c r="Z294" i="1" s="1"/>
  <c r="Q483" i="1"/>
  <c r="T20" i="1"/>
  <c r="R50" i="1"/>
  <c r="U155" i="1"/>
  <c r="AC155" i="1" s="1"/>
  <c r="AD155" i="1" s="1"/>
  <c r="Q384" i="1"/>
  <c r="R384" i="1" s="1"/>
  <c r="Q403" i="1"/>
  <c r="R403" i="1" s="1"/>
  <c r="S293" i="1"/>
  <c r="AB293" i="1" s="1"/>
  <c r="S573" i="1"/>
  <c r="Z573" i="1" s="1"/>
  <c r="Q599" i="1"/>
  <c r="S599" i="1" s="1"/>
  <c r="N94" i="1"/>
  <c r="R374" i="1"/>
  <c r="S517" i="1"/>
  <c r="Q721" i="1"/>
  <c r="U210" i="1"/>
  <c r="AC210" i="1" s="1"/>
  <c r="AD210" i="1" s="1"/>
  <c r="R246" i="1"/>
  <c r="S668" i="1"/>
  <c r="AB668" i="1" s="1"/>
  <c r="Q723" i="1"/>
  <c r="S723" i="1" s="1"/>
  <c r="Z723" i="1" s="1"/>
  <c r="R729" i="1"/>
  <c r="AB174" i="1"/>
  <c r="R260" i="1"/>
  <c r="S349" i="1"/>
  <c r="AB349" i="1" s="1"/>
  <c r="R390" i="1"/>
  <c r="R407" i="1"/>
  <c r="Q502" i="1"/>
  <c r="S708" i="1"/>
  <c r="S757" i="1"/>
  <c r="AB757" i="1" s="1"/>
  <c r="Q602" i="1"/>
  <c r="S602" i="1" s="1"/>
  <c r="S793" i="1"/>
  <c r="AB793" i="1" s="1"/>
  <c r="Z43" i="1"/>
  <c r="Q171" i="1"/>
  <c r="S171" i="1" s="1"/>
  <c r="Q369" i="1"/>
  <c r="S369" i="1" s="1"/>
  <c r="S373" i="1"/>
  <c r="AB373" i="1" s="1"/>
  <c r="Q465" i="1"/>
  <c r="S465" i="1" s="1"/>
  <c r="Q497" i="1"/>
  <c r="R497" i="1" s="1"/>
  <c r="S728" i="1"/>
  <c r="U311" i="1"/>
  <c r="AC311" i="1" s="1"/>
  <c r="AD311" i="1" s="1"/>
  <c r="Q421" i="1"/>
  <c r="R421" i="1" s="1"/>
  <c r="S436" i="1"/>
  <c r="AB436" i="1" s="1"/>
  <c r="R453" i="1"/>
  <c r="R484" i="1"/>
  <c r="Q570" i="1"/>
  <c r="S570" i="1" s="1"/>
  <c r="S583" i="1"/>
  <c r="AB583" i="1" s="1"/>
  <c r="Q618" i="1"/>
  <c r="S618" i="1" s="1"/>
  <c r="T49" i="1"/>
  <c r="U169" i="1"/>
  <c r="AC169" i="1" s="1"/>
  <c r="AD169" i="1" s="1"/>
  <c r="Q219" i="1"/>
  <c r="R219" i="1" s="1"/>
  <c r="S453" i="1"/>
  <c r="T32" i="1"/>
  <c r="R131" i="1"/>
  <c r="S304" i="1"/>
  <c r="Z304" i="1" s="1"/>
  <c r="Q367" i="1"/>
  <c r="R367" i="1" s="1"/>
  <c r="Q410" i="1"/>
  <c r="R410" i="1" s="1"/>
  <c r="Q767" i="1"/>
  <c r="S767" i="1" s="1"/>
  <c r="Z32" i="1"/>
  <c r="T174" i="1"/>
  <c r="S527" i="1"/>
  <c r="AB527" i="1" s="1"/>
  <c r="Q687" i="1"/>
  <c r="S687" i="1" s="1"/>
  <c r="AB25" i="1"/>
  <c r="S193" i="1"/>
  <c r="AB193" i="1" s="1"/>
  <c r="S208" i="1"/>
  <c r="S362" i="1"/>
  <c r="Z362" i="1" s="1"/>
  <c r="R373" i="1"/>
  <c r="Q445" i="1"/>
  <c r="S445" i="1" s="1"/>
  <c r="Z445" i="1" s="1"/>
  <c r="S452" i="1"/>
  <c r="AB452" i="1" s="1"/>
  <c r="R459" i="1"/>
  <c r="R488" i="1"/>
  <c r="Q555" i="1"/>
  <c r="S555" i="1" s="1"/>
  <c r="AB555" i="1" s="1"/>
  <c r="Q579" i="1"/>
  <c r="R579" i="1" s="1"/>
  <c r="Q735" i="1"/>
  <c r="R735" i="1" s="1"/>
  <c r="N91" i="1"/>
  <c r="N93" i="1"/>
  <c r="Q697" i="1"/>
  <c r="R697" i="1" s="1"/>
  <c r="Q787" i="1"/>
  <c r="S787" i="1" s="1"/>
  <c r="T145" i="1"/>
  <c r="S247" i="1"/>
  <c r="AB247" i="1" s="1"/>
  <c r="S295" i="1"/>
  <c r="AB295" i="1" s="1"/>
  <c r="Q332" i="1"/>
  <c r="S332" i="1" s="1"/>
  <c r="Q355" i="1"/>
  <c r="R355" i="1" s="1"/>
  <c r="Q416" i="1"/>
  <c r="S416" i="1" s="1"/>
  <c r="Z416" i="1" s="1"/>
  <c r="Q447" i="1"/>
  <c r="S447" i="1" s="1"/>
  <c r="T447" i="1" s="1"/>
  <c r="Q550" i="1"/>
  <c r="S550" i="1" s="1"/>
  <c r="S567" i="1"/>
  <c r="AB567" i="1" s="1"/>
  <c r="Q581" i="1"/>
  <c r="S581" i="1" s="1"/>
  <c r="Q615" i="1"/>
  <c r="Q647" i="1"/>
  <c r="S647" i="1" s="1"/>
  <c r="Z647" i="1" s="1"/>
  <c r="Q684" i="1"/>
  <c r="S686" i="1"/>
  <c r="Q724" i="1"/>
  <c r="S724" i="1" s="1"/>
  <c r="S760" i="1"/>
  <c r="AB760" i="1" s="1"/>
  <c r="T23" i="1"/>
  <c r="AB145" i="1"/>
  <c r="Q797" i="1"/>
  <c r="R797" i="1" s="1"/>
  <c r="Q190" i="1"/>
  <c r="S190" i="1" s="1"/>
  <c r="Z190" i="1" s="1"/>
  <c r="S331" i="1"/>
  <c r="Z331" i="1" s="1"/>
  <c r="S359" i="1"/>
  <c r="Q454" i="1"/>
  <c r="R454" i="1" s="1"/>
  <c r="R530" i="1"/>
  <c r="R732" i="1"/>
  <c r="Q749" i="1"/>
  <c r="R749" i="1" s="1"/>
  <c r="Z23" i="1"/>
  <c r="AB26" i="1"/>
  <c r="S71" i="1"/>
  <c r="T71" i="1" s="1"/>
  <c r="Q212" i="1"/>
  <c r="S212" i="1" s="1"/>
  <c r="Z212" i="1" s="1"/>
  <c r="S318" i="1"/>
  <c r="AB318" i="1" s="1"/>
  <c r="Q413" i="1"/>
  <c r="R413" i="1" s="1"/>
  <c r="R478" i="1"/>
  <c r="Q487" i="1"/>
  <c r="S487" i="1" s="1"/>
  <c r="Q696" i="1"/>
  <c r="S696" i="1" s="1"/>
  <c r="R736" i="1"/>
  <c r="R774" i="1"/>
  <c r="S230" i="1"/>
  <c r="T230" i="1" s="1"/>
  <c r="R230" i="1"/>
  <c r="AC440" i="1"/>
  <c r="AD440" i="1" s="1"/>
  <c r="S440" i="1"/>
  <c r="T440" i="1" s="1"/>
  <c r="AB21" i="1"/>
  <c r="Z42" i="1"/>
  <c r="R53" i="1"/>
  <c r="Q90" i="1"/>
  <c r="Q122" i="1"/>
  <c r="Q157" i="1"/>
  <c r="S157" i="1" s="1"/>
  <c r="U161" i="1"/>
  <c r="AC161" i="1" s="1"/>
  <c r="AD161" i="1" s="1"/>
  <c r="R196" i="1"/>
  <c r="S260" i="1"/>
  <c r="T260" i="1" s="1"/>
  <c r="Q269" i="1"/>
  <c r="S269" i="1" s="1"/>
  <c r="AB269" i="1" s="1"/>
  <c r="Q427" i="1"/>
  <c r="S427" i="1" s="1"/>
  <c r="Z427" i="1" s="1"/>
  <c r="R476" i="1"/>
  <c r="AC478" i="1"/>
  <c r="AD478" i="1" s="1"/>
  <c r="S488" i="1"/>
  <c r="T488" i="1" s="1"/>
  <c r="S561" i="1"/>
  <c r="AB561" i="1" s="1"/>
  <c r="S600" i="1"/>
  <c r="Z600" i="1" s="1"/>
  <c r="Q616" i="1"/>
  <c r="R616" i="1" s="1"/>
  <c r="S619" i="1"/>
  <c r="S680" i="1"/>
  <c r="Z680" i="1" s="1"/>
  <c r="Q709" i="1"/>
  <c r="S709" i="1" s="1"/>
  <c r="AB709" i="1" s="1"/>
  <c r="Q733" i="1"/>
  <c r="Z18" i="1"/>
  <c r="Z24" i="1"/>
  <c r="Q81" i="1"/>
  <c r="S81" i="1" s="1"/>
  <c r="AB81" i="1" s="1"/>
  <c r="Z119" i="1"/>
  <c r="Z145" i="1"/>
  <c r="U178" i="1"/>
  <c r="R178" i="1" s="1"/>
  <c r="R181" i="1"/>
  <c r="S191" i="1"/>
  <c r="AB191" i="1" s="1"/>
  <c r="S196" i="1"/>
  <c r="AB196" i="1" s="1"/>
  <c r="Q211" i="1"/>
  <c r="S211" i="1" s="1"/>
  <c r="Z211" i="1" s="1"/>
  <c r="S291" i="1"/>
  <c r="T291" i="1" s="1"/>
  <c r="Q351" i="1"/>
  <c r="S351" i="1" s="1"/>
  <c r="Q356" i="1"/>
  <c r="S356" i="1" s="1"/>
  <c r="Q398" i="1"/>
  <c r="R398" i="1" s="1"/>
  <c r="Q441" i="1"/>
  <c r="S441" i="1" s="1"/>
  <c r="Z441" i="1" s="1"/>
  <c r="S476" i="1"/>
  <c r="Z476" i="1" s="1"/>
  <c r="S477" i="1"/>
  <c r="S542" i="1"/>
  <c r="T542" i="1" s="1"/>
  <c r="Q577" i="1"/>
  <c r="S577" i="1" s="1"/>
  <c r="R600" i="1"/>
  <c r="S639" i="1"/>
  <c r="S762" i="1"/>
  <c r="AB762" i="1" s="1"/>
  <c r="R772" i="1"/>
  <c r="Z160" i="1"/>
  <c r="Q776" i="1"/>
  <c r="S776" i="1" s="1"/>
  <c r="T776" i="1" s="1"/>
  <c r="Z27" i="1"/>
  <c r="S58" i="1"/>
  <c r="AB58" i="1" s="1"/>
  <c r="Q83" i="1"/>
  <c r="R83" i="1" s="1"/>
  <c r="Q89" i="1"/>
  <c r="S89" i="1" s="1"/>
  <c r="Z89" i="1" s="1"/>
  <c r="Q102" i="1"/>
  <c r="R102" i="1" s="1"/>
  <c r="Q124" i="1"/>
  <c r="S124" i="1" s="1"/>
  <c r="Q159" i="1"/>
  <c r="S159" i="1" s="1"/>
  <c r="T159" i="1" s="1"/>
  <c r="AB160" i="1"/>
  <c r="Q312" i="1"/>
  <c r="S312" i="1" s="1"/>
  <c r="Q353" i="1"/>
  <c r="S353" i="1" s="1"/>
  <c r="Q363" i="1"/>
  <c r="S363" i="1" s="1"/>
  <c r="Z363" i="1" s="1"/>
  <c r="Q409" i="1"/>
  <c r="S409" i="1" s="1"/>
  <c r="Q458" i="1"/>
  <c r="S458" i="1" s="1"/>
  <c r="Q509" i="1"/>
  <c r="S509" i="1" s="1"/>
  <c r="S511" i="1"/>
  <c r="AB511" i="1" s="1"/>
  <c r="Q558" i="1"/>
  <c r="S558" i="1" s="1"/>
  <c r="Q604" i="1"/>
  <c r="R604" i="1" s="1"/>
  <c r="Q623" i="1"/>
  <c r="S623" i="1" s="1"/>
  <c r="Q669" i="1"/>
  <c r="S669" i="1" s="1"/>
  <c r="S719" i="1"/>
  <c r="R753" i="1"/>
  <c r="AB14" i="1"/>
  <c r="Z16" i="1"/>
  <c r="S60" i="1"/>
  <c r="Z60" i="1" s="1"/>
  <c r="Q67" i="1"/>
  <c r="Q104" i="1"/>
  <c r="S104" i="1" s="1"/>
  <c r="AB104" i="1" s="1"/>
  <c r="Z127" i="1"/>
  <c r="S175" i="1"/>
  <c r="Q218" i="1"/>
  <c r="S218" i="1" s="1"/>
  <c r="AB218" i="1" s="1"/>
  <c r="R228" i="1"/>
  <c r="Q262" i="1"/>
  <c r="R262" i="1" s="1"/>
  <c r="Q275" i="1"/>
  <c r="S275" i="1" s="1"/>
  <c r="T275" i="1" s="1"/>
  <c r="S301" i="1"/>
  <c r="Z301" i="1" s="1"/>
  <c r="S319" i="1"/>
  <c r="T319" i="1" s="1"/>
  <c r="S515" i="1"/>
  <c r="Z515" i="1" s="1"/>
  <c r="S524" i="1"/>
  <c r="Q764" i="1"/>
  <c r="R764" i="1" s="1"/>
  <c r="Q636" i="1"/>
  <c r="R636" i="1" s="1"/>
  <c r="Q675" i="1"/>
  <c r="R757" i="1"/>
  <c r="S55" i="1"/>
  <c r="AB55" i="1" s="1"/>
  <c r="Q118" i="1"/>
  <c r="Q126" i="1"/>
  <c r="S126" i="1" s="1"/>
  <c r="Q147" i="1"/>
  <c r="Q163" i="1"/>
  <c r="S163" i="1" s="1"/>
  <c r="Q185" i="1"/>
  <c r="S185" i="1" s="1"/>
  <c r="Q231" i="1"/>
  <c r="S231" i="1" s="1"/>
  <c r="R445" i="1"/>
  <c r="Q475" i="1"/>
  <c r="R475" i="1" s="1"/>
  <c r="Q506" i="1"/>
  <c r="R506" i="1" s="1"/>
  <c r="Q539" i="1"/>
  <c r="S539" i="1" s="1"/>
  <c r="T539" i="1" s="1"/>
  <c r="Q592" i="1"/>
  <c r="S592" i="1" s="1"/>
  <c r="Q610" i="1"/>
  <c r="R610" i="1" s="1"/>
  <c r="Q627" i="1"/>
  <c r="S627" i="1" s="1"/>
  <c r="Q662" i="1"/>
  <c r="S662" i="1" s="1"/>
  <c r="Q679" i="1"/>
  <c r="S679" i="1" s="1"/>
  <c r="S759" i="1"/>
  <c r="AB759" i="1" s="1"/>
  <c r="Z35" i="1"/>
  <c r="Z41" i="1"/>
  <c r="S62" i="1"/>
  <c r="AB62" i="1" s="1"/>
  <c r="Q108" i="1"/>
  <c r="Q113" i="1"/>
  <c r="S236" i="1"/>
  <c r="T236" i="1" s="1"/>
  <c r="S303" i="1"/>
  <c r="T303" i="1" s="1"/>
  <c r="R352" i="1"/>
  <c r="Q392" i="1"/>
  <c r="Q481" i="1"/>
  <c r="R481" i="1" s="1"/>
  <c r="S521" i="1"/>
  <c r="Z521" i="1" s="1"/>
  <c r="S532" i="1"/>
  <c r="Z532" i="1" s="1"/>
  <c r="Q617" i="1"/>
  <c r="R617" i="1" s="1"/>
  <c r="Q622" i="1"/>
  <c r="S622" i="1" s="1"/>
  <c r="Q666" i="1"/>
  <c r="S666" i="1" s="1"/>
  <c r="T666" i="1" s="1"/>
  <c r="Q681" i="1"/>
  <c r="S681" i="1" s="1"/>
  <c r="AB681" i="1" s="1"/>
  <c r="Q714" i="1"/>
  <c r="S714" i="1" s="1"/>
  <c r="Z714" i="1" s="1"/>
  <c r="Q743" i="1"/>
  <c r="S743" i="1" s="1"/>
  <c r="Q768" i="1"/>
  <c r="R768" i="1" s="1"/>
  <c r="AB22" i="1"/>
  <c r="Q88" i="1"/>
  <c r="R88" i="1" s="1"/>
  <c r="AB110" i="1"/>
  <c r="Q149" i="1"/>
  <c r="R254" i="1"/>
  <c r="Q272" i="1"/>
  <c r="S272" i="1" s="1"/>
  <c r="T272" i="1" s="1"/>
  <c r="S327" i="1"/>
  <c r="Q378" i="1"/>
  <c r="S378" i="1" s="1"/>
  <c r="R436" i="1"/>
  <c r="Q442" i="1"/>
  <c r="S442" i="1" s="1"/>
  <c r="R449" i="1"/>
  <c r="AC484" i="1"/>
  <c r="AD484" i="1" s="1"/>
  <c r="S486" i="1"/>
  <c r="T486" i="1" s="1"/>
  <c r="S500" i="1"/>
  <c r="AB500" i="1" s="1"/>
  <c r="S523" i="1"/>
  <c r="T523" i="1" s="1"/>
  <c r="S591" i="1"/>
  <c r="Q705" i="1"/>
  <c r="S705" i="1" s="1"/>
  <c r="Q716" i="1"/>
  <c r="R716" i="1" s="1"/>
  <c r="Q763" i="1"/>
  <c r="S763" i="1" s="1"/>
  <c r="S777" i="1"/>
  <c r="AB777" i="1" s="1"/>
  <c r="S792" i="1"/>
  <c r="AB792" i="1" s="1"/>
  <c r="R68" i="1"/>
  <c r="S170" i="1"/>
  <c r="Z170" i="1" s="1"/>
  <c r="U179" i="1"/>
  <c r="AC179" i="1" s="1"/>
  <c r="AD179" i="1" s="1"/>
  <c r="S292" i="1"/>
  <c r="Z292" i="1" s="1"/>
  <c r="S297" i="1"/>
  <c r="AB297" i="1" s="1"/>
  <c r="S305" i="1"/>
  <c r="AB305" i="1" s="1"/>
  <c r="S334" i="1"/>
  <c r="T334" i="1" s="1"/>
  <c r="R364" i="1"/>
  <c r="S394" i="1"/>
  <c r="R405" i="1"/>
  <c r="S736" i="1"/>
  <c r="Z736" i="1" s="1"/>
  <c r="R765" i="1"/>
  <c r="S781" i="1"/>
  <c r="Z781" i="1" s="1"/>
  <c r="R796" i="1"/>
  <c r="AB56" i="1"/>
  <c r="Z56" i="1"/>
  <c r="T38" i="1"/>
  <c r="Z38" i="1"/>
  <c r="AB38" i="1"/>
  <c r="Q97" i="1"/>
  <c r="AC167" i="1"/>
  <c r="AD167" i="1" s="1"/>
  <c r="S167" i="1"/>
  <c r="Z167" i="1" s="1"/>
  <c r="S154" i="1"/>
  <c r="R154" i="1"/>
  <c r="AC13" i="1"/>
  <c r="AD13" i="1" s="1"/>
  <c r="T28" i="1"/>
  <c r="T30" i="1"/>
  <c r="T44" i="1"/>
  <c r="R59" i="1"/>
  <c r="S70" i="1"/>
  <c r="T70" i="1" s="1"/>
  <c r="Q84" i="1"/>
  <c r="S84" i="1" s="1"/>
  <c r="AB84" i="1" s="1"/>
  <c r="P92" i="1"/>
  <c r="Q92" i="1" s="1"/>
  <c r="R92" i="1" s="1"/>
  <c r="Q106" i="1"/>
  <c r="Q137" i="1"/>
  <c r="S137" i="1" s="1"/>
  <c r="Z137" i="1" s="1"/>
  <c r="S141" i="1"/>
  <c r="Q192" i="1"/>
  <c r="S192" i="1" s="1"/>
  <c r="Q207" i="1"/>
  <c r="R207" i="1" s="1"/>
  <c r="S459" i="1"/>
  <c r="T459" i="1" s="1"/>
  <c r="AC459" i="1"/>
  <c r="AD459" i="1" s="1"/>
  <c r="AB44" i="1"/>
  <c r="P96" i="1"/>
  <c r="N96" i="1"/>
  <c r="R191" i="1"/>
  <c r="Q298" i="1"/>
  <c r="S298" i="1" s="1"/>
  <c r="T298" i="1" s="1"/>
  <c r="Q328" i="1"/>
  <c r="R328" i="1" s="1"/>
  <c r="Q471" i="1"/>
  <c r="S471" i="1" s="1"/>
  <c r="Q7" i="1"/>
  <c r="AB28" i="1"/>
  <c r="Z30" i="1"/>
  <c r="R66" i="1"/>
  <c r="S66" i="1"/>
  <c r="T66" i="1" s="1"/>
  <c r="Q134" i="1"/>
  <c r="S134" i="1" s="1"/>
  <c r="T134" i="1" s="1"/>
  <c r="Q161" i="1"/>
  <c r="Q169" i="1"/>
  <c r="Z174" i="1"/>
  <c r="AB217" i="1"/>
  <c r="Z217" i="1"/>
  <c r="T217" i="1"/>
  <c r="Q252" i="1"/>
  <c r="S252" i="1" s="1"/>
  <c r="Q333" i="1"/>
  <c r="R333" i="1" s="1"/>
  <c r="Q337" i="1"/>
  <c r="S337" i="1" s="1"/>
  <c r="AB337" i="1" s="1"/>
  <c r="Q412" i="1"/>
  <c r="Q464" i="1"/>
  <c r="Q443" i="1"/>
  <c r="R443" i="1" s="1"/>
  <c r="R504" i="1"/>
  <c r="S504" i="1"/>
  <c r="Z504" i="1" s="1"/>
  <c r="Q693" i="1"/>
  <c r="S693" i="1" s="1"/>
  <c r="AB693" i="1" s="1"/>
  <c r="Q105" i="1"/>
  <c r="R105" i="1" s="1"/>
  <c r="Q182" i="1"/>
  <c r="S182" i="1" s="1"/>
  <c r="Q281" i="1"/>
  <c r="R281" i="1" s="1"/>
  <c r="Q461" i="1"/>
  <c r="S461" i="1" s="1"/>
  <c r="R396" i="1"/>
  <c r="S396" i="1"/>
  <c r="Z39" i="1"/>
  <c r="AB41" i="1"/>
  <c r="AB49" i="1"/>
  <c r="Z53" i="1"/>
  <c r="S133" i="1"/>
  <c r="Q240" i="1"/>
  <c r="R240" i="1" s="1"/>
  <c r="Q468" i="1"/>
  <c r="Z20" i="1"/>
  <c r="AB47" i="1"/>
  <c r="Q10" i="1"/>
  <c r="S10" i="1" s="1"/>
  <c r="Z10" i="1" s="1"/>
  <c r="Z14" i="1"/>
  <c r="AB20" i="1"/>
  <c r="T21" i="1"/>
  <c r="T22" i="1"/>
  <c r="T25" i="1"/>
  <c r="R56" i="1"/>
  <c r="S57" i="1"/>
  <c r="T57" i="1" s="1"/>
  <c r="S68" i="1"/>
  <c r="Q100" i="1"/>
  <c r="R100" i="1" s="1"/>
  <c r="R119" i="1"/>
  <c r="R167" i="1"/>
  <c r="R198" i="1"/>
  <c r="Q479" i="1"/>
  <c r="R479" i="1" s="1"/>
  <c r="S85" i="1"/>
  <c r="AB85" i="1" s="1"/>
  <c r="N97" i="1"/>
  <c r="T119" i="1"/>
  <c r="Z139" i="1"/>
  <c r="R172" i="1"/>
  <c r="S198" i="1"/>
  <c r="Q385" i="1"/>
  <c r="Q489" i="1"/>
  <c r="R38" i="1"/>
  <c r="R74" i="1"/>
  <c r="R211" i="1"/>
  <c r="Q237" i="1"/>
  <c r="S237" i="1" s="1"/>
  <c r="S251" i="1"/>
  <c r="R251" i="1"/>
  <c r="AC251" i="1"/>
  <c r="AD251" i="1" s="1"/>
  <c r="Q354" i="1"/>
  <c r="R354" i="1" s="1"/>
  <c r="Q408" i="1"/>
  <c r="Q557" i="1"/>
  <c r="Q4" i="1"/>
  <c r="R4" i="1" s="1"/>
  <c r="T16" i="1"/>
  <c r="AB19" i="1"/>
  <c r="AC23" i="1"/>
  <c r="AD23" i="1" s="1"/>
  <c r="Z33" i="1"/>
  <c r="S36" i="1"/>
  <c r="T36" i="1" s="1"/>
  <c r="R51" i="1"/>
  <c r="T110" i="1"/>
  <c r="Q132" i="1"/>
  <c r="R132" i="1" s="1"/>
  <c r="Q151" i="1"/>
  <c r="Q186" i="1"/>
  <c r="S186" i="1" s="1"/>
  <c r="S224" i="1"/>
  <c r="AB224" i="1" s="1"/>
  <c r="Q320" i="1"/>
  <c r="S320" i="1" s="1"/>
  <c r="Q460" i="1"/>
  <c r="R13" i="1"/>
  <c r="S51" i="1"/>
  <c r="AB51" i="1" s="1"/>
  <c r="R99" i="1"/>
  <c r="S99" i="1"/>
  <c r="AB99" i="1" s="1"/>
  <c r="S142" i="1"/>
  <c r="AB142" i="1" s="1"/>
  <c r="Q244" i="1"/>
  <c r="R244" i="1" s="1"/>
  <c r="S317" i="1"/>
  <c r="AB317" i="1" s="1"/>
  <c r="Q380" i="1"/>
  <c r="S380" i="1" s="1"/>
  <c r="R263" i="1"/>
  <c r="S268" i="1"/>
  <c r="S302" i="1"/>
  <c r="Z302" i="1" s="1"/>
  <c r="S306" i="1"/>
  <c r="T306" i="1" s="1"/>
  <c r="S316" i="1"/>
  <c r="AB316" i="1" s="1"/>
  <c r="R361" i="1"/>
  <c r="S407" i="1"/>
  <c r="AB407" i="1" s="1"/>
  <c r="U429" i="1"/>
  <c r="AC429" i="1" s="1"/>
  <c r="AD429" i="1" s="1"/>
  <c r="S478" i="1"/>
  <c r="T478" i="1" s="1"/>
  <c r="Q529" i="1"/>
  <c r="Q536" i="1"/>
  <c r="S263" i="1"/>
  <c r="T263" i="1" s="1"/>
  <c r="S286" i="1"/>
  <c r="AB286" i="1" s="1"/>
  <c r="R344" i="1"/>
  <c r="S361" i="1"/>
  <c r="T361" i="1" s="1"/>
  <c r="Q375" i="1"/>
  <c r="S375" i="1" s="1"/>
  <c r="S428" i="1"/>
  <c r="AB428" i="1" s="1"/>
  <c r="Q744" i="1"/>
  <c r="S744" i="1" s="1"/>
  <c r="R428" i="1"/>
  <c r="Q473" i="1"/>
  <c r="S473" i="1" s="1"/>
  <c r="Q587" i="1"/>
  <c r="R587" i="1" s="1"/>
  <c r="Q664" i="1"/>
  <c r="S664" i="1" s="1"/>
  <c r="Q699" i="1"/>
  <c r="S699" i="1" s="1"/>
  <c r="Q226" i="1"/>
  <c r="S226" i="1" s="1"/>
  <c r="AB226" i="1" s="1"/>
  <c r="Q229" i="1"/>
  <c r="R236" i="1"/>
  <c r="R273" i="1"/>
  <c r="S308" i="1"/>
  <c r="T308" i="1" s="1"/>
  <c r="AC328" i="1"/>
  <c r="AD328" i="1" s="1"/>
  <c r="Q336" i="1"/>
  <c r="S336" i="1" s="1"/>
  <c r="Z336" i="1" s="1"/>
  <c r="R360" i="1"/>
  <c r="Q379" i="1"/>
  <c r="R379" i="1" s="1"/>
  <c r="Q493" i="1"/>
  <c r="Q554" i="1"/>
  <c r="S614" i="1"/>
  <c r="Z614" i="1" s="1"/>
  <c r="R614" i="1"/>
  <c r="AB139" i="1"/>
  <c r="Q209" i="1"/>
  <c r="Q215" i="1"/>
  <c r="R215" i="1" s="1"/>
  <c r="S239" i="1"/>
  <c r="Q242" i="1"/>
  <c r="Q248" i="1"/>
  <c r="S248" i="1" s="1"/>
  <c r="Z248" i="1" s="1"/>
  <c r="S273" i="1"/>
  <c r="Z273" i="1" s="1"/>
  <c r="S288" i="1"/>
  <c r="AB288" i="1" s="1"/>
  <c r="S315" i="1"/>
  <c r="T315" i="1" s="1"/>
  <c r="Q342" i="1"/>
  <c r="S360" i="1"/>
  <c r="AB360" i="1" s="1"/>
  <c r="Q366" i="1"/>
  <c r="R366" i="1" s="1"/>
  <c r="Q402" i="1"/>
  <c r="Q415" i="1"/>
  <c r="Q432" i="1"/>
  <c r="S432" i="1" s="1"/>
  <c r="AB432" i="1" s="1"/>
  <c r="Q470" i="1"/>
  <c r="S470" i="1" s="1"/>
  <c r="Q672" i="1"/>
  <c r="S672" i="1" s="1"/>
  <c r="U214" i="1"/>
  <c r="R214" i="1" s="1"/>
  <c r="R267" i="1"/>
  <c r="S335" i="1"/>
  <c r="Z335" i="1" s="1"/>
  <c r="R440" i="1"/>
  <c r="Q455" i="1"/>
  <c r="S455" i="1" s="1"/>
  <c r="T455" i="1" s="1"/>
  <c r="Q526" i="1"/>
  <c r="R526" i="1" s="1"/>
  <c r="Q655" i="1"/>
  <c r="S655" i="1" s="1"/>
  <c r="S250" i="1"/>
  <c r="T250" i="1" s="1"/>
  <c r="S310" i="1"/>
  <c r="AB310" i="1" s="1"/>
  <c r="Q495" i="1"/>
  <c r="R495" i="1" s="1"/>
  <c r="Q510" i="1"/>
  <c r="R510" i="1" s="1"/>
  <c r="Q537" i="1"/>
  <c r="Q676" i="1"/>
  <c r="S676" i="1" s="1"/>
  <c r="Q752" i="1"/>
  <c r="S228" i="1"/>
  <c r="T228" i="1" s="1"/>
  <c r="R250" i="1"/>
  <c r="Q256" i="1"/>
  <c r="S256" i="1" s="1"/>
  <c r="Z256" i="1" s="1"/>
  <c r="S282" i="1"/>
  <c r="AB282" i="1" s="1"/>
  <c r="S300" i="1"/>
  <c r="Z300" i="1" s="1"/>
  <c r="Q326" i="1"/>
  <c r="R326" i="1" s="1"/>
  <c r="Q383" i="1"/>
  <c r="S383" i="1" s="1"/>
  <c r="Z383" i="1" s="1"/>
  <c r="Q418" i="1"/>
  <c r="S418" i="1" s="1"/>
  <c r="Q430" i="1"/>
  <c r="S431" i="1"/>
  <c r="Q451" i="1"/>
  <c r="S451" i="1" s="1"/>
  <c r="Q457" i="1"/>
  <c r="S457" i="1" s="1"/>
  <c r="Z457" i="1" s="1"/>
  <c r="Q512" i="1"/>
  <c r="S314" i="1"/>
  <c r="T314" i="1" s="1"/>
  <c r="S483" i="1"/>
  <c r="R483" i="1"/>
  <c r="S548" i="1"/>
  <c r="AB548" i="1" s="1"/>
  <c r="R548" i="1"/>
  <c r="Q560" i="1"/>
  <c r="S560" i="1" s="1"/>
  <c r="R329" i="1"/>
  <c r="Q368" i="1"/>
  <c r="S368" i="1" s="1"/>
  <c r="AB368" i="1" s="1"/>
  <c r="S386" i="1"/>
  <c r="AB386" i="1" s="1"/>
  <c r="Q401" i="1"/>
  <c r="S401" i="1" s="1"/>
  <c r="S454" i="1"/>
  <c r="R486" i="1"/>
  <c r="AC530" i="1"/>
  <c r="AD530" i="1" s="1"/>
  <c r="S530" i="1"/>
  <c r="Q667" i="1"/>
  <c r="S667" i="1" s="1"/>
  <c r="Q162" i="1"/>
  <c r="Q199" i="1"/>
  <c r="S199" i="1" s="1"/>
  <c r="Z199" i="1" s="1"/>
  <c r="Q227" i="1"/>
  <c r="R227" i="1" s="1"/>
  <c r="S255" i="1"/>
  <c r="T255" i="1" s="1"/>
  <c r="S274" i="1"/>
  <c r="R279" i="1"/>
  <c r="S284" i="1"/>
  <c r="AB284" i="1" s="1"/>
  <c r="S299" i="1"/>
  <c r="Z299" i="1" s="1"/>
  <c r="S309" i="1"/>
  <c r="AB309" i="1" s="1"/>
  <c r="S313" i="1"/>
  <c r="AB313" i="1" s="1"/>
  <c r="S329" i="1"/>
  <c r="Z329" i="1" s="1"/>
  <c r="Q340" i="1"/>
  <c r="R340" i="1" s="1"/>
  <c r="R386" i="1"/>
  <c r="R420" i="1"/>
  <c r="Q423" i="1"/>
  <c r="S423" i="1" s="1"/>
  <c r="S482" i="1"/>
  <c r="AB482" i="1" s="1"/>
  <c r="R482" i="1"/>
  <c r="S502" i="1"/>
  <c r="Z502" i="1" s="1"/>
  <c r="R516" i="1"/>
  <c r="S769" i="1"/>
  <c r="R801" i="1"/>
  <c r="Q791" i="1"/>
  <c r="S791" i="1" s="1"/>
  <c r="S518" i="1"/>
  <c r="R540" i="1"/>
  <c r="Q643" i="1"/>
  <c r="S643" i="1" s="1"/>
  <c r="Q657" i="1"/>
  <c r="Q663" i="1"/>
  <c r="S663" i="1" s="1"/>
  <c r="Q698" i="1"/>
  <c r="Q755" i="1"/>
  <c r="S755" i="1" s="1"/>
  <c r="S774" i="1"/>
  <c r="Q788" i="1"/>
  <c r="R518" i="1"/>
  <c r="Q528" i="1"/>
  <c r="S540" i="1"/>
  <c r="Q564" i="1"/>
  <c r="S598" i="1"/>
  <c r="Q607" i="1"/>
  <c r="R607" i="1" s="1"/>
  <c r="Q624" i="1"/>
  <c r="R624" i="1" s="1"/>
  <c r="Q629" i="1"/>
  <c r="S629" i="1" s="1"/>
  <c r="Q649" i="1"/>
  <c r="S649" i="1" s="1"/>
  <c r="T649" i="1" s="1"/>
  <c r="Q660" i="1"/>
  <c r="S660" i="1" s="1"/>
  <c r="S732" i="1"/>
  <c r="T732" i="1" s="1"/>
  <c r="R760" i="1"/>
  <c r="R777" i="1"/>
  <c r="R798" i="1"/>
  <c r="R532" i="1"/>
  <c r="Q556" i="1"/>
  <c r="R556" i="1" s="1"/>
  <c r="Q559" i="1"/>
  <c r="R559" i="1" s="1"/>
  <c r="Q569" i="1"/>
  <c r="S569" i="1" s="1"/>
  <c r="Z569" i="1" s="1"/>
  <c r="S572" i="1"/>
  <c r="AB572" i="1" s="1"/>
  <c r="Q603" i="1"/>
  <c r="S603" i="1" s="1"/>
  <c r="AB603" i="1" s="1"/>
  <c r="Q645" i="1"/>
  <c r="S697" i="1"/>
  <c r="AB697" i="1" s="1"/>
  <c r="Q710" i="1"/>
  <c r="R710" i="1" s="1"/>
  <c r="Q726" i="1"/>
  <c r="S726" i="1" s="1"/>
  <c r="Q740" i="1"/>
  <c r="R740" i="1" s="1"/>
  <c r="Q771" i="1"/>
  <c r="S771" i="1" s="1"/>
  <c r="AB771" i="1" s="1"/>
  <c r="Q549" i="1"/>
  <c r="R549" i="1" s="1"/>
  <c r="S582" i="1"/>
  <c r="AB582" i="1" s="1"/>
  <c r="R585" i="1"/>
  <c r="Q606" i="1"/>
  <c r="S606" i="1" s="1"/>
  <c r="Q648" i="1"/>
  <c r="S648" i="1" s="1"/>
  <c r="AB648" i="1" s="1"/>
  <c r="Q659" i="1"/>
  <c r="S659" i="1" s="1"/>
  <c r="T659" i="1" s="1"/>
  <c r="Q674" i="1"/>
  <c r="Q691" i="1"/>
  <c r="S691" i="1" s="1"/>
  <c r="AB691" i="1" s="1"/>
  <c r="Q703" i="1"/>
  <c r="S703" i="1" s="1"/>
  <c r="R719" i="1"/>
  <c r="Q731" i="1"/>
  <c r="S731" i="1" s="1"/>
  <c r="AB731" i="1" s="1"/>
  <c r="Q800" i="1"/>
  <c r="S800" i="1" s="1"/>
  <c r="AB800" i="1" s="1"/>
  <c r="Q535" i="1"/>
  <c r="S535" i="1" s="1"/>
  <c r="R542" i="1"/>
  <c r="S449" i="1"/>
  <c r="S484" i="1"/>
  <c r="AB484" i="1" s="1"/>
  <c r="R500" i="1"/>
  <c r="Q508" i="1"/>
  <c r="S508" i="1" s="1"/>
  <c r="Q543" i="1"/>
  <c r="S543" i="1" s="1"/>
  <c r="Z543" i="1" s="1"/>
  <c r="Q568" i="1"/>
  <c r="R647" i="1"/>
  <c r="R668" i="1"/>
  <c r="Q673" i="1"/>
  <c r="Q685" i="1"/>
  <c r="R737" i="1"/>
  <c r="R759" i="1"/>
  <c r="S765" i="1"/>
  <c r="T765" i="1" s="1"/>
  <c r="Q779" i="1"/>
  <c r="R779" i="1" s="1"/>
  <c r="R786" i="1"/>
  <c r="Q803" i="1"/>
  <c r="S803" i="1" s="1"/>
  <c r="R503" i="1"/>
  <c r="R523" i="1"/>
  <c r="R789" i="1"/>
  <c r="Q491" i="1"/>
  <c r="R491" i="1" s="1"/>
  <c r="S503" i="1"/>
  <c r="S531" i="1"/>
  <c r="AB531" i="1" s="1"/>
  <c r="Q575" i="1"/>
  <c r="S596" i="1"/>
  <c r="AB596" i="1" s="1"/>
  <c r="R608" i="1"/>
  <c r="Q661" i="1"/>
  <c r="R661" i="1" s="1"/>
  <c r="Q712" i="1"/>
  <c r="R712" i="1" s="1"/>
  <c r="S745" i="1"/>
  <c r="Z745" i="1" s="1"/>
  <c r="R750" i="1"/>
  <c r="R781" i="1"/>
  <c r="S789" i="1"/>
  <c r="T789" i="1" s="1"/>
  <c r="Q799" i="1"/>
  <c r="AB34" i="1"/>
  <c r="Z34" i="1"/>
  <c r="T34" i="1"/>
  <c r="R91" i="1"/>
  <c r="S91" i="1"/>
  <c r="S123" i="1"/>
  <c r="R123" i="1"/>
  <c r="S146" i="1"/>
  <c r="R146" i="1"/>
  <c r="S114" i="1"/>
  <c r="R114" i="1"/>
  <c r="Z52" i="1"/>
  <c r="T52" i="1"/>
  <c r="AB52" i="1"/>
  <c r="S87" i="1"/>
  <c r="R87" i="1"/>
  <c r="Q93" i="1"/>
  <c r="AB107" i="1"/>
  <c r="Z107" i="1"/>
  <c r="T107" i="1"/>
  <c r="S144" i="1"/>
  <c r="R144" i="1"/>
  <c r="S150" i="1"/>
  <c r="R150" i="1"/>
  <c r="S8" i="1"/>
  <c r="R8" i="1"/>
  <c r="S116" i="1"/>
  <c r="R116" i="1"/>
  <c r="R6" i="1"/>
  <c r="S6" i="1"/>
  <c r="R129" i="1"/>
  <c r="S129" i="1"/>
  <c r="S73" i="1"/>
  <c r="R73" i="1"/>
  <c r="S125" i="1"/>
  <c r="R125" i="1"/>
  <c r="AB54" i="1"/>
  <c r="Z54" i="1"/>
  <c r="T54" i="1"/>
  <c r="T63" i="1"/>
  <c r="AB63" i="1"/>
  <c r="Z63" i="1"/>
  <c r="AB69" i="1"/>
  <c r="Z69" i="1"/>
  <c r="T69" i="1"/>
  <c r="S9" i="1"/>
  <c r="R9" i="1"/>
  <c r="AB65" i="1"/>
  <c r="Z65" i="1"/>
  <c r="T65" i="1"/>
  <c r="S75" i="1"/>
  <c r="R75" i="1"/>
  <c r="S77" i="1"/>
  <c r="R77" i="1"/>
  <c r="S79" i="1"/>
  <c r="R79" i="1"/>
  <c r="R112" i="1"/>
  <c r="S112" i="1"/>
  <c r="S101" i="1"/>
  <c r="R101" i="1"/>
  <c r="S158" i="1"/>
  <c r="R158" i="1"/>
  <c r="AB13" i="1"/>
  <c r="Z13" i="1"/>
  <c r="T13" i="1"/>
  <c r="AB59" i="1"/>
  <c r="Z59" i="1"/>
  <c r="T59" i="1"/>
  <c r="AB86" i="1"/>
  <c r="Z86" i="1"/>
  <c r="T86" i="1"/>
  <c r="AB131" i="1"/>
  <c r="Z131" i="1"/>
  <c r="T131" i="1"/>
  <c r="T152" i="1"/>
  <c r="Z152" i="1"/>
  <c r="S128" i="1"/>
  <c r="R128" i="1"/>
  <c r="Q98" i="1"/>
  <c r="S82" i="1"/>
  <c r="R82" i="1"/>
  <c r="S120" i="1"/>
  <c r="R120" i="1"/>
  <c r="S94" i="1"/>
  <c r="R94" i="1"/>
  <c r="Q96" i="1"/>
  <c r="S121" i="1"/>
  <c r="R121" i="1"/>
  <c r="S5" i="1"/>
  <c r="R5" i="1"/>
  <c r="R117" i="1"/>
  <c r="S117" i="1"/>
  <c r="AB152" i="1"/>
  <c r="T15" i="1"/>
  <c r="T29" i="1"/>
  <c r="Q76" i="1"/>
  <c r="Q143" i="1"/>
  <c r="S188" i="1"/>
  <c r="R188" i="1"/>
  <c r="U11" i="1"/>
  <c r="R11" i="1" s="1"/>
  <c r="Z15" i="1"/>
  <c r="Z29" i="1"/>
  <c r="Z37" i="1"/>
  <c r="T46" i="1"/>
  <c r="T50" i="1"/>
  <c r="T61" i="1"/>
  <c r="Q64" i="1"/>
  <c r="R69" i="1"/>
  <c r="S74" i="1"/>
  <c r="R85" i="1"/>
  <c r="Q103" i="1"/>
  <c r="Q109" i="1"/>
  <c r="S138" i="1"/>
  <c r="Q153" i="1"/>
  <c r="Q164" i="1"/>
  <c r="S165" i="1"/>
  <c r="Q166" i="1"/>
  <c r="S176" i="1"/>
  <c r="R176" i="1"/>
  <c r="Q243" i="1"/>
  <c r="S391" i="1"/>
  <c r="R391" i="1"/>
  <c r="U201" i="1"/>
  <c r="AC201" i="1" s="1"/>
  <c r="AD201" i="1" s="1"/>
  <c r="Q80" i="1"/>
  <c r="P95" i="1"/>
  <c r="R12" i="1"/>
  <c r="AB15" i="1"/>
  <c r="R17" i="1"/>
  <c r="AB37" i="1"/>
  <c r="Z46" i="1"/>
  <c r="Z50" i="1"/>
  <c r="Z61" i="1"/>
  <c r="S118" i="1"/>
  <c r="R118" i="1"/>
  <c r="Q130" i="1"/>
  <c r="Q148" i="1"/>
  <c r="R156" i="1"/>
  <c r="R165" i="1"/>
  <c r="S200" i="1"/>
  <c r="R200" i="1"/>
  <c r="S221" i="1"/>
  <c r="Q232" i="1"/>
  <c r="R124" i="1"/>
  <c r="S156" i="1"/>
  <c r="AC163" i="1"/>
  <c r="AD163" i="1" s="1"/>
  <c r="S168" i="1"/>
  <c r="S238" i="1"/>
  <c r="R238" i="1"/>
  <c r="Q135" i="1"/>
  <c r="S12" i="1"/>
  <c r="S17" i="1"/>
  <c r="AB16" i="1"/>
  <c r="T35" i="1"/>
  <c r="T43" i="1"/>
  <c r="T45" i="1"/>
  <c r="T53" i="1"/>
  <c r="T56" i="1"/>
  <c r="T127" i="1"/>
  <c r="Q136" i="1"/>
  <c r="R159" i="1"/>
  <c r="R168" i="1"/>
  <c r="S173" i="1"/>
  <c r="R173" i="1"/>
  <c r="R175" i="1"/>
  <c r="U187" i="1"/>
  <c r="S187" i="1" s="1"/>
  <c r="R195" i="1"/>
  <c r="S195" i="1"/>
  <c r="R220" i="1"/>
  <c r="S220" i="1"/>
  <c r="S257" i="1"/>
  <c r="R257" i="1"/>
  <c r="Q78" i="1"/>
  <c r="Q3" i="1"/>
  <c r="Z45" i="1"/>
  <c r="T48" i="1"/>
  <c r="R54" i="1"/>
  <c r="R65" i="1"/>
  <c r="R86" i="1"/>
  <c r="R107" i="1"/>
  <c r="Q111" i="1"/>
  <c r="R142" i="1"/>
  <c r="R170" i="1"/>
  <c r="S172" i="1"/>
  <c r="S202" i="1"/>
  <c r="R202" i="1"/>
  <c r="S205" i="1"/>
  <c r="R205" i="1"/>
  <c r="Z193" i="1"/>
  <c r="T193" i="1"/>
  <c r="AB197" i="1"/>
  <c r="Z197" i="1"/>
  <c r="T197" i="1"/>
  <c r="T18" i="1"/>
  <c r="T24" i="1"/>
  <c r="T27" i="1"/>
  <c r="T39" i="1"/>
  <c r="T42" i="1"/>
  <c r="Z48" i="1"/>
  <c r="N98" i="1"/>
  <c r="S122" i="1"/>
  <c r="R122" i="1"/>
  <c r="S189" i="1"/>
  <c r="R189" i="1"/>
  <c r="S245" i="1"/>
  <c r="R245" i="1"/>
  <c r="Q213" i="1"/>
  <c r="R152" i="1"/>
  <c r="Q155" i="1"/>
  <c r="AC231" i="1"/>
  <c r="AD231" i="1" s="1"/>
  <c r="T47" i="1"/>
  <c r="R52" i="1"/>
  <c r="R63" i="1"/>
  <c r="R89" i="1"/>
  <c r="Q177" i="1"/>
  <c r="Z247" i="1"/>
  <c r="T247" i="1"/>
  <c r="S265" i="1"/>
  <c r="R265" i="1"/>
  <c r="S341" i="1"/>
  <c r="R341" i="1"/>
  <c r="R249" i="1"/>
  <c r="S249" i="1"/>
  <c r="T19" i="1"/>
  <c r="Q115" i="1"/>
  <c r="Q140" i="1"/>
  <c r="S181" i="1"/>
  <c r="S194" i="1"/>
  <c r="R194" i="1"/>
  <c r="S222" i="1"/>
  <c r="R222" i="1"/>
  <c r="S225" i="1"/>
  <c r="R225" i="1"/>
  <c r="Z275" i="1"/>
  <c r="U180" i="1"/>
  <c r="AC180" i="1" s="1"/>
  <c r="AD180" i="1" s="1"/>
  <c r="U206" i="1"/>
  <c r="AC206" i="1" s="1"/>
  <c r="AD206" i="1" s="1"/>
  <c r="S264" i="1"/>
  <c r="R264" i="1"/>
  <c r="S280" i="1"/>
  <c r="R280" i="1"/>
  <c r="Q283" i="1"/>
  <c r="S283" i="1" s="1"/>
  <c r="Q289" i="1"/>
  <c r="S289" i="1" s="1"/>
  <c r="Q322" i="1"/>
  <c r="S322" i="1" s="1"/>
  <c r="R338" i="1"/>
  <c r="S338" i="1"/>
  <c r="Q370" i="1"/>
  <c r="S271" i="1"/>
  <c r="R271" i="1"/>
  <c r="AB298" i="1"/>
  <c r="S358" i="1"/>
  <c r="R358" i="1"/>
  <c r="R224" i="1"/>
  <c r="R274" i="1"/>
  <c r="R327" i="1"/>
  <c r="Q184" i="1"/>
  <c r="Z196" i="1"/>
  <c r="AC199" i="1"/>
  <c r="AD199" i="1" s="1"/>
  <c r="U233" i="1"/>
  <c r="R233" i="1" s="1"/>
  <c r="R261" i="1"/>
  <c r="Z263" i="1"/>
  <c r="S270" i="1"/>
  <c r="R270" i="1"/>
  <c r="Z298" i="1"/>
  <c r="R324" i="1"/>
  <c r="S324" i="1"/>
  <c r="AC197" i="1"/>
  <c r="AD197" i="1" s="1"/>
  <c r="R197" i="1"/>
  <c r="Q216" i="1"/>
  <c r="Z260" i="1"/>
  <c r="AB263" i="1"/>
  <c r="S277" i="1"/>
  <c r="R277" i="1"/>
  <c r="Q285" i="1"/>
  <c r="S285" i="1" s="1"/>
  <c r="T294" i="1"/>
  <c r="AB294" i="1"/>
  <c r="T302" i="1"/>
  <c r="AB302" i="1"/>
  <c r="S350" i="1"/>
  <c r="R350" i="1"/>
  <c r="S357" i="1"/>
  <c r="R357" i="1"/>
  <c r="S203" i="1"/>
  <c r="Q253" i="1"/>
  <c r="S279" i="1"/>
  <c r="R193" i="1"/>
  <c r="AB198" i="1"/>
  <c r="R203" i="1"/>
  <c r="R208" i="1"/>
  <c r="S246" i="1"/>
  <c r="R247" i="1"/>
  <c r="S254" i="1"/>
  <c r="R255" i="1"/>
  <c r="S259" i="1"/>
  <c r="R259" i="1"/>
  <c r="R268" i="1"/>
  <c r="AB320" i="1"/>
  <c r="Z320" i="1"/>
  <c r="T320" i="1"/>
  <c r="Q183" i="1"/>
  <c r="T191" i="1"/>
  <c r="T198" i="1"/>
  <c r="Q223" i="1"/>
  <c r="S234" i="1"/>
  <c r="R234" i="1"/>
  <c r="R235" i="1"/>
  <c r="R239" i="1"/>
  <c r="Q241" i="1"/>
  <c r="S267" i="1"/>
  <c r="S276" i="1"/>
  <c r="R276" i="1"/>
  <c r="AB301" i="1"/>
  <c r="S323" i="1"/>
  <c r="R323" i="1"/>
  <c r="S330" i="1"/>
  <c r="R330" i="1"/>
  <c r="Q180" i="1"/>
  <c r="R221" i="1"/>
  <c r="Z230" i="1"/>
  <c r="S235" i="1"/>
  <c r="S258" i="1"/>
  <c r="S281" i="1"/>
  <c r="Q287" i="1"/>
  <c r="S287" i="1" s="1"/>
  <c r="S290" i="1"/>
  <c r="R290" i="1"/>
  <c r="S339" i="1"/>
  <c r="R339" i="1"/>
  <c r="S344" i="1"/>
  <c r="Q376" i="1"/>
  <c r="T160" i="1"/>
  <c r="Z191" i="1"/>
  <c r="Z198" i="1"/>
  <c r="Q204" i="1"/>
  <c r="R258" i="1"/>
  <c r="S266" i="1"/>
  <c r="R266" i="1"/>
  <c r="S311" i="1"/>
  <c r="S343" i="1"/>
  <c r="R343" i="1"/>
  <c r="S278" i="1"/>
  <c r="R278" i="1"/>
  <c r="AB304" i="1"/>
  <c r="S346" i="1"/>
  <c r="R346" i="1"/>
  <c r="R369" i="1"/>
  <c r="S397" i="1"/>
  <c r="R397" i="1"/>
  <c r="S417" i="1"/>
  <c r="R417" i="1"/>
  <c r="Q307" i="1"/>
  <c r="S307" i="1" s="1"/>
  <c r="Q325" i="1"/>
  <c r="R335" i="1"/>
  <c r="Z347" i="1"/>
  <c r="Q348" i="1"/>
  <c r="Q513" i="1"/>
  <c r="S345" i="1"/>
  <c r="AB347" i="1"/>
  <c r="S352" i="1"/>
  <c r="S366" i="1"/>
  <c r="Q448" i="1"/>
  <c r="R345" i="1"/>
  <c r="AC347" i="1"/>
  <c r="AD347" i="1" s="1"/>
  <c r="S381" i="1"/>
  <c r="R381" i="1"/>
  <c r="S388" i="1"/>
  <c r="R388" i="1"/>
  <c r="U393" i="1"/>
  <c r="AC393" i="1" s="1"/>
  <c r="AD393" i="1" s="1"/>
  <c r="S399" i="1"/>
  <c r="R399" i="1"/>
  <c r="Q406" i="1"/>
  <c r="S498" i="1"/>
  <c r="R498" i="1"/>
  <c r="S365" i="1"/>
  <c r="R365" i="1"/>
  <c r="S374" i="1"/>
  <c r="S390" i="1"/>
  <c r="S411" i="1"/>
  <c r="R411" i="1"/>
  <c r="R349" i="1"/>
  <c r="AB359" i="1"/>
  <c r="S438" i="1"/>
  <c r="R438" i="1"/>
  <c r="AC438" i="1"/>
  <c r="AD438" i="1" s="1"/>
  <c r="Q321" i="1"/>
  <c r="S321" i="1" s="1"/>
  <c r="R331" i="1"/>
  <c r="R359" i="1"/>
  <c r="S364" i="1"/>
  <c r="S372" i="1"/>
  <c r="R372" i="1"/>
  <c r="S377" i="1"/>
  <c r="R377" i="1"/>
  <c r="S392" i="1"/>
  <c r="R392" i="1"/>
  <c r="Z360" i="1"/>
  <c r="Z361" i="1"/>
  <c r="T363" i="1"/>
  <c r="S387" i="1"/>
  <c r="R387" i="1"/>
  <c r="R334" i="1"/>
  <c r="T360" i="1"/>
  <c r="R362" i="1"/>
  <c r="R363" i="1"/>
  <c r="S371" i="1"/>
  <c r="S389" i="1"/>
  <c r="R389" i="1"/>
  <c r="Q434" i="1"/>
  <c r="S437" i="1"/>
  <c r="R437" i="1"/>
  <c r="AB453" i="1"/>
  <c r="Z453" i="1"/>
  <c r="T453" i="1"/>
  <c r="R347" i="1"/>
  <c r="Z359" i="1"/>
  <c r="R371" i="1"/>
  <c r="S382" i="1"/>
  <c r="R382" i="1"/>
  <c r="S400" i="1"/>
  <c r="R400" i="1"/>
  <c r="S414" i="1"/>
  <c r="R414" i="1"/>
  <c r="Q472" i="1"/>
  <c r="Q395" i="1"/>
  <c r="Q426" i="1"/>
  <c r="Q429" i="1"/>
  <c r="S433" i="1"/>
  <c r="R433" i="1"/>
  <c r="S462" i="1"/>
  <c r="R462" i="1"/>
  <c r="R456" i="1"/>
  <c r="S456" i="1"/>
  <c r="R431" i="1"/>
  <c r="S439" i="1"/>
  <c r="R439" i="1"/>
  <c r="S425" i="1"/>
  <c r="R425" i="1"/>
  <c r="S467" i="1"/>
  <c r="R467" i="1"/>
  <c r="Q393" i="1"/>
  <c r="R394" i="1"/>
  <c r="R404" i="1"/>
  <c r="S421" i="1"/>
  <c r="R422" i="1"/>
  <c r="S424" i="1"/>
  <c r="S446" i="1"/>
  <c r="R446" i="1"/>
  <c r="S474" i="1"/>
  <c r="R474" i="1"/>
  <c r="R419" i="1"/>
  <c r="S420" i="1"/>
  <c r="R424" i="1"/>
  <c r="Z436" i="1"/>
  <c r="R450" i="1"/>
  <c r="AC450" i="1"/>
  <c r="AD450" i="1" s="1"/>
  <c r="S499" i="1"/>
  <c r="R499" i="1"/>
  <c r="Q514" i="1"/>
  <c r="S419" i="1"/>
  <c r="S444" i="1"/>
  <c r="R444" i="1"/>
  <c r="Z455" i="1"/>
  <c r="R466" i="1"/>
  <c r="S466" i="1"/>
  <c r="S405" i="1"/>
  <c r="R463" i="1"/>
  <c r="S463" i="1"/>
  <c r="S469" i="1"/>
  <c r="R469" i="1"/>
  <c r="Q485" i="1"/>
  <c r="S492" i="1"/>
  <c r="R492" i="1"/>
  <c r="S589" i="1"/>
  <c r="R589" i="1"/>
  <c r="Q507" i="1"/>
  <c r="AC508" i="1"/>
  <c r="AD508" i="1" s="1"/>
  <c r="S576" i="1"/>
  <c r="R576" i="1"/>
  <c r="AC443" i="1"/>
  <c r="AD443" i="1" s="1"/>
  <c r="S490" i="1"/>
  <c r="R490" i="1"/>
  <c r="S525" i="1"/>
  <c r="R525" i="1"/>
  <c r="AB445" i="1"/>
  <c r="Q544" i="1"/>
  <c r="U496" i="1"/>
  <c r="AC496" i="1" s="1"/>
  <c r="AD496" i="1" s="1"/>
  <c r="S505" i="1"/>
  <c r="R505" i="1"/>
  <c r="Q520" i="1"/>
  <c r="R452" i="1"/>
  <c r="R477" i="1"/>
  <c r="R487" i="1"/>
  <c r="S564" i="1"/>
  <c r="R564" i="1"/>
  <c r="S480" i="1"/>
  <c r="R480" i="1"/>
  <c r="S494" i="1"/>
  <c r="R502" i="1"/>
  <c r="AC549" i="1"/>
  <c r="AD549" i="1" s="1"/>
  <c r="R574" i="1"/>
  <c r="S574" i="1"/>
  <c r="Q435" i="1"/>
  <c r="Z483" i="1"/>
  <c r="T483" i="1"/>
  <c r="R494" i="1"/>
  <c r="Q501" i="1"/>
  <c r="AB517" i="1"/>
  <c r="Z517" i="1"/>
  <c r="T517" i="1"/>
  <c r="U519" i="1"/>
  <c r="R519" i="1" s="1"/>
  <c r="R521" i="1"/>
  <c r="Q522" i="1"/>
  <c r="S545" i="1"/>
  <c r="R545" i="1"/>
  <c r="R553" i="1"/>
  <c r="S553" i="1"/>
  <c r="AC553" i="1"/>
  <c r="AD553" i="1" s="1"/>
  <c r="U557" i="1"/>
  <c r="S557" i="1" s="1"/>
  <c r="Z523" i="1"/>
  <c r="R527" i="1"/>
  <c r="R533" i="1"/>
  <c r="U534" i="1"/>
  <c r="AC534" i="1" s="1"/>
  <c r="AD534" i="1" s="1"/>
  <c r="R547" i="1"/>
  <c r="S547" i="1"/>
  <c r="S552" i="1"/>
  <c r="R552" i="1"/>
  <c r="S563" i="1"/>
  <c r="R563" i="1"/>
  <c r="S642" i="1"/>
  <c r="R642" i="1"/>
  <c r="T533" i="1"/>
  <c r="R572" i="1"/>
  <c r="R515" i="1"/>
  <c r="S516" i="1"/>
  <c r="R517" i="1"/>
  <c r="Z518" i="1"/>
  <c r="R524" i="1"/>
  <c r="R531" i="1"/>
  <c r="S551" i="1"/>
  <c r="Q566" i="1"/>
  <c r="T515" i="1"/>
  <c r="AB523" i="1"/>
  <c r="Z533" i="1"/>
  <c r="U538" i="1"/>
  <c r="AC538" i="1" s="1"/>
  <c r="AD538" i="1" s="1"/>
  <c r="U578" i="1"/>
  <c r="S578" i="1" s="1"/>
  <c r="AC592" i="1"/>
  <c r="AD592" i="1" s="1"/>
  <c r="Q496" i="1"/>
  <c r="R511" i="1"/>
  <c r="T518" i="1"/>
  <c r="AB532" i="1"/>
  <c r="AB533" i="1"/>
  <c r="R555" i="1"/>
  <c r="AC555" i="1"/>
  <c r="AD555" i="1" s="1"/>
  <c r="Q562" i="1"/>
  <c r="S571" i="1"/>
  <c r="R571" i="1"/>
  <c r="AC571" i="1"/>
  <c r="AD571" i="1" s="1"/>
  <c r="S608" i="1"/>
  <c r="Q625" i="1"/>
  <c r="S541" i="1"/>
  <c r="R541" i="1"/>
  <c r="S565" i="1"/>
  <c r="R565" i="1"/>
  <c r="Q580" i="1"/>
  <c r="R621" i="1"/>
  <c r="S621" i="1"/>
  <c r="AC561" i="1"/>
  <c r="AD561" i="1" s="1"/>
  <c r="R546" i="1"/>
  <c r="R554" i="1"/>
  <c r="S656" i="1"/>
  <c r="R656" i="1"/>
  <c r="S546" i="1"/>
  <c r="S554" i="1"/>
  <c r="R582" i="1"/>
  <c r="Q613" i="1"/>
  <c r="AB614" i="1"/>
  <c r="S694" i="1"/>
  <c r="R694" i="1"/>
  <c r="S706" i="1"/>
  <c r="R706" i="1"/>
  <c r="R573" i="1"/>
  <c r="R583" i="1"/>
  <c r="Q601" i="1"/>
  <c r="Q605" i="1"/>
  <c r="T614" i="1"/>
  <c r="Q584" i="1"/>
  <c r="S597" i="1"/>
  <c r="R597" i="1"/>
  <c r="R646" i="1"/>
  <c r="S646" i="1"/>
  <c r="Q538" i="1"/>
  <c r="R567" i="1"/>
  <c r="S585" i="1"/>
  <c r="R586" i="1"/>
  <c r="S595" i="1"/>
  <c r="R595" i="1"/>
  <c r="R598" i="1"/>
  <c r="R561" i="1"/>
  <c r="Q588" i="1"/>
  <c r="Q590" i="1"/>
  <c r="Q594" i="1"/>
  <c r="Q626" i="1"/>
  <c r="R591" i="1"/>
  <c r="Q611" i="1"/>
  <c r="AC612" i="1"/>
  <c r="AD612" i="1" s="1"/>
  <c r="S612" i="1"/>
  <c r="R612" i="1"/>
  <c r="Q631" i="1"/>
  <c r="S593" i="1"/>
  <c r="R593" i="1"/>
  <c r="S609" i="1"/>
  <c r="R609" i="1"/>
  <c r="S637" i="1"/>
  <c r="R637" i="1"/>
  <c r="S632" i="1"/>
  <c r="R632" i="1"/>
  <c r="S633" i="1"/>
  <c r="R633" i="1"/>
  <c r="AC660" i="1"/>
  <c r="AD660" i="1" s="1"/>
  <c r="Q682" i="1"/>
  <c r="S758" i="1"/>
  <c r="R758" i="1"/>
  <c r="AC622" i="1"/>
  <c r="AD622" i="1" s="1"/>
  <c r="S651" i="1"/>
  <c r="R651" i="1"/>
  <c r="R615" i="1"/>
  <c r="AC627" i="1"/>
  <c r="AD627" i="1" s="1"/>
  <c r="S690" i="1"/>
  <c r="R690" i="1"/>
  <c r="S615" i="1"/>
  <c r="S638" i="1"/>
  <c r="R638" i="1"/>
  <c r="S650" i="1"/>
  <c r="R650" i="1"/>
  <c r="AB662" i="1"/>
  <c r="Z662" i="1"/>
  <c r="T662" i="1"/>
  <c r="S702" i="1"/>
  <c r="R702" i="1"/>
  <c r="S630" i="1"/>
  <c r="R630" i="1"/>
  <c r="S641" i="1"/>
  <c r="R641" i="1"/>
  <c r="S645" i="1"/>
  <c r="R645" i="1"/>
  <c r="S654" i="1"/>
  <c r="R654" i="1"/>
  <c r="Z669" i="1"/>
  <c r="T669" i="1"/>
  <c r="AB669" i="1"/>
  <c r="Q734" i="1"/>
  <c r="R619" i="1"/>
  <c r="Q671" i="1"/>
  <c r="Z699" i="1"/>
  <c r="T699" i="1"/>
  <c r="AB699" i="1"/>
  <c r="S620" i="1"/>
  <c r="R620" i="1"/>
  <c r="S644" i="1"/>
  <c r="R644" i="1"/>
  <c r="S715" i="1"/>
  <c r="R715" i="1"/>
  <c r="S718" i="1"/>
  <c r="R718" i="1"/>
  <c r="R634" i="1"/>
  <c r="S634" i="1"/>
  <c r="S640" i="1"/>
  <c r="R640" i="1"/>
  <c r="Q653" i="1"/>
  <c r="AB686" i="1"/>
  <c r="Z686" i="1"/>
  <c r="T686" i="1"/>
  <c r="S628" i="1"/>
  <c r="R628" i="1"/>
  <c r="Q635" i="1"/>
  <c r="T648" i="1"/>
  <c r="R686" i="1"/>
  <c r="S711" i="1"/>
  <c r="R711" i="1"/>
  <c r="Z623" i="1"/>
  <c r="AB647" i="1"/>
  <c r="T647" i="1"/>
  <c r="S652" i="1"/>
  <c r="R652" i="1"/>
  <c r="S725" i="1"/>
  <c r="R725" i="1"/>
  <c r="Z793" i="1"/>
  <c r="S658" i="1"/>
  <c r="R658" i="1"/>
  <c r="S670" i="1"/>
  <c r="R670" i="1"/>
  <c r="S675" i="1"/>
  <c r="R675" i="1"/>
  <c r="AB680" i="1"/>
  <c r="AC726" i="1"/>
  <c r="AD726" i="1" s="1"/>
  <c r="R639" i="1"/>
  <c r="R662" i="1"/>
  <c r="R669" i="1"/>
  <c r="R680" i="1"/>
  <c r="Q739" i="1"/>
  <c r="Q742" i="1"/>
  <c r="T639" i="1"/>
  <c r="R667" i="1"/>
  <c r="AC667" i="1"/>
  <c r="AD667" i="1" s="1"/>
  <c r="S689" i="1"/>
  <c r="R689" i="1"/>
  <c r="S701" i="1"/>
  <c r="R701" i="1"/>
  <c r="S713" i="1"/>
  <c r="R713" i="1"/>
  <c r="S721" i="1"/>
  <c r="R721" i="1"/>
  <c r="AC721" i="1"/>
  <c r="AD721" i="1" s="1"/>
  <c r="S678" i="1"/>
  <c r="R678" i="1"/>
  <c r="S692" i="1"/>
  <c r="R692" i="1"/>
  <c r="S720" i="1"/>
  <c r="R720" i="1"/>
  <c r="S729" i="1"/>
  <c r="Z639" i="1"/>
  <c r="S704" i="1"/>
  <c r="R704" i="1"/>
  <c r="Z708" i="1"/>
  <c r="T708" i="1"/>
  <c r="AB708" i="1"/>
  <c r="T728" i="1"/>
  <c r="R733" i="1"/>
  <c r="S733" i="1"/>
  <c r="AB639" i="1"/>
  <c r="AC696" i="1"/>
  <c r="AD696" i="1" s="1"/>
  <c r="T709" i="1"/>
  <c r="R741" i="1"/>
  <c r="S741" i="1"/>
  <c r="S684" i="1"/>
  <c r="R684" i="1"/>
  <c r="AC684" i="1"/>
  <c r="AD684" i="1" s="1"/>
  <c r="S688" i="1"/>
  <c r="R688" i="1"/>
  <c r="S695" i="1"/>
  <c r="R695" i="1"/>
  <c r="S700" i="1"/>
  <c r="R700" i="1"/>
  <c r="Q727" i="1"/>
  <c r="Z728" i="1"/>
  <c r="S665" i="1"/>
  <c r="R665" i="1"/>
  <c r="S677" i="1"/>
  <c r="R677" i="1"/>
  <c r="S683" i="1"/>
  <c r="R683" i="1"/>
  <c r="Q707" i="1"/>
  <c r="AB728" i="1"/>
  <c r="Q722" i="1"/>
  <c r="Q730" i="1"/>
  <c r="R738" i="1"/>
  <c r="S738" i="1"/>
  <c r="Q751" i="1"/>
  <c r="S717" i="1"/>
  <c r="S747" i="1"/>
  <c r="R747" i="1"/>
  <c r="R717" i="1"/>
  <c r="S737" i="1"/>
  <c r="Q746" i="1"/>
  <c r="S754" i="1"/>
  <c r="R754" i="1"/>
  <c r="Z757" i="1"/>
  <c r="S795" i="1"/>
  <c r="R795" i="1"/>
  <c r="AC679" i="1"/>
  <c r="AD679" i="1" s="1"/>
  <c r="AC691" i="1"/>
  <c r="AD691" i="1" s="1"/>
  <c r="AC703" i="1"/>
  <c r="AD703" i="1" s="1"/>
  <c r="S775" i="1"/>
  <c r="R775" i="1"/>
  <c r="R699" i="1"/>
  <c r="R708" i="1"/>
  <c r="T745" i="1"/>
  <c r="AB745" i="1"/>
  <c r="Q756" i="1"/>
  <c r="S766" i="1"/>
  <c r="R766" i="1"/>
  <c r="R728" i="1"/>
  <c r="S780" i="1"/>
  <c r="R780" i="1"/>
  <c r="R785" i="1"/>
  <c r="S785" i="1"/>
  <c r="Q773" i="1"/>
  <c r="S761" i="1"/>
  <c r="R761" i="1"/>
  <c r="Q782" i="1"/>
  <c r="S802" i="1"/>
  <c r="R802" i="1"/>
  <c r="Q778" i="1"/>
  <c r="Q783" i="1"/>
  <c r="Q790" i="1"/>
  <c r="S798" i="1"/>
  <c r="R769" i="1"/>
  <c r="S753" i="1"/>
  <c r="S784" i="1"/>
  <c r="R792" i="1"/>
  <c r="S750" i="1"/>
  <c r="R784" i="1"/>
  <c r="S770" i="1"/>
  <c r="R770" i="1"/>
  <c r="R793" i="1"/>
  <c r="R762" i="1"/>
  <c r="S786" i="1"/>
  <c r="S801" i="1"/>
  <c r="AB787" i="1"/>
  <c r="Z787" i="1"/>
  <c r="T787" i="1"/>
  <c r="S794" i="1"/>
  <c r="R794" i="1"/>
  <c r="R745" i="1"/>
  <c r="T762" i="1"/>
  <c r="R787" i="1"/>
  <c r="S748" i="1"/>
  <c r="R748" i="1"/>
  <c r="S772" i="1"/>
  <c r="S796" i="1"/>
  <c r="AB299" i="1" l="1"/>
  <c r="T304" i="1"/>
  <c r="T757" i="1"/>
  <c r="Z709" i="1"/>
  <c r="Z319" i="1"/>
  <c r="S210" i="1"/>
  <c r="AB210" i="1" s="1"/>
  <c r="AB319" i="1"/>
  <c r="R210" i="1"/>
  <c r="R457" i="1"/>
  <c r="AB296" i="1"/>
  <c r="T296" i="1"/>
  <c r="R458" i="1"/>
  <c r="T436" i="1"/>
  <c r="R709" i="1"/>
  <c r="R602" i="1"/>
  <c r="R800" i="1"/>
  <c r="AB515" i="1"/>
  <c r="T500" i="1"/>
  <c r="S410" i="1"/>
  <c r="T269" i="1"/>
  <c r="R163" i="1"/>
  <c r="T680" i="1"/>
  <c r="Z500" i="1"/>
  <c r="T301" i="1"/>
  <c r="AB260" i="1"/>
  <c r="Z762" i="1"/>
  <c r="S710" i="1"/>
  <c r="AB230" i="1"/>
  <c r="R427" i="1"/>
  <c r="T668" i="1"/>
  <c r="Z668" i="1"/>
  <c r="R629" i="1"/>
  <c r="Z572" i="1"/>
  <c r="S367" i="1"/>
  <c r="Z367" i="1" s="1"/>
  <c r="R803" i="1"/>
  <c r="Z777" i="1"/>
  <c r="AB736" i="1"/>
  <c r="T714" i="1"/>
  <c r="R543" i="1"/>
  <c r="R104" i="1"/>
  <c r="AB543" i="1"/>
  <c r="R681" i="1"/>
  <c r="T736" i="1"/>
  <c r="T777" i="1"/>
  <c r="Z666" i="1"/>
  <c r="T543" i="1"/>
  <c r="AB440" i="1"/>
  <c r="AB666" i="1"/>
  <c r="T793" i="1"/>
  <c r="T441" i="1"/>
  <c r="R660" i="1"/>
  <c r="S779" i="1"/>
  <c r="AB714" i="1"/>
  <c r="Z71" i="1"/>
  <c r="R337" i="1"/>
  <c r="Z792" i="1"/>
  <c r="Z691" i="1"/>
  <c r="AB478" i="1"/>
  <c r="R192" i="1"/>
  <c r="R648" i="1"/>
  <c r="T792" i="1"/>
  <c r="Z583" i="1"/>
  <c r="S506" i="1"/>
  <c r="AB506" i="1" s="1"/>
  <c r="S398" i="1"/>
  <c r="Z648" i="1"/>
  <c r="AB273" i="1"/>
  <c r="AB71" i="1"/>
  <c r="Z760" i="1"/>
  <c r="T583" i="1"/>
  <c r="R755" i="1"/>
  <c r="R442" i="1"/>
  <c r="T337" i="1"/>
  <c r="AC214" i="1"/>
  <c r="AD214" i="1" s="1"/>
  <c r="S207" i="1"/>
  <c r="T207" i="1" s="1"/>
  <c r="R171" i="1"/>
  <c r="T781" i="1"/>
  <c r="R441" i="1"/>
  <c r="R418" i="1"/>
  <c r="Z337" i="1"/>
  <c r="AB427" i="1"/>
  <c r="AB781" i="1"/>
  <c r="T681" i="1"/>
  <c r="T572" i="1"/>
  <c r="R714" i="1"/>
  <c r="Z681" i="1"/>
  <c r="AB441" i="1"/>
  <c r="Z440" i="1"/>
  <c r="AB361" i="1"/>
  <c r="S240" i="1"/>
  <c r="R269" i="1"/>
  <c r="Z771" i="1"/>
  <c r="Z269" i="1"/>
  <c r="T771" i="1"/>
  <c r="AB314" i="1"/>
  <c r="R186" i="1"/>
  <c r="R252" i="1"/>
  <c r="R771" i="1"/>
  <c r="R666" i="1"/>
  <c r="AB422" i="1"/>
  <c r="Z422" i="1"/>
  <c r="T422" i="1"/>
  <c r="AB457" i="1"/>
  <c r="T284" i="1"/>
  <c r="Z284" i="1"/>
  <c r="T288" i="1"/>
  <c r="S624" i="1"/>
  <c r="Z624" i="1" s="1"/>
  <c r="T457" i="1"/>
  <c r="R401" i="1"/>
  <c r="Z484" i="1"/>
  <c r="R368" i="1"/>
  <c r="S227" i="1"/>
  <c r="AB227" i="1" s="1"/>
  <c r="R672" i="1"/>
  <c r="AB573" i="1"/>
  <c r="AB292" i="1"/>
  <c r="T292" i="1"/>
  <c r="Z486" i="1"/>
  <c r="T142" i="1"/>
  <c r="S413" i="1"/>
  <c r="AB413" i="1" s="1"/>
  <c r="AB486" i="1"/>
  <c r="AB336" i="1"/>
  <c r="AB190" i="1"/>
  <c r="Z142" i="1"/>
  <c r="T336" i="1"/>
  <c r="R134" i="1"/>
  <c r="Z255" i="1"/>
  <c r="R470" i="1"/>
  <c r="T531" i="1"/>
  <c r="Z531" i="1"/>
  <c r="R336" i="1"/>
  <c r="Z310" i="1"/>
  <c r="Z55" i="1"/>
  <c r="T55" i="1"/>
  <c r="T687" i="1"/>
  <c r="Z687" i="1"/>
  <c r="AB687" i="1"/>
  <c r="R592" i="1"/>
  <c r="Z542" i="1"/>
  <c r="Z349" i="1"/>
  <c r="AB170" i="1"/>
  <c r="AB586" i="1"/>
  <c r="AB542" i="1"/>
  <c r="T190" i="1"/>
  <c r="Z586" i="1"/>
  <c r="T603" i="1"/>
  <c r="Z303" i="1"/>
  <c r="R603" i="1"/>
  <c r="Z603" i="1"/>
  <c r="S326" i="1"/>
  <c r="AB303" i="1"/>
  <c r="AB10" i="1"/>
  <c r="R539" i="1"/>
  <c r="S479" i="1"/>
  <c r="T479" i="1" s="1"/>
  <c r="T299" i="1"/>
  <c r="AB89" i="1"/>
  <c r="S340" i="1"/>
  <c r="Z340" i="1" s="1"/>
  <c r="T89" i="1"/>
  <c r="AB331" i="1"/>
  <c r="R687" i="1"/>
  <c r="T567" i="1"/>
  <c r="Z228" i="1"/>
  <c r="R190" i="1"/>
  <c r="R743" i="1"/>
  <c r="T600" i="1"/>
  <c r="R599" i="1"/>
  <c r="Z567" i="1"/>
  <c r="T261" i="1"/>
  <c r="S178" i="1"/>
  <c r="Z178" i="1" s="1"/>
  <c r="T349" i="1"/>
  <c r="Z261" i="1"/>
  <c r="S179" i="1"/>
  <c r="AB179" i="1" s="1"/>
  <c r="T170" i="1"/>
  <c r="AC178" i="1"/>
  <c r="AD178" i="1" s="1"/>
  <c r="AB600" i="1"/>
  <c r="R179" i="1"/>
  <c r="AB167" i="1"/>
  <c r="S169" i="1"/>
  <c r="T169" i="1" s="1"/>
  <c r="Z488" i="1"/>
  <c r="R451" i="1"/>
  <c r="T373" i="1"/>
  <c r="AB367" i="1"/>
  <c r="T317" i="1"/>
  <c r="S214" i="1"/>
  <c r="AB214" i="1" s="1"/>
  <c r="S764" i="1"/>
  <c r="AB764" i="1" s="1"/>
  <c r="AB488" i="1"/>
  <c r="Z373" i="1"/>
  <c r="T368" i="1"/>
  <c r="Z317" i="1"/>
  <c r="S92" i="1"/>
  <c r="Z92" i="1" s="1"/>
  <c r="S587" i="1"/>
  <c r="Z587" i="1" s="1"/>
  <c r="T573" i="1"/>
  <c r="T511" i="1"/>
  <c r="R416" i="1"/>
  <c r="Z368" i="1"/>
  <c r="T318" i="1"/>
  <c r="R231" i="1"/>
  <c r="AB212" i="1"/>
  <c r="S355" i="1"/>
  <c r="Z288" i="1"/>
  <c r="S579" i="1"/>
  <c r="T579" i="1" s="1"/>
  <c r="T502" i="1"/>
  <c r="Z318" i="1"/>
  <c r="T58" i="1"/>
  <c r="R622" i="1"/>
  <c r="S617" i="1"/>
  <c r="T617" i="1" s="1"/>
  <c r="R763" i="1"/>
  <c r="T476" i="1"/>
  <c r="AB502" i="1"/>
  <c r="R509" i="1"/>
  <c r="R137" i="1"/>
  <c r="T104" i="1"/>
  <c r="AB137" i="1"/>
  <c r="Z539" i="1"/>
  <c r="R471" i="1"/>
  <c r="T293" i="1"/>
  <c r="T212" i="1"/>
  <c r="Z104" i="1"/>
  <c r="T137" i="1"/>
  <c r="AB416" i="1"/>
  <c r="Z293" i="1"/>
  <c r="S132" i="1"/>
  <c r="AB132" i="1" s="1"/>
  <c r="S559" i="1"/>
  <c r="T559" i="1" s="1"/>
  <c r="T527" i="1"/>
  <c r="T416" i="1"/>
  <c r="R212" i="1"/>
  <c r="Z58" i="1"/>
  <c r="S105" i="1"/>
  <c r="AB105" i="1" s="1"/>
  <c r="Z527" i="1"/>
  <c r="T273" i="1"/>
  <c r="S244" i="1"/>
  <c r="AB244" i="1" s="1"/>
  <c r="S83" i="1"/>
  <c r="AB83" i="1" s="1"/>
  <c r="S740" i="1"/>
  <c r="Z740" i="1" s="1"/>
  <c r="AB383" i="1"/>
  <c r="R84" i="1"/>
  <c r="AB504" i="1"/>
  <c r="Z776" i="1"/>
  <c r="AB723" i="1"/>
  <c r="T504" i="1"/>
  <c r="Z407" i="1"/>
  <c r="T60" i="1"/>
  <c r="T427" i="1"/>
  <c r="T84" i="1"/>
  <c r="Z84" i="1"/>
  <c r="R201" i="1"/>
  <c r="T760" i="1"/>
  <c r="R731" i="1"/>
  <c r="T532" i="1"/>
  <c r="T428" i="1"/>
  <c r="Z404" i="1"/>
  <c r="R332" i="1"/>
  <c r="T731" i="1"/>
  <c r="Z428" i="1"/>
  <c r="Z731" i="1"/>
  <c r="T404" i="1"/>
  <c r="R643" i="1"/>
  <c r="AB60" i="1"/>
  <c r="T558" i="1"/>
  <c r="AB558" i="1"/>
  <c r="Z558" i="1"/>
  <c r="Z470" i="1"/>
  <c r="T470" i="1"/>
  <c r="AB470" i="1"/>
  <c r="R237" i="1"/>
  <c r="R558" i="1"/>
  <c r="S384" i="1"/>
  <c r="R723" i="1"/>
  <c r="T596" i="1"/>
  <c r="S475" i="1"/>
  <c r="AB475" i="1" s="1"/>
  <c r="S556" i="1"/>
  <c r="T295" i="1"/>
  <c r="Z36" i="1"/>
  <c r="Z596" i="1"/>
  <c r="Z452" i="1"/>
  <c r="Z306" i="1"/>
  <c r="Z295" i="1"/>
  <c r="S102" i="1"/>
  <c r="T445" i="1"/>
  <c r="R655" i="1"/>
  <c r="Z286" i="1"/>
  <c r="Z62" i="1"/>
  <c r="T62" i="1"/>
  <c r="T724" i="1"/>
  <c r="Z724" i="1"/>
  <c r="R570" i="1"/>
  <c r="AB306" i="1"/>
  <c r="R724" i="1"/>
  <c r="AB724" i="1"/>
  <c r="AB598" i="1"/>
  <c r="R535" i="1"/>
  <c r="T282" i="1"/>
  <c r="S616" i="1"/>
  <c r="T655" i="1"/>
  <c r="T452" i="1"/>
  <c r="Z511" i="1"/>
  <c r="T196" i="1"/>
  <c r="Z655" i="1"/>
  <c r="Z619" i="1"/>
  <c r="T723" i="1"/>
  <c r="AB655" i="1"/>
  <c r="T619" i="1"/>
  <c r="S333" i="1"/>
  <c r="AB333" i="1" s="1"/>
  <c r="AB619" i="1"/>
  <c r="AB36" i="1"/>
  <c r="S636" i="1"/>
  <c r="Z636" i="1" s="1"/>
  <c r="AB465" i="1"/>
  <c r="Z465" i="1"/>
  <c r="Z659" i="1"/>
  <c r="AB539" i="1"/>
  <c r="R383" i="1"/>
  <c r="AB335" i="1"/>
  <c r="AB659" i="1"/>
  <c r="T268" i="1"/>
  <c r="R226" i="1"/>
  <c r="R465" i="1"/>
  <c r="R72" i="1"/>
  <c r="Z765" i="1"/>
  <c r="T401" i="1"/>
  <c r="Z268" i="1"/>
  <c r="R744" i="1"/>
  <c r="R256" i="1"/>
  <c r="AB268" i="1"/>
  <c r="S215" i="1"/>
  <c r="AB215" i="1" s="1"/>
  <c r="Z99" i="1"/>
  <c r="R726" i="1"/>
  <c r="T383" i="1"/>
  <c r="Z401" i="1"/>
  <c r="R659" i="1"/>
  <c r="Z602" i="1"/>
  <c r="T548" i="1"/>
  <c r="AB401" i="1"/>
  <c r="T396" i="1"/>
  <c r="T256" i="1"/>
  <c r="Z226" i="1"/>
  <c r="Z291" i="1"/>
  <c r="T72" i="1"/>
  <c r="Z548" i="1"/>
  <c r="Z396" i="1"/>
  <c r="Z72" i="1"/>
  <c r="T744" i="1"/>
  <c r="R618" i="1"/>
  <c r="AB396" i="1"/>
  <c r="Z175" i="1"/>
  <c r="T99" i="1"/>
  <c r="Z744" i="1"/>
  <c r="T591" i="1"/>
  <c r="AB744" i="1"/>
  <c r="T335" i="1"/>
  <c r="T226" i="1"/>
  <c r="AB774" i="1"/>
  <c r="Z649" i="1"/>
  <c r="AB455" i="1"/>
  <c r="AB450" i="1"/>
  <c r="S797" i="1"/>
  <c r="Z797" i="1" s="1"/>
  <c r="AB649" i="1"/>
  <c r="R432" i="1"/>
  <c r="Z378" i="1"/>
  <c r="T171" i="1"/>
  <c r="Z141" i="1"/>
  <c r="R696" i="1"/>
  <c r="Z679" i="1"/>
  <c r="T432" i="1"/>
  <c r="T378" i="1"/>
  <c r="AB378" i="1"/>
  <c r="AB141" i="1"/>
  <c r="T679" i="1"/>
  <c r="AB679" i="1"/>
  <c r="AB569" i="1"/>
  <c r="Z432" i="1"/>
  <c r="R455" i="1"/>
  <c r="AB394" i="1"/>
  <c r="T569" i="1"/>
  <c r="S510" i="1"/>
  <c r="AB510" i="1" s="1"/>
  <c r="T394" i="1"/>
  <c r="R569" i="1"/>
  <c r="T450" i="1"/>
  <c r="T362" i="1"/>
  <c r="Z394" i="1"/>
  <c r="R581" i="1"/>
  <c r="R378" i="1"/>
  <c r="Z450" i="1"/>
  <c r="S219" i="1"/>
  <c r="T219" i="1" s="1"/>
  <c r="R182" i="1"/>
  <c r="Z157" i="1"/>
  <c r="R577" i="1"/>
  <c r="T157" i="1"/>
  <c r="R649" i="1"/>
  <c r="R791" i="1"/>
  <c r="Z703" i="1"/>
  <c r="T141" i="1"/>
  <c r="AB550" i="1"/>
  <c r="Z550" i="1"/>
  <c r="T550" i="1"/>
  <c r="AB623" i="1"/>
  <c r="Z591" i="1"/>
  <c r="AB255" i="1"/>
  <c r="T85" i="1"/>
  <c r="T81" i="1"/>
  <c r="R550" i="1"/>
  <c r="AB521" i="1"/>
  <c r="Z85" i="1"/>
  <c r="Z81" i="1"/>
  <c r="R627" i="1"/>
  <c r="R676" i="1"/>
  <c r="R380" i="1"/>
  <c r="S768" i="1"/>
  <c r="R767" i="1"/>
  <c r="T530" i="1"/>
  <c r="S749" i="1"/>
  <c r="T749" i="1" s="1"/>
  <c r="Z159" i="1"/>
  <c r="S403" i="1"/>
  <c r="T521" i="1"/>
  <c r="Z272" i="1"/>
  <c r="T305" i="1"/>
  <c r="S201" i="1"/>
  <c r="T201" i="1" s="1"/>
  <c r="T218" i="1"/>
  <c r="AB159" i="1"/>
  <c r="R272" i="1"/>
  <c r="AB272" i="1"/>
  <c r="R218" i="1"/>
  <c r="Z530" i="1"/>
  <c r="S497" i="1"/>
  <c r="Z497" i="1" s="1"/>
  <c r="Z305" i="1"/>
  <c r="R693" i="1"/>
  <c r="Z693" i="1"/>
  <c r="AB530" i="1"/>
  <c r="Z218" i="1"/>
  <c r="R623" i="1"/>
  <c r="R423" i="1"/>
  <c r="R81" i="1"/>
  <c r="T623" i="1"/>
  <c r="S549" i="1"/>
  <c r="T769" i="1"/>
  <c r="S610" i="1"/>
  <c r="T610" i="1" s="1"/>
  <c r="AB524" i="1"/>
  <c r="T477" i="1"/>
  <c r="S495" i="1"/>
  <c r="AB495" i="1" s="1"/>
  <c r="T316" i="1"/>
  <c r="AB291" i="1"/>
  <c r="Z282" i="1"/>
  <c r="S328" i="1"/>
  <c r="T697" i="1"/>
  <c r="Z769" i="1"/>
  <c r="Z477" i="1"/>
  <c r="Z316" i="1"/>
  <c r="Z171" i="1"/>
  <c r="S481" i="1"/>
  <c r="R409" i="1"/>
  <c r="Z697" i="1"/>
  <c r="AB769" i="1"/>
  <c r="R447" i="1"/>
  <c r="R126" i="1"/>
  <c r="S100" i="1"/>
  <c r="AB100" i="1" s="1"/>
  <c r="T359" i="1"/>
  <c r="AB454" i="1"/>
  <c r="T175" i="1"/>
  <c r="S443" i="1"/>
  <c r="Z443" i="1" s="1"/>
  <c r="T331" i="1"/>
  <c r="T524" i="1"/>
  <c r="AB175" i="1"/>
  <c r="S712" i="1"/>
  <c r="Z524" i="1"/>
  <c r="AB447" i="1"/>
  <c r="AB239" i="1"/>
  <c r="R169" i="1"/>
  <c r="S604" i="1"/>
  <c r="T274" i="1"/>
  <c r="T224" i="1"/>
  <c r="T503" i="1"/>
  <c r="T297" i="1"/>
  <c r="Z274" i="1"/>
  <c r="T208" i="1"/>
  <c r="Z224" i="1"/>
  <c r="S735" i="1"/>
  <c r="T800" i="1"/>
  <c r="Z503" i="1"/>
  <c r="T454" i="1"/>
  <c r="Z447" i="1"/>
  <c r="T309" i="1"/>
  <c r="Z297" i="1"/>
  <c r="AB274" i="1"/>
  <c r="Z208" i="1"/>
  <c r="AB362" i="1"/>
  <c r="Z800" i="1"/>
  <c r="AB503" i="1"/>
  <c r="Z454" i="1"/>
  <c r="Z309" i="1"/>
  <c r="AB171" i="1"/>
  <c r="AB208" i="1"/>
  <c r="S88" i="1"/>
  <c r="Z312" i="1"/>
  <c r="T312" i="1"/>
  <c r="AB312" i="1"/>
  <c r="T577" i="1"/>
  <c r="AB577" i="1"/>
  <c r="Z577" i="1"/>
  <c r="AB705" i="1"/>
  <c r="Z705" i="1"/>
  <c r="T705" i="1"/>
  <c r="T719" i="1"/>
  <c r="T51" i="1"/>
  <c r="Z459" i="1"/>
  <c r="T759" i="1"/>
  <c r="Z719" i="1"/>
  <c r="R606" i="1"/>
  <c r="S607" i="1"/>
  <c r="T607" i="1" s="1"/>
  <c r="R508" i="1"/>
  <c r="AB459" i="1"/>
  <c r="T508" i="1"/>
  <c r="R353" i="1"/>
  <c r="T327" i="1"/>
  <c r="AB228" i="1"/>
  <c r="Z163" i="1"/>
  <c r="AB591" i="1"/>
  <c r="Z759" i="1"/>
  <c r="AB719" i="1"/>
  <c r="Z555" i="1"/>
  <c r="S526" i="1"/>
  <c r="T526" i="1" s="1"/>
  <c r="R560" i="1"/>
  <c r="S491" i="1"/>
  <c r="AB491" i="1" s="1"/>
  <c r="T409" i="1"/>
  <c r="Z327" i="1"/>
  <c r="T211" i="1"/>
  <c r="AB163" i="1"/>
  <c r="S113" i="1"/>
  <c r="R113" i="1"/>
  <c r="S147" i="1"/>
  <c r="R147" i="1"/>
  <c r="S90" i="1"/>
  <c r="R90" i="1"/>
  <c r="AB431" i="1"/>
  <c r="R776" i="1"/>
  <c r="Z598" i="1"/>
  <c r="R356" i="1"/>
  <c r="Z409" i="1"/>
  <c r="AB334" i="1"/>
  <c r="Z51" i="1"/>
  <c r="AB211" i="1"/>
  <c r="T10" i="1"/>
  <c r="R691" i="1"/>
  <c r="R108" i="1"/>
  <c r="S108" i="1"/>
  <c r="AB477" i="1"/>
  <c r="AB409" i="1"/>
  <c r="T154" i="1"/>
  <c r="AB476" i="1"/>
  <c r="Z561" i="1"/>
  <c r="AB327" i="1"/>
  <c r="R10" i="1"/>
  <c r="AB329" i="1"/>
  <c r="S4" i="1"/>
  <c r="AB4" i="1" s="1"/>
  <c r="T163" i="1"/>
  <c r="Z134" i="1"/>
  <c r="Z154" i="1"/>
  <c r="S149" i="1"/>
  <c r="R149" i="1"/>
  <c r="AB776" i="1"/>
  <c r="R664" i="1"/>
  <c r="T555" i="1"/>
  <c r="T431" i="1"/>
  <c r="AB275" i="1"/>
  <c r="AB134" i="1"/>
  <c r="AB154" i="1"/>
  <c r="S379" i="1"/>
  <c r="S67" i="1"/>
  <c r="R67" i="1"/>
  <c r="S661" i="1"/>
  <c r="Z661" i="1" s="1"/>
  <c r="Z431" i="1"/>
  <c r="Z334" i="1"/>
  <c r="T199" i="1"/>
  <c r="AB157" i="1"/>
  <c r="R705" i="1"/>
  <c r="S262" i="1"/>
  <c r="T561" i="1"/>
  <c r="AB508" i="1"/>
  <c r="T313" i="1"/>
  <c r="R185" i="1"/>
  <c r="Z315" i="1"/>
  <c r="AB199" i="1"/>
  <c r="R351" i="1"/>
  <c r="T598" i="1"/>
  <c r="Z508" i="1"/>
  <c r="R275" i="1"/>
  <c r="R375" i="1"/>
  <c r="Z313" i="1"/>
  <c r="AB315" i="1"/>
  <c r="T329" i="1"/>
  <c r="Z236" i="1"/>
  <c r="R679" i="1"/>
  <c r="R157" i="1"/>
  <c r="AB236" i="1"/>
  <c r="S716" i="1"/>
  <c r="AB363" i="1"/>
  <c r="AB703" i="1"/>
  <c r="Z473" i="1"/>
  <c r="T540" i="1"/>
  <c r="S354" i="1"/>
  <c r="Z354" i="1" s="1"/>
  <c r="AB765" i="1"/>
  <c r="T691" i="1"/>
  <c r="T482" i="1"/>
  <c r="Z482" i="1"/>
  <c r="T310" i="1"/>
  <c r="R493" i="1"/>
  <c r="S493" i="1"/>
  <c r="S229" i="1"/>
  <c r="R229" i="1"/>
  <c r="R468" i="1"/>
  <c r="S468" i="1"/>
  <c r="R464" i="1"/>
  <c r="S464" i="1"/>
  <c r="S752" i="1"/>
  <c r="R752" i="1"/>
  <c r="Z789" i="1"/>
  <c r="Z732" i="1"/>
  <c r="T602" i="1"/>
  <c r="T582" i="1"/>
  <c r="R461" i="1"/>
  <c r="T300" i="1"/>
  <c r="Z308" i="1"/>
  <c r="R575" i="1"/>
  <c r="S575" i="1"/>
  <c r="S568" i="1"/>
  <c r="R568" i="1"/>
  <c r="S674" i="1"/>
  <c r="R674" i="1"/>
  <c r="S788" i="1"/>
  <c r="R788" i="1"/>
  <c r="R512" i="1"/>
  <c r="S512" i="1"/>
  <c r="AB250" i="1"/>
  <c r="Z250" i="1"/>
  <c r="R489" i="1"/>
  <c r="S489" i="1"/>
  <c r="AB789" i="1"/>
  <c r="AB732" i="1"/>
  <c r="AB602" i="1"/>
  <c r="T449" i="1"/>
  <c r="Z540" i="1"/>
  <c r="AB308" i="1"/>
  <c r="Z239" i="1"/>
  <c r="Z133" i="1"/>
  <c r="Z66" i="1"/>
  <c r="Z774" i="1"/>
  <c r="T774" i="1"/>
  <c r="R209" i="1"/>
  <c r="S209" i="1"/>
  <c r="R412" i="1"/>
  <c r="S412" i="1"/>
  <c r="R97" i="1"/>
  <c r="S97" i="1"/>
  <c r="Z667" i="1"/>
  <c r="AB540" i="1"/>
  <c r="T386" i="1"/>
  <c r="AB133" i="1"/>
  <c r="S342" i="1"/>
  <c r="R342" i="1"/>
  <c r="Z251" i="1"/>
  <c r="T251" i="1"/>
  <c r="AB251" i="1"/>
  <c r="S385" i="1"/>
  <c r="R385" i="1"/>
  <c r="R106" i="1"/>
  <c r="S106" i="1"/>
  <c r="R663" i="1"/>
  <c r="Z449" i="1"/>
  <c r="AB473" i="1"/>
  <c r="AB518" i="1"/>
  <c r="R536" i="1"/>
  <c r="S536" i="1"/>
  <c r="S161" i="1"/>
  <c r="R161" i="1"/>
  <c r="T667" i="1"/>
  <c r="T473" i="1"/>
  <c r="Z386" i="1"/>
  <c r="S537" i="1"/>
  <c r="R537" i="1"/>
  <c r="R199" i="1"/>
  <c r="T703" i="1"/>
  <c r="T239" i="1"/>
  <c r="AB248" i="1"/>
  <c r="R685" i="1"/>
  <c r="S685" i="1"/>
  <c r="S698" i="1"/>
  <c r="R698" i="1"/>
  <c r="S162" i="1"/>
  <c r="R162" i="1"/>
  <c r="S430" i="1"/>
  <c r="R430" i="1"/>
  <c r="R529" i="1"/>
  <c r="S529" i="1"/>
  <c r="S151" i="1"/>
  <c r="R151" i="1"/>
  <c r="S7" i="1"/>
  <c r="R7" i="1"/>
  <c r="AB70" i="1"/>
  <c r="Z70" i="1"/>
  <c r="Z582" i="1"/>
  <c r="T248" i="1"/>
  <c r="T484" i="1"/>
  <c r="T465" i="1"/>
  <c r="R402" i="1"/>
  <c r="S402" i="1"/>
  <c r="S460" i="1"/>
  <c r="R460" i="1"/>
  <c r="Z57" i="1"/>
  <c r="AB57" i="1"/>
  <c r="AB667" i="1"/>
  <c r="T693" i="1"/>
  <c r="R473" i="1"/>
  <c r="T133" i="1"/>
  <c r="AB66" i="1"/>
  <c r="R703" i="1"/>
  <c r="R673" i="1"/>
  <c r="S673" i="1"/>
  <c r="AB256" i="1"/>
  <c r="Z478" i="1"/>
  <c r="AB300" i="1"/>
  <c r="AB449" i="1"/>
  <c r="R408" i="1"/>
  <c r="S408" i="1"/>
  <c r="T167" i="1"/>
  <c r="R248" i="1"/>
  <c r="Z314" i="1"/>
  <c r="T286" i="1"/>
  <c r="S799" i="1"/>
  <c r="R799" i="1"/>
  <c r="R528" i="1"/>
  <c r="S528" i="1"/>
  <c r="S657" i="1"/>
  <c r="R657" i="1"/>
  <c r="AB483" i="1"/>
  <c r="R415" i="1"/>
  <c r="S415" i="1"/>
  <c r="S242" i="1"/>
  <c r="R242" i="1"/>
  <c r="T407" i="1"/>
  <c r="T68" i="1"/>
  <c r="AB68" i="1"/>
  <c r="Z68" i="1"/>
  <c r="T557" i="1"/>
  <c r="AB557" i="1"/>
  <c r="Z557" i="1"/>
  <c r="AB187" i="1"/>
  <c r="Z187" i="1"/>
  <c r="T187" i="1"/>
  <c r="T694" i="1"/>
  <c r="AB694" i="1"/>
  <c r="Z694" i="1"/>
  <c r="AB330" i="1"/>
  <c r="Z330" i="1"/>
  <c r="T330" i="1"/>
  <c r="Z181" i="1"/>
  <c r="T181" i="1"/>
  <c r="AB181" i="1"/>
  <c r="S80" i="1"/>
  <c r="R80" i="1"/>
  <c r="Z94" i="1"/>
  <c r="T94" i="1"/>
  <c r="AB94" i="1"/>
  <c r="Z770" i="1"/>
  <c r="AB770" i="1"/>
  <c r="T770" i="1"/>
  <c r="AB791" i="1"/>
  <c r="Z791" i="1"/>
  <c r="T791" i="1"/>
  <c r="AB802" i="1"/>
  <c r="Z802" i="1"/>
  <c r="T802" i="1"/>
  <c r="AB775" i="1"/>
  <c r="Z775" i="1"/>
  <c r="T775" i="1"/>
  <c r="S746" i="1"/>
  <c r="R746" i="1"/>
  <c r="Z747" i="1"/>
  <c r="T747" i="1"/>
  <c r="AB747" i="1"/>
  <c r="AB713" i="1"/>
  <c r="Z713" i="1"/>
  <c r="T713" i="1"/>
  <c r="S739" i="1"/>
  <c r="R739" i="1"/>
  <c r="AB622" i="1"/>
  <c r="T622" i="1"/>
  <c r="Z622" i="1"/>
  <c r="Z630" i="1"/>
  <c r="T630" i="1"/>
  <c r="AB630" i="1"/>
  <c r="T638" i="1"/>
  <c r="AB638" i="1"/>
  <c r="Z638" i="1"/>
  <c r="T632" i="1"/>
  <c r="AB632" i="1"/>
  <c r="Z632" i="1"/>
  <c r="AB643" i="1"/>
  <c r="Z643" i="1"/>
  <c r="T643" i="1"/>
  <c r="S594" i="1"/>
  <c r="R594" i="1"/>
  <c r="T578" i="1"/>
  <c r="AB578" i="1"/>
  <c r="Z578" i="1"/>
  <c r="S584" i="1"/>
  <c r="R584" i="1"/>
  <c r="S580" i="1"/>
  <c r="R580" i="1"/>
  <c r="S507" i="1"/>
  <c r="R507" i="1"/>
  <c r="AB419" i="1"/>
  <c r="Z419" i="1"/>
  <c r="T419" i="1"/>
  <c r="AB499" i="1"/>
  <c r="Z499" i="1"/>
  <c r="T499" i="1"/>
  <c r="S393" i="1"/>
  <c r="R393" i="1"/>
  <c r="AB509" i="1"/>
  <c r="Z509" i="1"/>
  <c r="T509" i="1"/>
  <c r="AB389" i="1"/>
  <c r="Z389" i="1"/>
  <c r="T389" i="1"/>
  <c r="AB387" i="1"/>
  <c r="Z387" i="1"/>
  <c r="T387" i="1"/>
  <c r="T364" i="1"/>
  <c r="AB364" i="1"/>
  <c r="Z364" i="1"/>
  <c r="T324" i="1"/>
  <c r="AB324" i="1"/>
  <c r="Z324" i="1"/>
  <c r="AB271" i="1"/>
  <c r="Z271" i="1"/>
  <c r="T271" i="1"/>
  <c r="AB341" i="1"/>
  <c r="Z341" i="1"/>
  <c r="T341" i="1"/>
  <c r="AB189" i="1"/>
  <c r="Z189" i="1"/>
  <c r="T189" i="1"/>
  <c r="R130" i="1"/>
  <c r="S130" i="1"/>
  <c r="S166" i="1"/>
  <c r="R166" i="1"/>
  <c r="T252" i="1"/>
  <c r="AB252" i="1"/>
  <c r="Z252" i="1"/>
  <c r="AB101" i="1"/>
  <c r="Z101" i="1"/>
  <c r="T101" i="1"/>
  <c r="AB629" i="1"/>
  <c r="Z629" i="1"/>
  <c r="T629" i="1"/>
  <c r="AB192" i="1"/>
  <c r="Z192" i="1"/>
  <c r="T192" i="1"/>
  <c r="S103" i="1"/>
  <c r="R103" i="1"/>
  <c r="Z75" i="1"/>
  <c r="T75" i="1"/>
  <c r="AB75" i="1"/>
  <c r="AB763" i="1"/>
  <c r="Z763" i="1"/>
  <c r="T763" i="1"/>
  <c r="T784" i="1"/>
  <c r="AB784" i="1"/>
  <c r="Z784" i="1"/>
  <c r="S782" i="1"/>
  <c r="R782" i="1"/>
  <c r="S751" i="1"/>
  <c r="R751" i="1"/>
  <c r="AB688" i="1"/>
  <c r="Z688" i="1"/>
  <c r="T688" i="1"/>
  <c r="AB678" i="1"/>
  <c r="Z678" i="1"/>
  <c r="T678" i="1"/>
  <c r="AB658" i="1"/>
  <c r="Z658" i="1"/>
  <c r="T658" i="1"/>
  <c r="AB628" i="1"/>
  <c r="Z628" i="1"/>
  <c r="T628" i="1"/>
  <c r="T640" i="1"/>
  <c r="AB640" i="1"/>
  <c r="Z640" i="1"/>
  <c r="T606" i="1"/>
  <c r="AB606" i="1"/>
  <c r="Z606" i="1"/>
  <c r="R631" i="1"/>
  <c r="S631" i="1"/>
  <c r="AB556" i="1"/>
  <c r="Z556" i="1"/>
  <c r="T556" i="1"/>
  <c r="AC578" i="1"/>
  <c r="AD578" i="1" s="1"/>
  <c r="R578" i="1"/>
  <c r="T545" i="1"/>
  <c r="AB545" i="1"/>
  <c r="Z545" i="1"/>
  <c r="R501" i="1"/>
  <c r="S501" i="1"/>
  <c r="Z494" i="1"/>
  <c r="T494" i="1"/>
  <c r="AB494" i="1"/>
  <c r="AB480" i="1"/>
  <c r="T480" i="1"/>
  <c r="Z480" i="1"/>
  <c r="T490" i="1"/>
  <c r="AB490" i="1"/>
  <c r="Z490" i="1"/>
  <c r="AB492" i="1"/>
  <c r="Z492" i="1"/>
  <c r="T492" i="1"/>
  <c r="AB469" i="1"/>
  <c r="Z469" i="1"/>
  <c r="T469" i="1"/>
  <c r="T466" i="1"/>
  <c r="AB466" i="1"/>
  <c r="Z466" i="1"/>
  <c r="AB439" i="1"/>
  <c r="Z439" i="1"/>
  <c r="T439" i="1"/>
  <c r="AB354" i="1"/>
  <c r="AB411" i="1"/>
  <c r="T411" i="1"/>
  <c r="Z411" i="1"/>
  <c r="S448" i="1"/>
  <c r="R448" i="1"/>
  <c r="AB343" i="1"/>
  <c r="Z343" i="1"/>
  <c r="T343" i="1"/>
  <c r="AB323" i="1"/>
  <c r="Z323" i="1"/>
  <c r="T323" i="1"/>
  <c r="Z203" i="1"/>
  <c r="T203" i="1"/>
  <c r="AB203" i="1"/>
  <c r="AB124" i="1"/>
  <c r="Z124" i="1"/>
  <c r="T124" i="1"/>
  <c r="AB5" i="1"/>
  <c r="Z5" i="1"/>
  <c r="T5" i="1"/>
  <c r="T410" i="1"/>
  <c r="AB410" i="1"/>
  <c r="Z410" i="1"/>
  <c r="T710" i="1"/>
  <c r="AB710" i="1"/>
  <c r="Z710" i="1"/>
  <c r="Z737" i="1"/>
  <c r="AB737" i="1"/>
  <c r="T737" i="1"/>
  <c r="T738" i="1"/>
  <c r="AB738" i="1"/>
  <c r="Z738" i="1"/>
  <c r="AB729" i="1"/>
  <c r="Z729" i="1"/>
  <c r="T729" i="1"/>
  <c r="T701" i="1"/>
  <c r="AB701" i="1"/>
  <c r="Z701" i="1"/>
  <c r="AB711" i="1"/>
  <c r="T711" i="1"/>
  <c r="Z711" i="1"/>
  <c r="S734" i="1"/>
  <c r="R734" i="1"/>
  <c r="T618" i="1"/>
  <c r="AB618" i="1"/>
  <c r="Z618" i="1"/>
  <c r="AB660" i="1"/>
  <c r="Z660" i="1"/>
  <c r="T660" i="1"/>
  <c r="AB637" i="1"/>
  <c r="Z637" i="1"/>
  <c r="T637" i="1"/>
  <c r="AB554" i="1"/>
  <c r="Z554" i="1"/>
  <c r="T554" i="1"/>
  <c r="T563" i="1"/>
  <c r="AB563" i="1"/>
  <c r="Z563" i="1"/>
  <c r="AB535" i="1"/>
  <c r="Z535" i="1"/>
  <c r="T535" i="1"/>
  <c r="R435" i="1"/>
  <c r="S435" i="1"/>
  <c r="AB576" i="1"/>
  <c r="Z576" i="1"/>
  <c r="T576" i="1"/>
  <c r="AB463" i="1"/>
  <c r="Z463" i="1"/>
  <c r="T463" i="1"/>
  <c r="T418" i="1"/>
  <c r="AB418" i="1"/>
  <c r="Z418" i="1"/>
  <c r="Z462" i="1"/>
  <c r="T462" i="1"/>
  <c r="AB462" i="1"/>
  <c r="AB380" i="1"/>
  <c r="Z380" i="1"/>
  <c r="T380" i="1"/>
  <c r="AB390" i="1"/>
  <c r="Z390" i="1"/>
  <c r="T390" i="1"/>
  <c r="T388" i="1"/>
  <c r="AB388" i="1"/>
  <c r="Z388" i="1"/>
  <c r="T417" i="1"/>
  <c r="AB417" i="1"/>
  <c r="Z417" i="1"/>
  <c r="S216" i="1"/>
  <c r="R216" i="1"/>
  <c r="T225" i="1"/>
  <c r="AB225" i="1"/>
  <c r="Z225" i="1"/>
  <c r="T265" i="1"/>
  <c r="AB265" i="1"/>
  <c r="Z265" i="1"/>
  <c r="S213" i="1"/>
  <c r="R213" i="1"/>
  <c r="T186" i="1"/>
  <c r="AB186" i="1"/>
  <c r="Z186" i="1"/>
  <c r="AB122" i="1"/>
  <c r="Z122" i="1"/>
  <c r="T122" i="1"/>
  <c r="T351" i="1"/>
  <c r="AB351" i="1"/>
  <c r="Z351" i="1"/>
  <c r="T165" i="1"/>
  <c r="AB165" i="1"/>
  <c r="Z165" i="1"/>
  <c r="AB92" i="1"/>
  <c r="S682" i="1"/>
  <c r="R682" i="1"/>
  <c r="AB553" i="1"/>
  <c r="Z553" i="1"/>
  <c r="T553" i="1"/>
  <c r="T796" i="1"/>
  <c r="AB796" i="1"/>
  <c r="Z796" i="1"/>
  <c r="T801" i="1"/>
  <c r="AB801" i="1"/>
  <c r="Z801" i="1"/>
  <c r="AB798" i="1"/>
  <c r="Z798" i="1"/>
  <c r="T798" i="1"/>
  <c r="AB717" i="1"/>
  <c r="Z717" i="1"/>
  <c r="T717" i="1"/>
  <c r="Z743" i="1"/>
  <c r="T743" i="1"/>
  <c r="AB743" i="1"/>
  <c r="AB786" i="1"/>
  <c r="Z786" i="1"/>
  <c r="T786" i="1"/>
  <c r="T753" i="1"/>
  <c r="AB753" i="1"/>
  <c r="Z753" i="1"/>
  <c r="S790" i="1"/>
  <c r="R790" i="1"/>
  <c r="R722" i="1"/>
  <c r="S722" i="1"/>
  <c r="AB683" i="1"/>
  <c r="Z683" i="1"/>
  <c r="T683" i="1"/>
  <c r="AB704" i="1"/>
  <c r="Z704" i="1"/>
  <c r="T704" i="1"/>
  <c r="AB672" i="1"/>
  <c r="Z672" i="1"/>
  <c r="T672" i="1"/>
  <c r="T652" i="1"/>
  <c r="Z652" i="1"/>
  <c r="AB652" i="1"/>
  <c r="T634" i="1"/>
  <c r="Z634" i="1"/>
  <c r="AB634" i="1"/>
  <c r="T644" i="1"/>
  <c r="Z644" i="1"/>
  <c r="AB644" i="1"/>
  <c r="Z615" i="1"/>
  <c r="T615" i="1"/>
  <c r="AB615" i="1"/>
  <c r="Z595" i="1"/>
  <c r="T595" i="1"/>
  <c r="AB595" i="1"/>
  <c r="S538" i="1"/>
  <c r="R538" i="1"/>
  <c r="AB546" i="1"/>
  <c r="Z546" i="1"/>
  <c r="T546" i="1"/>
  <c r="AB581" i="1"/>
  <c r="Z581" i="1"/>
  <c r="T581" i="1"/>
  <c r="AB574" i="1"/>
  <c r="Z574" i="1"/>
  <c r="T574" i="1"/>
  <c r="S485" i="1"/>
  <c r="R485" i="1"/>
  <c r="R426" i="1"/>
  <c r="S426" i="1"/>
  <c r="S348" i="1"/>
  <c r="R348" i="1"/>
  <c r="AB311" i="1"/>
  <c r="Z311" i="1"/>
  <c r="T311" i="1"/>
  <c r="R241" i="1"/>
  <c r="S241" i="1"/>
  <c r="Z259" i="1"/>
  <c r="AB259" i="1"/>
  <c r="T259" i="1"/>
  <c r="AB279" i="1"/>
  <c r="Z279" i="1"/>
  <c r="T279" i="1"/>
  <c r="AB357" i="1"/>
  <c r="Z357" i="1"/>
  <c r="T357" i="1"/>
  <c r="AB182" i="1"/>
  <c r="T182" i="1"/>
  <c r="Z182" i="1"/>
  <c r="S3" i="1"/>
  <c r="R3" i="1"/>
  <c r="T221" i="1"/>
  <c r="AB221" i="1"/>
  <c r="Z221" i="1"/>
  <c r="S164" i="1"/>
  <c r="R164" i="1"/>
  <c r="AB188" i="1"/>
  <c r="Z188" i="1"/>
  <c r="T188" i="1"/>
  <c r="AB121" i="1"/>
  <c r="Z121" i="1"/>
  <c r="T121" i="1"/>
  <c r="S98" i="1"/>
  <c r="R98" i="1"/>
  <c r="AB146" i="1"/>
  <c r="Z146" i="1"/>
  <c r="T146" i="1"/>
  <c r="T592" i="1"/>
  <c r="AB592" i="1"/>
  <c r="Z592" i="1"/>
  <c r="Z125" i="1"/>
  <c r="T125" i="1"/>
  <c r="AB125" i="1"/>
  <c r="S783" i="1"/>
  <c r="R783" i="1"/>
  <c r="AB684" i="1"/>
  <c r="Z684" i="1"/>
  <c r="T684" i="1"/>
  <c r="AB696" i="1"/>
  <c r="Z696" i="1"/>
  <c r="T696" i="1"/>
  <c r="Z720" i="1"/>
  <c r="T720" i="1"/>
  <c r="AB720" i="1"/>
  <c r="T689" i="1"/>
  <c r="AB689" i="1"/>
  <c r="Z689" i="1"/>
  <c r="R671" i="1"/>
  <c r="S671" i="1"/>
  <c r="AB702" i="1"/>
  <c r="Z702" i="1"/>
  <c r="T702" i="1"/>
  <c r="T599" i="1"/>
  <c r="AB599" i="1"/>
  <c r="Z599" i="1"/>
  <c r="AB552" i="1"/>
  <c r="Z552" i="1"/>
  <c r="T552" i="1"/>
  <c r="S522" i="1"/>
  <c r="R522" i="1"/>
  <c r="R534" i="1"/>
  <c r="Z487" i="1"/>
  <c r="T487" i="1"/>
  <c r="AB487" i="1"/>
  <c r="AB458" i="1"/>
  <c r="Z458" i="1"/>
  <c r="T458" i="1"/>
  <c r="T423" i="1"/>
  <c r="AB423" i="1"/>
  <c r="Z423" i="1"/>
  <c r="Z424" i="1"/>
  <c r="T424" i="1"/>
  <c r="AB424" i="1"/>
  <c r="T471" i="1"/>
  <c r="AB471" i="1"/>
  <c r="Z471" i="1"/>
  <c r="AB400" i="1"/>
  <c r="Z400" i="1"/>
  <c r="T400" i="1"/>
  <c r="AB392" i="1"/>
  <c r="Z392" i="1"/>
  <c r="T392" i="1"/>
  <c r="Z326" i="1"/>
  <c r="T326" i="1"/>
  <c r="AB326" i="1"/>
  <c r="Z374" i="1"/>
  <c r="T374" i="1"/>
  <c r="AB374" i="1"/>
  <c r="T381" i="1"/>
  <c r="AB381" i="1"/>
  <c r="Z381" i="1"/>
  <c r="R513" i="1"/>
  <c r="S513" i="1"/>
  <c r="S183" i="1"/>
  <c r="R183" i="1"/>
  <c r="T277" i="1"/>
  <c r="AB277" i="1"/>
  <c r="Z277" i="1"/>
  <c r="Z210" i="1"/>
  <c r="T210" i="1"/>
  <c r="R184" i="1"/>
  <c r="S184" i="1"/>
  <c r="AB358" i="1"/>
  <c r="Z358" i="1"/>
  <c r="T358" i="1"/>
  <c r="Z322" i="1"/>
  <c r="T322" i="1"/>
  <c r="AB322" i="1"/>
  <c r="AB283" i="1"/>
  <c r="Z283" i="1"/>
  <c r="T283" i="1"/>
  <c r="T222" i="1"/>
  <c r="AB222" i="1"/>
  <c r="Z222" i="1"/>
  <c r="AB205" i="1"/>
  <c r="Z205" i="1"/>
  <c r="T205" i="1"/>
  <c r="T195" i="1"/>
  <c r="AB195" i="1"/>
  <c r="Z195" i="1"/>
  <c r="T126" i="1"/>
  <c r="AB126" i="1"/>
  <c r="Z126" i="1"/>
  <c r="T173" i="1"/>
  <c r="Z173" i="1"/>
  <c r="AB173" i="1"/>
  <c r="AB17" i="1"/>
  <c r="Z17" i="1"/>
  <c r="T17" i="1"/>
  <c r="AB168" i="1"/>
  <c r="T168" i="1"/>
  <c r="Z168" i="1"/>
  <c r="S153" i="1"/>
  <c r="R153" i="1"/>
  <c r="AB74" i="1"/>
  <c r="Z74" i="1"/>
  <c r="T74" i="1"/>
  <c r="S143" i="1"/>
  <c r="R143" i="1"/>
  <c r="T73" i="1"/>
  <c r="Z73" i="1"/>
  <c r="AB73" i="1"/>
  <c r="Z764" i="1"/>
  <c r="T564" i="1"/>
  <c r="AB564" i="1"/>
  <c r="Z564" i="1"/>
  <c r="T438" i="1"/>
  <c r="AB438" i="1"/>
  <c r="Z438" i="1"/>
  <c r="AB803" i="1"/>
  <c r="Z803" i="1"/>
  <c r="T803" i="1"/>
  <c r="S778" i="1"/>
  <c r="R778" i="1"/>
  <c r="S730" i="1"/>
  <c r="R730" i="1"/>
  <c r="T677" i="1"/>
  <c r="AB677" i="1"/>
  <c r="Z677" i="1"/>
  <c r="S727" i="1"/>
  <c r="R727" i="1"/>
  <c r="T663" i="1"/>
  <c r="AB663" i="1"/>
  <c r="Z663" i="1"/>
  <c r="Z675" i="1"/>
  <c r="T675" i="1"/>
  <c r="AB675" i="1"/>
  <c r="Z654" i="1"/>
  <c r="AB654" i="1"/>
  <c r="T654" i="1"/>
  <c r="AB690" i="1"/>
  <c r="Z690" i="1"/>
  <c r="T690" i="1"/>
  <c r="AB651" i="1"/>
  <c r="Z651" i="1"/>
  <c r="T651" i="1"/>
  <c r="AB609" i="1"/>
  <c r="Z609" i="1"/>
  <c r="T609" i="1"/>
  <c r="Z593" i="1"/>
  <c r="T593" i="1"/>
  <c r="AB593" i="1"/>
  <c r="AB612" i="1"/>
  <c r="Z612" i="1"/>
  <c r="T612" i="1"/>
  <c r="S590" i="1"/>
  <c r="R590" i="1"/>
  <c r="AB624" i="1"/>
  <c r="T624" i="1"/>
  <c r="Z585" i="1"/>
  <c r="AB585" i="1"/>
  <c r="T585" i="1"/>
  <c r="Z646" i="1"/>
  <c r="T646" i="1"/>
  <c r="AB646" i="1"/>
  <c r="S605" i="1"/>
  <c r="R605" i="1"/>
  <c r="S613" i="1"/>
  <c r="R613" i="1"/>
  <c r="T571" i="1"/>
  <c r="AB571" i="1"/>
  <c r="Z571" i="1"/>
  <c r="AB547" i="1"/>
  <c r="Z547" i="1"/>
  <c r="T547" i="1"/>
  <c r="S534" i="1"/>
  <c r="AB420" i="1"/>
  <c r="Z420" i="1"/>
  <c r="T420" i="1"/>
  <c r="T321" i="1"/>
  <c r="AB321" i="1"/>
  <c r="Z321" i="1"/>
  <c r="AB498" i="1"/>
  <c r="Z498" i="1"/>
  <c r="T498" i="1"/>
  <c r="Z346" i="1"/>
  <c r="T346" i="1"/>
  <c r="AB346" i="1"/>
  <c r="S376" i="1"/>
  <c r="R376" i="1"/>
  <c r="S180" i="1"/>
  <c r="R180" i="1"/>
  <c r="AB254" i="1"/>
  <c r="Z254" i="1"/>
  <c r="T254" i="1"/>
  <c r="Z350" i="1"/>
  <c r="T350" i="1"/>
  <c r="AB350" i="1"/>
  <c r="AB332" i="1"/>
  <c r="Z332" i="1"/>
  <c r="T332" i="1"/>
  <c r="S78" i="1"/>
  <c r="R78" i="1"/>
  <c r="AB12" i="1"/>
  <c r="Z12" i="1"/>
  <c r="T12" i="1"/>
  <c r="AB118" i="1"/>
  <c r="Z118" i="1"/>
  <c r="T118" i="1"/>
  <c r="S76" i="1"/>
  <c r="R76" i="1"/>
  <c r="Z112" i="1"/>
  <c r="T112" i="1"/>
  <c r="AB112" i="1"/>
  <c r="T129" i="1"/>
  <c r="AB129" i="1"/>
  <c r="Z129" i="1"/>
  <c r="AB6" i="1"/>
  <c r="Z6" i="1"/>
  <c r="T6" i="1"/>
  <c r="AB123" i="1"/>
  <c r="Z123" i="1"/>
  <c r="T123" i="1"/>
  <c r="T516" i="1"/>
  <c r="AB516" i="1"/>
  <c r="Z516" i="1"/>
  <c r="Z761" i="1"/>
  <c r="AB761" i="1"/>
  <c r="T761" i="1"/>
  <c r="Z794" i="1"/>
  <c r="AB794" i="1"/>
  <c r="T794" i="1"/>
  <c r="S773" i="1"/>
  <c r="R773" i="1"/>
  <c r="AB766" i="1"/>
  <c r="Z766" i="1"/>
  <c r="T766" i="1"/>
  <c r="AB726" i="1"/>
  <c r="Z726" i="1"/>
  <c r="T726" i="1"/>
  <c r="AB570" i="1"/>
  <c r="Z570" i="1"/>
  <c r="T570" i="1"/>
  <c r="AB541" i="1"/>
  <c r="Z541" i="1"/>
  <c r="T541" i="1"/>
  <c r="S562" i="1"/>
  <c r="R562" i="1"/>
  <c r="S520" i="1"/>
  <c r="R520" i="1"/>
  <c r="AB421" i="1"/>
  <c r="Z421" i="1"/>
  <c r="T421" i="1"/>
  <c r="AB467" i="1"/>
  <c r="T467" i="1"/>
  <c r="Z467" i="1"/>
  <c r="AB382" i="1"/>
  <c r="Z382" i="1"/>
  <c r="T382" i="1"/>
  <c r="AB371" i="1"/>
  <c r="Z371" i="1"/>
  <c r="T371" i="1"/>
  <c r="AB365" i="1"/>
  <c r="Z365" i="1"/>
  <c r="T365" i="1"/>
  <c r="R406" i="1"/>
  <c r="S406" i="1"/>
  <c r="AB366" i="1"/>
  <c r="Z366" i="1"/>
  <c r="T366" i="1"/>
  <c r="AB278" i="1"/>
  <c r="Z278" i="1"/>
  <c r="T278" i="1"/>
  <c r="T231" i="1"/>
  <c r="AB231" i="1"/>
  <c r="Z231" i="1"/>
  <c r="AB344" i="1"/>
  <c r="Z344" i="1"/>
  <c r="T344" i="1"/>
  <c r="AB281" i="1"/>
  <c r="Z281" i="1"/>
  <c r="T281" i="1"/>
  <c r="AC233" i="1"/>
  <c r="AD233" i="1" s="1"/>
  <c r="S233" i="1"/>
  <c r="S140" i="1"/>
  <c r="R140" i="1"/>
  <c r="AB202" i="1"/>
  <c r="Z202" i="1"/>
  <c r="T202" i="1"/>
  <c r="S135" i="1"/>
  <c r="R135" i="1"/>
  <c r="AB9" i="1"/>
  <c r="Z9" i="1"/>
  <c r="T9" i="1"/>
  <c r="Z114" i="1"/>
  <c r="T114" i="1"/>
  <c r="AB114" i="1"/>
  <c r="AB91" i="1"/>
  <c r="Z91" i="1"/>
  <c r="T91" i="1"/>
  <c r="R742" i="1"/>
  <c r="S742" i="1"/>
  <c r="AB676" i="1"/>
  <c r="T676" i="1"/>
  <c r="Z676" i="1"/>
  <c r="T748" i="1"/>
  <c r="AB748" i="1"/>
  <c r="Z748" i="1"/>
  <c r="Z785" i="1"/>
  <c r="AB785" i="1"/>
  <c r="T785" i="1"/>
  <c r="S756" i="1"/>
  <c r="R756" i="1"/>
  <c r="AB692" i="1"/>
  <c r="Z692" i="1"/>
  <c r="T692" i="1"/>
  <c r="AB664" i="1"/>
  <c r="T664" i="1"/>
  <c r="Z664" i="1"/>
  <c r="Z718" i="1"/>
  <c r="T718" i="1"/>
  <c r="AB718" i="1"/>
  <c r="S611" i="1"/>
  <c r="R611" i="1"/>
  <c r="S626" i="1"/>
  <c r="R626" i="1"/>
  <c r="S588" i="1"/>
  <c r="R588" i="1"/>
  <c r="R601" i="1"/>
  <c r="S601" i="1"/>
  <c r="AB755" i="1"/>
  <c r="Z755" i="1"/>
  <c r="T755" i="1"/>
  <c r="S625" i="1"/>
  <c r="R625" i="1"/>
  <c r="AB560" i="1"/>
  <c r="Z560" i="1"/>
  <c r="T560" i="1"/>
  <c r="S544" i="1"/>
  <c r="R544" i="1"/>
  <c r="AB461" i="1"/>
  <c r="Z461" i="1"/>
  <c r="T461" i="1"/>
  <c r="T456" i="1"/>
  <c r="AB456" i="1"/>
  <c r="Z456" i="1"/>
  <c r="S395" i="1"/>
  <c r="R395" i="1"/>
  <c r="AB414" i="1"/>
  <c r="T414" i="1"/>
  <c r="Z414" i="1"/>
  <c r="AB377" i="1"/>
  <c r="Z377" i="1"/>
  <c r="T377" i="1"/>
  <c r="AB353" i="1"/>
  <c r="Z353" i="1"/>
  <c r="T353" i="1"/>
  <c r="AB246" i="1"/>
  <c r="Z246" i="1"/>
  <c r="T246" i="1"/>
  <c r="AB280" i="1"/>
  <c r="Z280" i="1"/>
  <c r="T280" i="1"/>
  <c r="R115" i="1"/>
  <c r="S115" i="1"/>
  <c r="Z237" i="1"/>
  <c r="AB237" i="1"/>
  <c r="T237" i="1"/>
  <c r="Z245" i="1"/>
  <c r="AB245" i="1"/>
  <c r="T245" i="1"/>
  <c r="T257" i="1"/>
  <c r="Z257" i="1"/>
  <c r="AB257" i="1"/>
  <c r="AC187" i="1"/>
  <c r="AD187" i="1" s="1"/>
  <c r="R187" i="1"/>
  <c r="AB156" i="1"/>
  <c r="Z156" i="1"/>
  <c r="T156" i="1"/>
  <c r="AB391" i="1"/>
  <c r="Z391" i="1"/>
  <c r="T391" i="1"/>
  <c r="AB138" i="1"/>
  <c r="Z138" i="1"/>
  <c r="T138" i="1"/>
  <c r="T117" i="1"/>
  <c r="AB117" i="1"/>
  <c r="Z117" i="1"/>
  <c r="Z79" i="1"/>
  <c r="T79" i="1"/>
  <c r="AB79" i="1"/>
  <c r="AB150" i="1"/>
  <c r="Z150" i="1"/>
  <c r="T150" i="1"/>
  <c r="R93" i="1"/>
  <c r="S93" i="1"/>
  <c r="AB754" i="1"/>
  <c r="T754" i="1"/>
  <c r="Z754" i="1"/>
  <c r="AB695" i="1"/>
  <c r="Z695" i="1"/>
  <c r="T695" i="1"/>
  <c r="AB551" i="1"/>
  <c r="Z551" i="1"/>
  <c r="T551" i="1"/>
  <c r="Z525" i="1"/>
  <c r="T525" i="1"/>
  <c r="AB525" i="1"/>
  <c r="AB345" i="1"/>
  <c r="Z345" i="1"/>
  <c r="T345" i="1"/>
  <c r="Z266" i="1"/>
  <c r="T266" i="1"/>
  <c r="AB266" i="1"/>
  <c r="T8" i="1"/>
  <c r="Z8" i="1"/>
  <c r="AB8" i="1"/>
  <c r="T772" i="1"/>
  <c r="AB772" i="1"/>
  <c r="Z772" i="1"/>
  <c r="AB645" i="1"/>
  <c r="Z645" i="1"/>
  <c r="T645" i="1"/>
  <c r="Z579" i="1"/>
  <c r="Z597" i="1"/>
  <c r="T597" i="1"/>
  <c r="AB597" i="1"/>
  <c r="T565" i="1"/>
  <c r="AB565" i="1"/>
  <c r="Z565" i="1"/>
  <c r="AB608" i="1"/>
  <c r="Z608" i="1"/>
  <c r="T608" i="1"/>
  <c r="S496" i="1"/>
  <c r="R496" i="1"/>
  <c r="Z642" i="1"/>
  <c r="T642" i="1"/>
  <c r="AB642" i="1"/>
  <c r="AC519" i="1"/>
  <c r="AD519" i="1" s="1"/>
  <c r="S519" i="1"/>
  <c r="Z446" i="1"/>
  <c r="T446" i="1"/>
  <c r="AB446" i="1"/>
  <c r="T425" i="1"/>
  <c r="AB425" i="1"/>
  <c r="Z425" i="1"/>
  <c r="AB437" i="1"/>
  <c r="Z437" i="1"/>
  <c r="T437" i="1"/>
  <c r="T352" i="1"/>
  <c r="AB352" i="1"/>
  <c r="Z352" i="1"/>
  <c r="S325" i="1"/>
  <c r="R325" i="1"/>
  <c r="AB339" i="1"/>
  <c r="T339" i="1"/>
  <c r="Z339" i="1"/>
  <c r="T258" i="1"/>
  <c r="AB258" i="1"/>
  <c r="Z258" i="1"/>
  <c r="AB276" i="1"/>
  <c r="Z276" i="1"/>
  <c r="T276" i="1"/>
  <c r="Z234" i="1"/>
  <c r="T234" i="1"/>
  <c r="AB234" i="1"/>
  <c r="AB285" i="1"/>
  <c r="Z285" i="1"/>
  <c r="T285" i="1"/>
  <c r="S370" i="1"/>
  <c r="R370" i="1"/>
  <c r="AB194" i="1"/>
  <c r="Z194" i="1"/>
  <c r="T194" i="1"/>
  <c r="S111" i="1"/>
  <c r="R111" i="1"/>
  <c r="AB220" i="1"/>
  <c r="Z220" i="1"/>
  <c r="T220" i="1"/>
  <c r="T238" i="1"/>
  <c r="AB238" i="1"/>
  <c r="Z238" i="1"/>
  <c r="S243" i="1"/>
  <c r="R243" i="1"/>
  <c r="T120" i="1"/>
  <c r="AB120" i="1"/>
  <c r="Z120" i="1"/>
  <c r="AB128" i="1"/>
  <c r="Z128" i="1"/>
  <c r="T128" i="1"/>
  <c r="Z375" i="1"/>
  <c r="T375" i="1"/>
  <c r="AB375" i="1"/>
  <c r="AB715" i="1"/>
  <c r="Z715" i="1"/>
  <c r="T715" i="1"/>
  <c r="T620" i="1"/>
  <c r="AB620" i="1"/>
  <c r="Z620" i="1"/>
  <c r="Z758" i="1"/>
  <c r="T758" i="1"/>
  <c r="AB758" i="1"/>
  <c r="T706" i="1"/>
  <c r="AB706" i="1"/>
  <c r="Z706" i="1"/>
  <c r="T656" i="1"/>
  <c r="AB656" i="1"/>
  <c r="Z656" i="1"/>
  <c r="AB621" i="1"/>
  <c r="Z621" i="1"/>
  <c r="T621" i="1"/>
  <c r="R557" i="1"/>
  <c r="AC557" i="1"/>
  <c r="AD557" i="1" s="1"/>
  <c r="AB479" i="1"/>
  <c r="Z479" i="1"/>
  <c r="AB505" i="1"/>
  <c r="Z505" i="1"/>
  <c r="T505" i="1"/>
  <c r="T433" i="1"/>
  <c r="AB433" i="1"/>
  <c r="Z433" i="1"/>
  <c r="AB398" i="1"/>
  <c r="Z398" i="1"/>
  <c r="T398" i="1"/>
  <c r="Z372" i="1"/>
  <c r="AB372" i="1"/>
  <c r="T372" i="1"/>
  <c r="T399" i="1"/>
  <c r="AB399" i="1"/>
  <c r="Z399" i="1"/>
  <c r="AB307" i="1"/>
  <c r="Z307" i="1"/>
  <c r="T307" i="1"/>
  <c r="AB397" i="1"/>
  <c r="Z397" i="1"/>
  <c r="T397" i="1"/>
  <c r="AB369" i="1"/>
  <c r="Z369" i="1"/>
  <c r="T369" i="1"/>
  <c r="T290" i="1"/>
  <c r="AB290" i="1"/>
  <c r="Z290" i="1"/>
  <c r="AB356" i="1"/>
  <c r="Z356" i="1"/>
  <c r="T356" i="1"/>
  <c r="S223" i="1"/>
  <c r="R223" i="1"/>
  <c r="T338" i="1"/>
  <c r="AB338" i="1"/>
  <c r="Z338" i="1"/>
  <c r="AB289" i="1"/>
  <c r="Z289" i="1"/>
  <c r="T289" i="1"/>
  <c r="T249" i="1"/>
  <c r="AB249" i="1"/>
  <c r="Z249" i="1"/>
  <c r="S155" i="1"/>
  <c r="R155" i="1"/>
  <c r="Z240" i="1"/>
  <c r="T240" i="1"/>
  <c r="AB240" i="1"/>
  <c r="AB172" i="1"/>
  <c r="T172" i="1"/>
  <c r="Z172" i="1"/>
  <c r="S206" i="1"/>
  <c r="R206" i="1"/>
  <c r="S148" i="1"/>
  <c r="R148" i="1"/>
  <c r="S109" i="1"/>
  <c r="R109" i="1"/>
  <c r="AC11" i="1"/>
  <c r="AD11" i="1" s="1"/>
  <c r="S11" i="1"/>
  <c r="S96" i="1"/>
  <c r="R96" i="1"/>
  <c r="Z158" i="1"/>
  <c r="T158" i="1"/>
  <c r="AB158" i="1"/>
  <c r="Z77" i="1"/>
  <c r="T77" i="1"/>
  <c r="AB77" i="1"/>
  <c r="AB116" i="1"/>
  <c r="Z116" i="1"/>
  <c r="T116" i="1"/>
  <c r="AB144" i="1"/>
  <c r="Z144" i="1"/>
  <c r="T144" i="1"/>
  <c r="T767" i="1"/>
  <c r="AB767" i="1"/>
  <c r="Z767" i="1"/>
  <c r="AB750" i="1"/>
  <c r="Z750" i="1"/>
  <c r="T750" i="1"/>
  <c r="Z749" i="1"/>
  <c r="AB795" i="1"/>
  <c r="T795" i="1"/>
  <c r="Z795" i="1"/>
  <c r="S707" i="1"/>
  <c r="R707" i="1"/>
  <c r="AB700" i="1"/>
  <c r="Z700" i="1"/>
  <c r="T700" i="1"/>
  <c r="AB741" i="1"/>
  <c r="Z741" i="1"/>
  <c r="T741" i="1"/>
  <c r="Z733" i="1"/>
  <c r="T733" i="1"/>
  <c r="AB733" i="1"/>
  <c r="T670" i="1"/>
  <c r="AB670" i="1"/>
  <c r="Z670" i="1"/>
  <c r="AB779" i="1"/>
  <c r="Z779" i="1"/>
  <c r="T779" i="1"/>
  <c r="AB780" i="1"/>
  <c r="T780" i="1"/>
  <c r="Z780" i="1"/>
  <c r="T665" i="1"/>
  <c r="AB665" i="1"/>
  <c r="Z665" i="1"/>
  <c r="AB721" i="1"/>
  <c r="Z721" i="1"/>
  <c r="T721" i="1"/>
  <c r="AB725" i="1"/>
  <c r="Z725" i="1"/>
  <c r="T725" i="1"/>
  <c r="S635" i="1"/>
  <c r="R635" i="1"/>
  <c r="S653" i="1"/>
  <c r="R653" i="1"/>
  <c r="AB641" i="1"/>
  <c r="Z641" i="1"/>
  <c r="T641" i="1"/>
  <c r="T650" i="1"/>
  <c r="AB650" i="1"/>
  <c r="Z650" i="1"/>
  <c r="Z627" i="1"/>
  <c r="AB627" i="1"/>
  <c r="T627" i="1"/>
  <c r="AB633" i="1"/>
  <c r="Z633" i="1"/>
  <c r="T633" i="1"/>
  <c r="R566" i="1"/>
  <c r="S566" i="1"/>
  <c r="AB451" i="1"/>
  <c r="Z451" i="1"/>
  <c r="T451" i="1"/>
  <c r="T589" i="1"/>
  <c r="AB589" i="1"/>
  <c r="Z589" i="1"/>
  <c r="AB405" i="1"/>
  <c r="Z405" i="1"/>
  <c r="T405" i="1"/>
  <c r="AB444" i="1"/>
  <c r="Z444" i="1"/>
  <c r="T444" i="1"/>
  <c r="S514" i="1"/>
  <c r="R514" i="1"/>
  <c r="AB474" i="1"/>
  <c r="Z474" i="1"/>
  <c r="T474" i="1"/>
  <c r="AB442" i="1"/>
  <c r="Z442" i="1"/>
  <c r="T442" i="1"/>
  <c r="S429" i="1"/>
  <c r="R429" i="1"/>
  <c r="R472" i="1"/>
  <c r="S472" i="1"/>
  <c r="S434" i="1"/>
  <c r="R434" i="1"/>
  <c r="R204" i="1"/>
  <c r="S204" i="1"/>
  <c r="AB287" i="1"/>
  <c r="Z287" i="1"/>
  <c r="T287" i="1"/>
  <c r="AB235" i="1"/>
  <c r="T235" i="1"/>
  <c r="Z235" i="1"/>
  <c r="AB267" i="1"/>
  <c r="Z267" i="1"/>
  <c r="T267" i="1"/>
  <c r="S253" i="1"/>
  <c r="R253" i="1"/>
  <c r="T270" i="1"/>
  <c r="AB270" i="1"/>
  <c r="Z270" i="1"/>
  <c r="AB264" i="1"/>
  <c r="T264" i="1"/>
  <c r="Z264" i="1"/>
  <c r="Z185" i="1"/>
  <c r="T185" i="1"/>
  <c r="AB185" i="1"/>
  <c r="S177" i="1"/>
  <c r="R177" i="1"/>
  <c r="S136" i="1"/>
  <c r="R136" i="1"/>
  <c r="S232" i="1"/>
  <c r="R232" i="1"/>
  <c r="AB200" i="1"/>
  <c r="Z200" i="1"/>
  <c r="T200" i="1"/>
  <c r="Q95" i="1"/>
  <c r="T176" i="1"/>
  <c r="Z176" i="1"/>
  <c r="AB176" i="1"/>
  <c r="S64" i="1"/>
  <c r="R64" i="1"/>
  <c r="AB82" i="1"/>
  <c r="Z82" i="1"/>
  <c r="T82" i="1"/>
  <c r="AB87" i="1"/>
  <c r="Z87" i="1"/>
  <c r="T87" i="1"/>
  <c r="T354" i="1" l="1"/>
  <c r="AB169" i="1"/>
  <c r="T587" i="1"/>
  <c r="Z169" i="1"/>
  <c r="Z219" i="1"/>
  <c r="AB219" i="1"/>
  <c r="T92" i="1"/>
  <c r="T764" i="1"/>
  <c r="T244" i="1"/>
  <c r="T367" i="1"/>
  <c r="Z207" i="1"/>
  <c r="AB207" i="1"/>
  <c r="T179" i="1"/>
  <c r="T443" i="1"/>
  <c r="Z179" i="1"/>
  <c r="Z214" i="1"/>
  <c r="T214" i="1"/>
  <c r="Z244" i="1"/>
  <c r="T506" i="1"/>
  <c r="Z506" i="1"/>
  <c r="Z610" i="1"/>
  <c r="AB610" i="1"/>
  <c r="Z607" i="1"/>
  <c r="Z83" i="1"/>
  <c r="T227" i="1"/>
  <c r="T83" i="1"/>
  <c r="Z227" i="1"/>
  <c r="T495" i="1"/>
  <c r="AB340" i="1"/>
  <c r="Z495" i="1"/>
  <c r="AB178" i="1"/>
  <c r="AB587" i="1"/>
  <c r="AB607" i="1"/>
  <c r="AB740" i="1"/>
  <c r="T740" i="1"/>
  <c r="Z413" i="1"/>
  <c r="T413" i="1"/>
  <c r="Z4" i="1"/>
  <c r="T4" i="1"/>
  <c r="T132" i="1"/>
  <c r="Z132" i="1"/>
  <c r="Z559" i="1"/>
  <c r="T491" i="1"/>
  <c r="AB559" i="1"/>
  <c r="Z491" i="1"/>
  <c r="Z201" i="1"/>
  <c r="AB201" i="1"/>
  <c r="T215" i="1"/>
  <c r="Z215" i="1"/>
  <c r="T105" i="1"/>
  <c r="T178" i="1"/>
  <c r="Z105" i="1"/>
  <c r="T340" i="1"/>
  <c r="AB579" i="1"/>
  <c r="AB355" i="1"/>
  <c r="T355" i="1"/>
  <c r="Z355" i="1"/>
  <c r="Z617" i="1"/>
  <c r="AB617" i="1"/>
  <c r="AB749" i="1"/>
  <c r="T510" i="1"/>
  <c r="Z510" i="1"/>
  <c r="T333" i="1"/>
  <c r="Z333" i="1"/>
  <c r="T102" i="1"/>
  <c r="AB102" i="1"/>
  <c r="Z102" i="1"/>
  <c r="T497" i="1"/>
  <c r="T661" i="1"/>
  <c r="AB497" i="1"/>
  <c r="T636" i="1"/>
  <c r="AB636" i="1"/>
  <c r="T797" i="1"/>
  <c r="AB616" i="1"/>
  <c r="T616" i="1"/>
  <c r="T549" i="1"/>
  <c r="AB797" i="1"/>
  <c r="T475" i="1"/>
  <c r="Z475" i="1"/>
  <c r="Z549" i="1"/>
  <c r="AB549" i="1"/>
  <c r="AB661" i="1"/>
  <c r="AB384" i="1"/>
  <c r="Z384" i="1"/>
  <c r="T384" i="1"/>
  <c r="Z616" i="1"/>
  <c r="Z481" i="1"/>
  <c r="T481" i="1"/>
  <c r="T100" i="1"/>
  <c r="Z100" i="1"/>
  <c r="T712" i="1"/>
  <c r="Z712" i="1"/>
  <c r="AB712" i="1"/>
  <c r="AB403" i="1"/>
  <c r="Z403" i="1"/>
  <c r="T403" i="1"/>
  <c r="Z768" i="1"/>
  <c r="AB768" i="1"/>
  <c r="T768" i="1"/>
  <c r="AB481" i="1"/>
  <c r="Z526" i="1"/>
  <c r="AB526" i="1"/>
  <c r="T604" i="1"/>
  <c r="AB604" i="1"/>
  <c r="Z604" i="1"/>
  <c r="AB735" i="1"/>
  <c r="T735" i="1"/>
  <c r="Z735" i="1"/>
  <c r="AB443" i="1"/>
  <c r="AB328" i="1"/>
  <c r="Z328" i="1"/>
  <c r="T328" i="1"/>
  <c r="AB88" i="1"/>
  <c r="Z88" i="1"/>
  <c r="T88" i="1"/>
  <c r="Z262" i="1"/>
  <c r="T262" i="1"/>
  <c r="AB262" i="1"/>
  <c r="AB147" i="1"/>
  <c r="Z147" i="1"/>
  <c r="T147" i="1"/>
  <c r="AB67" i="1"/>
  <c r="Z67" i="1"/>
  <c r="T67" i="1"/>
  <c r="AB379" i="1"/>
  <c r="Z379" i="1"/>
  <c r="T379" i="1"/>
  <c r="AB113" i="1"/>
  <c r="Z113" i="1"/>
  <c r="T113" i="1"/>
  <c r="T716" i="1"/>
  <c r="AB716" i="1"/>
  <c r="Z716" i="1"/>
  <c r="T149" i="1"/>
  <c r="AB149" i="1"/>
  <c r="Z149" i="1"/>
  <c r="T108" i="1"/>
  <c r="AB108" i="1"/>
  <c r="Z108" i="1"/>
  <c r="AB90" i="1"/>
  <c r="Z90" i="1"/>
  <c r="T90" i="1"/>
  <c r="AB529" i="1"/>
  <c r="T529" i="1"/>
  <c r="Z529" i="1"/>
  <c r="Z229" i="1"/>
  <c r="AB229" i="1"/>
  <c r="T229" i="1"/>
  <c r="Z493" i="1"/>
  <c r="T493" i="1"/>
  <c r="AB493" i="1"/>
  <c r="T242" i="1"/>
  <c r="Z242" i="1"/>
  <c r="AB242" i="1"/>
  <c r="T460" i="1"/>
  <c r="Z460" i="1"/>
  <c r="AB460" i="1"/>
  <c r="T752" i="1"/>
  <c r="AB752" i="1"/>
  <c r="Z752" i="1"/>
  <c r="T415" i="1"/>
  <c r="AB415" i="1"/>
  <c r="Z415" i="1"/>
  <c r="AB799" i="1"/>
  <c r="T799" i="1"/>
  <c r="Z799" i="1"/>
  <c r="AB402" i="1"/>
  <c r="T402" i="1"/>
  <c r="Z402" i="1"/>
  <c r="T430" i="1"/>
  <c r="AB430" i="1"/>
  <c r="Z430" i="1"/>
  <c r="AB385" i="1"/>
  <c r="Z385" i="1"/>
  <c r="T385" i="1"/>
  <c r="Z464" i="1"/>
  <c r="T464" i="1"/>
  <c r="AB464" i="1"/>
  <c r="T162" i="1"/>
  <c r="AB162" i="1"/>
  <c r="Z162" i="1"/>
  <c r="T788" i="1"/>
  <c r="Z788" i="1"/>
  <c r="AB788" i="1"/>
  <c r="AB468" i="1"/>
  <c r="Z468" i="1"/>
  <c r="T468" i="1"/>
  <c r="T537" i="1"/>
  <c r="Z537" i="1"/>
  <c r="AB537" i="1"/>
  <c r="AB97" i="1"/>
  <c r="Z97" i="1"/>
  <c r="T97" i="1"/>
  <c r="AB489" i="1"/>
  <c r="Z489" i="1"/>
  <c r="T489" i="1"/>
  <c r="AB106" i="1"/>
  <c r="Z106" i="1"/>
  <c r="T106" i="1"/>
  <c r="T698" i="1"/>
  <c r="AB698" i="1"/>
  <c r="Z698" i="1"/>
  <c r="AB674" i="1"/>
  <c r="Z674" i="1"/>
  <c r="T674" i="1"/>
  <c r="AB685" i="1"/>
  <c r="Z685" i="1"/>
  <c r="T685" i="1"/>
  <c r="Z412" i="1"/>
  <c r="T412" i="1"/>
  <c r="AB412" i="1"/>
  <c r="Z512" i="1"/>
  <c r="AB512" i="1"/>
  <c r="T512" i="1"/>
  <c r="AB657" i="1"/>
  <c r="Z657" i="1"/>
  <c r="T657" i="1"/>
  <c r="AB7" i="1"/>
  <c r="Z7" i="1"/>
  <c r="T7" i="1"/>
  <c r="AB161" i="1"/>
  <c r="T161" i="1"/>
  <c r="Z161" i="1"/>
  <c r="AB568" i="1"/>
  <c r="Z568" i="1"/>
  <c r="T568" i="1"/>
  <c r="AB528" i="1"/>
  <c r="Z528" i="1"/>
  <c r="T528" i="1"/>
  <c r="AB408" i="1"/>
  <c r="Z408" i="1"/>
  <c r="T408" i="1"/>
  <c r="AB673" i="1"/>
  <c r="Z673" i="1"/>
  <c r="T673" i="1"/>
  <c r="T536" i="1"/>
  <c r="AB536" i="1"/>
  <c r="Z536" i="1"/>
  <c r="AB342" i="1"/>
  <c r="Z342" i="1"/>
  <c r="T342" i="1"/>
  <c r="Z209" i="1"/>
  <c r="T209" i="1"/>
  <c r="AB209" i="1"/>
  <c r="AB575" i="1"/>
  <c r="T575" i="1"/>
  <c r="Z575" i="1"/>
  <c r="AB151" i="1"/>
  <c r="Z151" i="1"/>
  <c r="T151" i="1"/>
  <c r="AB78" i="1"/>
  <c r="Z78" i="1"/>
  <c r="T78" i="1"/>
  <c r="AB544" i="1"/>
  <c r="Z544" i="1"/>
  <c r="T544" i="1"/>
  <c r="AB534" i="1"/>
  <c r="Z534" i="1"/>
  <c r="T534" i="1"/>
  <c r="Z522" i="1"/>
  <c r="T522" i="1"/>
  <c r="AB522" i="1"/>
  <c r="Z734" i="1"/>
  <c r="AB734" i="1"/>
  <c r="T734" i="1"/>
  <c r="AB448" i="1"/>
  <c r="Z448" i="1"/>
  <c r="T448" i="1"/>
  <c r="AB103" i="1"/>
  <c r="Z103" i="1"/>
  <c r="T103" i="1"/>
  <c r="T393" i="1"/>
  <c r="AB393" i="1"/>
  <c r="Z393" i="1"/>
  <c r="S95" i="1"/>
  <c r="R95" i="1"/>
  <c r="T96" i="1"/>
  <c r="AB96" i="1"/>
  <c r="Z96" i="1"/>
  <c r="Z496" i="1"/>
  <c r="AB496" i="1"/>
  <c r="T496" i="1"/>
  <c r="AB742" i="1"/>
  <c r="Z742" i="1"/>
  <c r="T742" i="1"/>
  <c r="Z135" i="1"/>
  <c r="T135" i="1"/>
  <c r="AB135" i="1"/>
  <c r="Z520" i="1"/>
  <c r="AB520" i="1"/>
  <c r="T520" i="1"/>
  <c r="T613" i="1"/>
  <c r="AB613" i="1"/>
  <c r="Z613" i="1"/>
  <c r="T727" i="1"/>
  <c r="AB727" i="1"/>
  <c r="Z727" i="1"/>
  <c r="AB153" i="1"/>
  <c r="Z153" i="1"/>
  <c r="T153" i="1"/>
  <c r="AB671" i="1"/>
  <c r="Z671" i="1"/>
  <c r="T671" i="1"/>
  <c r="AB98" i="1"/>
  <c r="Z98" i="1"/>
  <c r="T98" i="1"/>
  <c r="T3" i="1"/>
  <c r="AB3" i="1"/>
  <c r="Z3" i="1"/>
  <c r="Z348" i="1"/>
  <c r="AB348" i="1"/>
  <c r="T348" i="1"/>
  <c r="T538" i="1"/>
  <c r="AB538" i="1"/>
  <c r="Z538" i="1"/>
  <c r="T682" i="1"/>
  <c r="AB682" i="1"/>
  <c r="Z682" i="1"/>
  <c r="AB213" i="1"/>
  <c r="Z213" i="1"/>
  <c r="T213" i="1"/>
  <c r="AB594" i="1"/>
  <c r="T594" i="1"/>
  <c r="Z594" i="1"/>
  <c r="AB140" i="1"/>
  <c r="Z140" i="1"/>
  <c r="T140" i="1"/>
  <c r="AB434" i="1"/>
  <c r="Z434" i="1"/>
  <c r="T434" i="1"/>
  <c r="AB635" i="1"/>
  <c r="Z635" i="1"/>
  <c r="T635" i="1"/>
  <c r="AB177" i="1"/>
  <c r="Z177" i="1"/>
  <c r="T177" i="1"/>
  <c r="Z472" i="1"/>
  <c r="T472" i="1"/>
  <c r="AB472" i="1"/>
  <c r="T11" i="1"/>
  <c r="AB11" i="1"/>
  <c r="Z11" i="1"/>
  <c r="AB426" i="1"/>
  <c r="Z426" i="1"/>
  <c r="T426" i="1"/>
  <c r="AB507" i="1"/>
  <c r="Z507" i="1"/>
  <c r="T507" i="1"/>
  <c r="AB325" i="1"/>
  <c r="Z325" i="1"/>
  <c r="T325" i="1"/>
  <c r="AB601" i="1"/>
  <c r="Z601" i="1"/>
  <c r="T601" i="1"/>
  <c r="AB180" i="1"/>
  <c r="Z180" i="1"/>
  <c r="T180" i="1"/>
  <c r="AB605" i="1"/>
  <c r="Z605" i="1"/>
  <c r="T605" i="1"/>
  <c r="T164" i="1"/>
  <c r="AB164" i="1"/>
  <c r="Z164" i="1"/>
  <c r="Z216" i="1"/>
  <c r="AB216" i="1"/>
  <c r="T216" i="1"/>
  <c r="AB778" i="1"/>
  <c r="Z778" i="1"/>
  <c r="T778" i="1"/>
  <c r="T155" i="1"/>
  <c r="Z155" i="1"/>
  <c r="AB155" i="1"/>
  <c r="Z519" i="1"/>
  <c r="T519" i="1"/>
  <c r="AB519" i="1"/>
  <c r="AB395" i="1"/>
  <c r="Z395" i="1"/>
  <c r="T395" i="1"/>
  <c r="Z406" i="1"/>
  <c r="AB406" i="1"/>
  <c r="T406" i="1"/>
  <c r="AB783" i="1"/>
  <c r="T783" i="1"/>
  <c r="Z783" i="1"/>
  <c r="Z782" i="1"/>
  <c r="AB782" i="1"/>
  <c r="T782" i="1"/>
  <c r="AB580" i="1"/>
  <c r="Z580" i="1"/>
  <c r="T580" i="1"/>
  <c r="AB80" i="1"/>
  <c r="Z80" i="1"/>
  <c r="T80" i="1"/>
  <c r="AB241" i="1"/>
  <c r="T241" i="1"/>
  <c r="Z241" i="1"/>
  <c r="AB429" i="1"/>
  <c r="Z429" i="1"/>
  <c r="T429" i="1"/>
  <c r="AB109" i="1"/>
  <c r="Z109" i="1"/>
  <c r="T109" i="1"/>
  <c r="AB233" i="1"/>
  <c r="Z233" i="1"/>
  <c r="T233" i="1"/>
  <c r="Z773" i="1"/>
  <c r="AB773" i="1"/>
  <c r="T773" i="1"/>
  <c r="T376" i="1"/>
  <c r="AB376" i="1"/>
  <c r="Z376" i="1"/>
  <c r="T485" i="1"/>
  <c r="Z485" i="1"/>
  <c r="AB485" i="1"/>
  <c r="AB790" i="1"/>
  <c r="Z790" i="1"/>
  <c r="T790" i="1"/>
  <c r="AB631" i="1"/>
  <c r="Z631" i="1"/>
  <c r="T631" i="1"/>
  <c r="T166" i="1"/>
  <c r="AB166" i="1"/>
  <c r="Z166" i="1"/>
  <c r="AB93" i="1"/>
  <c r="Z93" i="1"/>
  <c r="T93" i="1"/>
  <c r="AB64" i="1"/>
  <c r="Z64" i="1"/>
  <c r="T64" i="1"/>
  <c r="Z223" i="1"/>
  <c r="T223" i="1"/>
  <c r="AB223" i="1"/>
  <c r="T588" i="1"/>
  <c r="AB588" i="1"/>
  <c r="Z588" i="1"/>
  <c r="AB756" i="1"/>
  <c r="T756" i="1"/>
  <c r="Z756" i="1"/>
  <c r="AB184" i="1"/>
  <c r="Z184" i="1"/>
  <c r="T184" i="1"/>
  <c r="AB130" i="1"/>
  <c r="T130" i="1"/>
  <c r="Z130" i="1"/>
  <c r="AB584" i="1"/>
  <c r="Z584" i="1"/>
  <c r="T584" i="1"/>
  <c r="T206" i="1"/>
  <c r="AB206" i="1"/>
  <c r="Z206" i="1"/>
  <c r="Z746" i="1"/>
  <c r="T746" i="1"/>
  <c r="AB746" i="1"/>
  <c r="Z514" i="1"/>
  <c r="T514" i="1"/>
  <c r="AB514" i="1"/>
  <c r="AB148" i="1"/>
  <c r="Z148" i="1"/>
  <c r="T148" i="1"/>
  <c r="T243" i="1"/>
  <c r="AB243" i="1"/>
  <c r="Z243" i="1"/>
  <c r="AB370" i="1"/>
  <c r="T370" i="1"/>
  <c r="Z370" i="1"/>
  <c r="Z115" i="1"/>
  <c r="T115" i="1"/>
  <c r="AB115" i="1"/>
  <c r="T183" i="1"/>
  <c r="AB183" i="1"/>
  <c r="Z183" i="1"/>
  <c r="AB501" i="1"/>
  <c r="Z501" i="1"/>
  <c r="T501" i="1"/>
  <c r="T253" i="1"/>
  <c r="AB253" i="1"/>
  <c r="Z253" i="1"/>
  <c r="Z111" i="1"/>
  <c r="T111" i="1"/>
  <c r="AB111" i="1"/>
  <c r="T625" i="1"/>
  <c r="AB625" i="1"/>
  <c r="Z625" i="1"/>
  <c r="AB626" i="1"/>
  <c r="Z626" i="1"/>
  <c r="T626" i="1"/>
  <c r="AB76" i="1"/>
  <c r="Z76" i="1"/>
  <c r="T76" i="1"/>
  <c r="T143" i="1"/>
  <c r="AB143" i="1"/>
  <c r="Z143" i="1"/>
  <c r="AB513" i="1"/>
  <c r="Z513" i="1"/>
  <c r="T513" i="1"/>
  <c r="T722" i="1"/>
  <c r="AB722" i="1"/>
  <c r="Z722" i="1"/>
  <c r="AB751" i="1"/>
  <c r="Z751" i="1"/>
  <c r="T751" i="1"/>
  <c r="AB653" i="1"/>
  <c r="Z653" i="1"/>
  <c r="T653" i="1"/>
  <c r="AB232" i="1"/>
  <c r="Z232" i="1"/>
  <c r="T232" i="1"/>
  <c r="AB566" i="1"/>
  <c r="Z566" i="1"/>
  <c r="T566" i="1"/>
  <c r="AB707" i="1"/>
  <c r="Z707" i="1"/>
  <c r="T707" i="1"/>
  <c r="Z562" i="1"/>
  <c r="AB562" i="1"/>
  <c r="T562" i="1"/>
  <c r="AB730" i="1"/>
  <c r="Z730" i="1"/>
  <c r="T730" i="1"/>
  <c r="AB435" i="1"/>
  <c r="Z435" i="1"/>
  <c r="T435" i="1"/>
  <c r="AB739" i="1"/>
  <c r="T739" i="1"/>
  <c r="Z739" i="1"/>
  <c r="T590" i="1"/>
  <c r="AB590" i="1"/>
  <c r="Z590" i="1"/>
  <c r="AB136" i="1"/>
  <c r="Z136" i="1"/>
  <c r="T136" i="1"/>
  <c r="Z204" i="1"/>
  <c r="AB204" i="1"/>
  <c r="T204" i="1"/>
  <c r="T611" i="1"/>
  <c r="AB611" i="1"/>
  <c r="Z611" i="1"/>
  <c r="AB95" i="1" l="1"/>
  <c r="Z95" i="1"/>
  <c r="T95" i="1"/>
</calcChain>
</file>

<file path=xl/sharedStrings.xml><?xml version="1.0" encoding="utf-8"?>
<sst xmlns="http://schemas.openxmlformats.org/spreadsheetml/2006/main" count="14062" uniqueCount="3418">
  <si>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</si>
  <si>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</si>
  <si>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</si>
  <si>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</si>
  <si>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</si>
  <si>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</si>
  <si>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</si>
  <si>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</si>
  <si>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</si>
  <si>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</si>
  <si>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процентное снижение по протоколу</t>
  </si>
  <si>
    <t>наличие снижения по протоколу</t>
  </si>
  <si>
    <t>цена по протоколу</t>
  </si>
  <si>
    <t>Наличие снижения по контракту</t>
  </si>
  <si>
    <t>цена по контракту на 2024 год</t>
  </si>
  <si>
    <t>цена с учетом ДС к контракту на 2024</t>
  </si>
  <si>
    <t>цена с учетом многолетних ГК</t>
  </si>
  <si>
    <t>Цена за ед. по ТЗ</t>
  </si>
  <si>
    <t>Цена за ед. по ГК</t>
  </si>
  <si>
    <t>Цена за упаковку по ГК</t>
  </si>
  <si>
    <t xml:space="preserve">                                             Количество поставляемого Товара в 2024 году</t>
  </si>
  <si>
    <t xml:space="preserve">   Срок поставки в 2024 году согласно ГК</t>
  </si>
  <si>
    <t>Срок предоставления документов (план.), до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</si>
  <si>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</si>
  <si>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</si>
  <si>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</si>
  <si>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</si>
  <si>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</si>
  <si>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</si>
  <si>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</si>
  <si>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</si>
  <si>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</si>
  <si>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</si>
  <si>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</si>
  <si>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</si>
  <si>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</si>
  <si>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</si>
  <si>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</si>
  <si>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</si>
  <si>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</si>
  <si>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</si>
  <si>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</si>
  <si>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п.2 ч.1 ст.93 44-ФЗ</t>
  </si>
  <si>
    <t>-</t>
  </si>
  <si>
    <t>К-02-Т/1</t>
  </si>
  <si>
    <t>АО "Нацимбио"</t>
  </si>
  <si>
    <t>Вакцина для профилактики кори, лиофилизат для приготовления раствора для подкожного введения</t>
  </si>
  <si>
    <t>Вакцина коревая культуральная живая</t>
  </si>
  <si>
    <t>лиофилизат для приготовления раствора для подкожного введения, 0.5 мл/доза (ампула) 1 доза х 10 (пачка картонная)</t>
  </si>
  <si>
    <t>ЛП-№(001169)-(РГ-RU)</t>
  </si>
  <si>
    <t>Россия</t>
  </si>
  <si>
    <t>доза</t>
  </si>
  <si>
    <t>в стадии исполнения</t>
  </si>
  <si>
    <t>К-02-Т/2</t>
  </si>
  <si>
    <t>Вакцина для профилактики краснухи, лиофилизат для приготовления раствора для подкожного введения</t>
  </si>
  <si>
    <t>Вакцина против краснухи культуральная живая</t>
  </si>
  <si>
    <t>ЛП-№(001165)-(РГ-RU)</t>
  </si>
  <si>
    <t>К-02-Т/2-1</t>
  </si>
  <si>
    <t>Вакцина для профилактики вирусного гепатита В (для детского населения), суспензия для внутримышечного введения, 0,02 мг/мл</t>
  </si>
  <si>
    <t>1.	1.Вакцина гепатита В рекомбинантная дрожжевая;
2.Регевак®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</si>
  <si>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картонная).</t>
  </si>
  <si>
    <t>1. Р N000738/01;
2. ЛП-№(000539)-(РГ-RU).</t>
  </si>
  <si>
    <t>К-02-Т/2-2</t>
  </si>
  <si>
    <t>Вакцина для профилактики вирусного гепатита В (для взрослого населения), суспензия для внутримышечного введения, 0,02 мг/мл</t>
  </si>
  <si>
    <t>1. суспензия для внутримышечного введения, 1 мл (ампула) 1 мл х 10 (пачка картонная);
2. суспензия для внутримышечного введения, 20 мкг/мл (ампула) 1 мл х 10 (пачка картонная).</t>
  </si>
  <si>
    <t>К-02-Т/2-3</t>
  </si>
  <si>
    <t>Анатоксин дифтерийный (с уменьшенным содержанием антигена), суспензия для внутримышечного и подкожного введения</t>
  </si>
  <si>
    <t>Анатоксин дифтерийный очищенный адсорбированный с уменьшенным содержанием антигена жидкий (АД-М-анатоксин)</t>
  </si>
  <si>
    <t>суспензия для внутримышечного и подкожного введения, анатоксин с тиомерсалом (ампула) 1 мл х 10 (коробка картонная)</t>
  </si>
  <si>
    <t>ЛС-000284</t>
  </si>
  <si>
    <t>К-02-Т/2-4</t>
  </si>
  <si>
    <t>Анатоксин столбнячный, суспензия для подкожного введения</t>
  </si>
  <si>
    <t>Анатоксин столбнячный очищенный адсорбированный жидкий (АС-анатоксин)</t>
  </si>
  <si>
    <t>суспензия для подкожного введения, анатоксин с тиомерсалом (ампула) 1 мл х 10 (коробка картонная)</t>
  </si>
  <si>
    <t>ЛС-000434</t>
  </si>
  <si>
    <t>К-02-Т/2-5</t>
  </si>
  <si>
    <t xml:space="preserve">Вакцина против коклюша, дифтерии, столбняка и гепатита В адсорбированная жидкая, суспензия для внутримышечного введения </t>
  </si>
  <si>
    <t>Вакцина против коклюша, дифтерии, столбняка и гепатита В адсорбированная (Вакцина АКДС-Геп В)</t>
  </si>
  <si>
    <t>суспензия для внутримышечного введения, 0.5 мл/доза (ампула) 0.5 мл х 10 (пачка картонная)</t>
  </si>
  <si>
    <t>ЛП-№(002889)-(РГ-RU)</t>
  </si>
  <si>
    <t>К-02-Т/2-6</t>
  </si>
  <si>
    <t xml:space="preserve">Анатоксин дифтерийно-столбнячный (с уменьшенным содержанием антигенов), суспензия для внутримышечного и подкожного введения </t>
  </si>
  <si>
    <t>Анатоксин дифтерийно-столбнячный очищенный адсорбированный с уменьшенным содержанием антигенов жидкий (АДС-М-анатоксин)</t>
  </si>
  <si>
    <t>суспензия для внутримышечного и подкожного введения (анатоксин с тиомерсалом) (ампула) 1 мл х 10 (коробка картонная)</t>
  </si>
  <si>
    <t>ЛС-000283</t>
  </si>
  <si>
    <t>К-02-Т/2-7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</si>
  <si>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</si>
  <si>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К-02-Т/3</t>
  </si>
  <si>
    <t>Вакцина для профилактики кори и паротита, лиофилизат для приготовления раствора для подкожного введения</t>
  </si>
  <si>
    <t>Вакцина паротитно-коревая культуральная живая</t>
  </si>
  <si>
    <t>лиофилизат для приготовления раствора для подкожного введения</t>
  </si>
  <si>
    <t>ЛП-№(001181)-(РГ-RU)</t>
  </si>
  <si>
    <t>К-02-Т/3-1</t>
  </si>
  <si>
    <t>Вакцина для профилактики паротита, лиофилизат для приготовления раствора для подкожного введения</t>
  </si>
  <si>
    <t>Вакцина паротитная культуральная живая</t>
  </si>
  <si>
    <t>ЛП-№(001173)-(РГ-RU)</t>
  </si>
  <si>
    <t>К-02-Т/3-2</t>
  </si>
  <si>
    <t>Вакцина для профилактики туберкулеза, лиофилизат для приготовления суспензии для внутрикожного введения</t>
  </si>
  <si>
    <t>375900 
408272</t>
  </si>
  <si>
    <t>30.10.2024 
10.12.2024</t>
  </si>
  <si>
    <t>30.11.2024 
17.12.2024</t>
  </si>
  <si>
    <t>1. Вакцина туберкулезная (БЦЖ);
2. Вакцина туберкулезная (БЦЖ).</t>
  </si>
  <si>
    <t>1. [лиофилизат для приготовления суспензии для внутрикожного введения, 0.05 мг/доза (ампула) 10 доз х 1+ растворитель: натрия хлорид растворитель для приготовления лекарственных форм для инъекций 0.9 % (ампула) 1 мл х 1] х 5 (пачка картонная);
2. [лиофилизат для приготовления суспензии для внутрикожного введения, 0.05 мг/доза (ампула) 0.5 мг (10 доз) х 5 + растворитель (ампула) 1 мл х 5] х 1 (пачка картонная).</t>
  </si>
  <si>
    <t>1. ЛС-000574;
2. P N001969/01.</t>
  </si>
  <si>
    <t>К-02-Т/3-3</t>
  </si>
  <si>
    <t>Вакцина для профилактики дифтерии, коклюша и столбняка, суспензия для внутримышечного введения</t>
  </si>
  <si>
    <t>Вакцина коклюшно-дифтерийно-столбнячная адсорбированная (АКДС-вакцина)</t>
  </si>
  <si>
    <t>суспензия для внутримышечного введения 0.5 мл/ доза (с консервантом) (ампула) 1 мл х 10 (коробка картонная)</t>
  </si>
  <si>
    <t>ЛС-000659</t>
  </si>
  <si>
    <t>К-02-Т/3-4</t>
  </si>
  <si>
    <t>Вакцина для профилактики кори, краснухи и паротита, лиофилизат для приготовления раствора для подкожного введения</t>
  </si>
  <si>
    <t>ВАКТРИВИР Комбинированная вакцина против кори, краснухи и паротита культуральная живая</t>
  </si>
  <si>
    <t>лиофилизат для приготовления раствора для подкожного введения, 1 доза (ампула) 0.5 мл х 10 (пачка картонная)</t>
  </si>
  <si>
    <t>ЛП-№(001494)-(РГ-RU)</t>
  </si>
  <si>
    <t>К-02-Т/4</t>
  </si>
  <si>
    <t>Вакцина для профилактики гриппа (инактивированная) (3-хвалентная) (для детского населения), раствор для внутримышечного введения</t>
  </si>
  <si>
    <t>СОВИГРИПП® Вакцина гриппозная инактивированная субъединичная</t>
  </si>
  <si>
    <t>раствор для внутримышечного введения (шприц) 0.5 мл (1 доза) х 10 (пачка картонная).</t>
  </si>
  <si>
    <t>ЛП-001836</t>
  </si>
  <si>
    <t>К-02-Т/4-1</t>
  </si>
  <si>
    <t xml:space="preserve">Вакцина для профилактики туберкулеза (для щадящей первичной иммунизации), лиофилизат для приготовления суспензии для внутрикожного введения </t>
  </si>
  <si>
    <t>1. Вакцина туберкулезная для щадящей первичной иммунизации (БЦЖ-М);
2. Вакцина туберкулезная для щадящей первичной иммунизации (БЦЖ-М).</t>
  </si>
  <si>
    <t>1. [лиофилизат для приготовления суспензии для внутрикожного введения, 0,025 мг/доза (ампула) 0,5 мг (20 доз) х 1 + растворитель (ампула) 2 мл х 1] х 5 (пачка картонная);
2. [лиофилизат для приготовления суспензии для внутрикожного введения, 0.025 мг/доза (ампула) 0.5 мг (20 доз) х 5 + растворитель (ампула) 2 мл х 5] х 1 (пачка картонная).</t>
  </si>
  <si>
    <t>1. ЛС-001143;
2. P N001972/01.</t>
  </si>
  <si>
    <t>К-02-Т/5</t>
  </si>
  <si>
    <t xml:space="preserve">Вакцина для профилактики гриппа (инактивированная) 4-хвалентная, раствор для внутримышечного введения </t>
  </si>
  <si>
    <t>Ультрикс® Квадри Вакцина гриппозная четырехвалентная инактивированная расщепленная</t>
  </si>
  <si>
    <t>раствор для внутримышечного введения 0.5 мл/доза (шприц) 0.5 мл (1 доза) х 10 (пачка картонная)</t>
  </si>
  <si>
    <t>ЛП-005594</t>
  </si>
  <si>
    <t>К-02-Т/6</t>
  </si>
  <si>
    <t>Вакцина для профилактики гриппа (инактивированная) (3-хвалентная) (для взрослого населения), раствор для внутримышечного введения</t>
  </si>
  <si>
    <t>1.СОВИГРИПП® Вакцина гриппозная инактивированная субъединичная;
2. СОВИГРИПП® Вакцина гриппозная инактивированная субъединичная;
3. Флю-М [Вакцина гриппозная инактивированная расщепленная].</t>
  </si>
  <si>
    <t>1.	 раствор для внутримышечного введения (ампула) 0.5 мл (1 доза) х 10 (коробка/пачка картонная);
2.	раствор для внутримышечного введения (шприц) 0.5 мл (1 доза) х 10 (пачка картонная);
3.	 раствор для внутримышечного введения (ампула) 0.5 мл (1 доза) х 10 (пачка картонная).</t>
  </si>
  <si>
    <t>1.ЛП-001836;
2.ЛП-001836;
3.ЛП-004760.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</si>
  <si>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</si>
  <si>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</si>
  <si>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</si>
  <si>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</si>
  <si>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</si>
  <si>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</si>
  <si>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</si>
  <si>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</si>
  <si>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</si>
  <si>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</si>
  <si>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</si>
  <si>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</si>
  <si>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</si>
  <si>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</si>
  <si>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</si>
  <si>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</si>
  <si>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</si>
  <si>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</si>
  <si>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</si>
  <si>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</si>
  <si>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</si>
  <si>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</si>
  <si>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</si>
  <si>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</si>
  <si>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</si>
  <si>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</si>
  <si>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</si>
  <si>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</si>
  <si>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</si>
  <si>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</si>
  <si>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</si>
  <si>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</si>
  <si>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</si>
  <si>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</si>
  <si>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</si>
  <si>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</si>
  <si>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</si>
  <si>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</si>
  <si>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</si>
  <si>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</si>
  <si>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</si>
  <si>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</si>
  <si>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исполнен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</si>
  <si>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</si>
  <si>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</si>
  <si>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</si>
  <si>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</si>
  <si>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</si>
  <si>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</si>
  <si>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</si>
  <si>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</si>
  <si>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</si>
  <si>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</si>
  <si>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</si>
  <si>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</si>
  <si>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</si>
  <si>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</si>
  <si>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</si>
  <si>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</si>
  <si>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</si>
  <si>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</si>
  <si>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</si>
  <si>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</si>
  <si>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</si>
  <si>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</si>
  <si>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</si>
  <si>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</si>
  <si>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</si>
  <si>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</si>
  <si>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</si>
  <si>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</si>
  <si>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</si>
  <si>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</si>
  <si>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</si>
  <si>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</si>
  <si>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</si>
  <si>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</si>
  <si>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</si>
  <si>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</si>
  <si>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</si>
  <si>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</si>
  <si>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</si>
  <si>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</si>
  <si>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</si>
  <si>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</si>
  <si>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</si>
  <si>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</si>
  <si>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</si>
  <si>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</si>
  <si>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</si>
  <si>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</si>
  <si>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</si>
  <si>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</si>
  <si>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</si>
  <si>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</si>
  <si>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</si>
  <si>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</si>
  <si>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</si>
  <si>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</si>
  <si>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</si>
  <si>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</si>
  <si>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</si>
  <si>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</si>
  <si>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</si>
  <si>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</si>
  <si>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</si>
  <si>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</si>
  <si>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</si>
  <si>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</si>
  <si>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</si>
  <si>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</si>
  <si>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</si>
  <si>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</si>
  <si>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</si>
  <si>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</si>
  <si>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</si>
  <si>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</si>
  <si>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</si>
  <si>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</si>
  <si>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</si>
  <si>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</si>
  <si>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</si>
  <si>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</si>
  <si>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</si>
  <si>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</si>
  <si>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</si>
  <si>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</si>
  <si>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</si>
  <si>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</si>
  <si>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</si>
  <si>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</si>
  <si>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</si>
  <si>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</si>
  <si>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</si>
  <si>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</si>
  <si>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</si>
  <si>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</si>
  <si>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</si>
  <si>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</si>
  <si>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</si>
  <si>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</si>
  <si>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</si>
  <si>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</si>
  <si>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</si>
  <si>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</si>
  <si>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</si>
  <si>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</si>
  <si>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</si>
  <si>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</si>
  <si>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</si>
  <si>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>ЛЕНАЛИДОМИД-ПРОМОМЕД</t>
  </si>
  <si>
    <t>капсулы, 5 мг (банка) 21 х 1 (пачка картонная)</t>
  </si>
  <si>
    <t>ЛП-008107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</si>
  <si>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</si>
  <si>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</si>
  <si>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</si>
  <si>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</si>
  <si>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</si>
  <si>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</si>
  <si>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</si>
  <si>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</si>
  <si>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</si>
  <si>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</si>
  <si>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</si>
  <si>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</si>
  <si>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</si>
  <si>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</si>
  <si>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</si>
  <si>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</si>
  <si>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</si>
  <si>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</si>
  <si>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</si>
  <si>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</si>
  <si>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</si>
  <si>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</si>
  <si>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</si>
  <si>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</si>
  <si>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</si>
  <si>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</si>
  <si>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</si>
  <si>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</si>
  <si>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</si>
  <si>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</si>
  <si>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</si>
  <si>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</si>
  <si>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</si>
  <si>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</si>
  <si>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</si>
  <si>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</si>
  <si>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</si>
  <si>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</si>
  <si>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</si>
  <si>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</si>
  <si>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</si>
  <si>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</si>
  <si>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</si>
  <si>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</si>
  <si>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</si>
  <si>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</si>
  <si>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</si>
  <si>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</si>
  <si>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</si>
  <si>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</si>
  <si>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</si>
  <si>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</si>
  <si>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</si>
  <si>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</si>
  <si>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</si>
  <si>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</si>
  <si>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</si>
  <si>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</si>
  <si>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</si>
  <si>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</si>
  <si>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</si>
  <si>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</si>
  <si>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</si>
  <si>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</si>
  <si>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</si>
  <si>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</si>
  <si>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</si>
  <si>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</si>
  <si>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</si>
  <si>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</si>
  <si>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</si>
  <si>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</si>
  <si>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</si>
  <si>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</si>
  <si>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</si>
  <si>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</si>
  <si>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</si>
  <si>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</si>
  <si>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</si>
  <si>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</si>
  <si>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</si>
  <si>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</si>
  <si>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</si>
  <si>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</si>
  <si>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</si>
  <si>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</si>
  <si>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</si>
  <si>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</si>
  <si>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</si>
  <si>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</si>
  <si>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</si>
  <si>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</si>
  <si>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</si>
  <si>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исполнен 1 этап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</si>
  <si>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</si>
  <si>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</si>
  <si>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</si>
  <si>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</si>
  <si>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</si>
  <si>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</si>
  <si>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</si>
  <si>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</si>
  <si>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</si>
  <si>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</si>
  <si>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</si>
  <si>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</si>
  <si>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</si>
  <si>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</si>
  <si>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</si>
  <si>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</si>
  <si>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</si>
  <si>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</si>
  <si>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</si>
  <si>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</si>
  <si>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</si>
  <si>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</si>
  <si>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</si>
  <si>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</si>
  <si>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</si>
  <si>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</si>
  <si>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</si>
  <si>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</si>
  <si>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</si>
  <si>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</si>
  <si>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</si>
  <si>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</si>
  <si>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</si>
  <si>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</si>
  <si>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</si>
  <si>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</si>
  <si>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</si>
  <si>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</si>
  <si>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</si>
  <si>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</si>
  <si>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</si>
  <si>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</si>
  <si>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</si>
  <si>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</si>
  <si>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</si>
  <si>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</si>
  <si>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</si>
  <si>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</si>
  <si>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</si>
  <si>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</si>
  <si>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</si>
  <si>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</si>
  <si>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</si>
  <si>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</si>
  <si>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</si>
  <si>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</si>
  <si>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</si>
  <si>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</si>
  <si>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</si>
  <si>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</si>
  <si>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</si>
  <si>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</si>
  <si>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</si>
  <si>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</si>
  <si>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</si>
  <si>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</si>
  <si>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</si>
  <si>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</si>
  <si>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</si>
  <si>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</si>
  <si>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</si>
  <si>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</si>
  <si>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</si>
  <si>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</si>
  <si>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</si>
  <si>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</si>
  <si>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</si>
  <si>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</si>
  <si>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</si>
  <si>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</si>
  <si>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</si>
  <si>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</si>
  <si>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</si>
  <si>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</si>
  <si>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</si>
  <si>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</si>
  <si>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</si>
  <si>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</si>
  <si>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</si>
  <si>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</si>
  <si>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</si>
  <si>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</si>
  <si>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</si>
  <si>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</si>
  <si>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</si>
  <si>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</si>
  <si>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</si>
  <si>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</si>
  <si>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</si>
  <si>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</si>
  <si>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</si>
  <si>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</si>
  <si>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</si>
  <si>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</si>
  <si>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</si>
  <si>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</si>
  <si>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</si>
  <si>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</si>
  <si>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</si>
  <si>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</si>
  <si>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</si>
  <si>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</si>
  <si>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</si>
  <si>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</si>
  <si>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</si>
  <si>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</si>
  <si>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</si>
  <si>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</si>
  <si>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</si>
  <si>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</si>
  <si>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</si>
  <si>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</si>
  <si>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</si>
  <si>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</si>
  <si>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</si>
  <si>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</si>
  <si>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</si>
  <si>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</si>
  <si>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</si>
  <si>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</si>
  <si>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</si>
  <si>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</si>
  <si>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</si>
  <si>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</si>
  <si>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</si>
  <si>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</si>
  <si>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</si>
  <si>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</si>
  <si>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</si>
  <si>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</si>
  <si>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</si>
  <si>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</si>
  <si>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</si>
  <si>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</si>
  <si>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</si>
  <si>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</si>
  <si>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</si>
  <si>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</si>
  <si>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</si>
  <si>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</si>
  <si>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</si>
  <si>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</si>
  <si>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</si>
  <si>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</si>
  <si>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</si>
  <si>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</si>
  <si>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</si>
  <si>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</si>
  <si>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</si>
  <si>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</si>
  <si>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</si>
  <si>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</si>
  <si>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</si>
  <si>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</si>
  <si>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</si>
  <si>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</si>
  <si>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отмена процедуры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</si>
  <si>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</si>
  <si>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</si>
  <si>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</si>
  <si>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</si>
  <si>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</si>
  <si>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</si>
  <si>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</si>
  <si>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</si>
  <si>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</si>
  <si>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</si>
  <si>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</si>
  <si>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</si>
  <si>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</si>
  <si>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</si>
  <si>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</si>
  <si>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</si>
  <si>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</si>
  <si>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</si>
  <si>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</si>
  <si>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</si>
  <si>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</si>
  <si>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</si>
  <si>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</si>
  <si>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</si>
  <si>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</si>
  <si>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</si>
  <si>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</si>
  <si>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</si>
  <si>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</si>
  <si>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</si>
  <si>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</si>
  <si>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</si>
  <si>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</si>
  <si>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</si>
  <si>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</si>
  <si>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</si>
  <si>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</si>
  <si>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</si>
  <si>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</si>
  <si>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</si>
  <si>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</si>
  <si>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</si>
  <si>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</si>
  <si>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</si>
  <si>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</si>
  <si>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</si>
  <si>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</si>
  <si>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</si>
  <si>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</si>
  <si>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</si>
  <si>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</si>
  <si>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</si>
  <si>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</si>
  <si>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</si>
  <si>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</si>
  <si>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</si>
  <si>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</si>
  <si>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</si>
  <si>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</si>
  <si>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</si>
  <si>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</si>
  <si>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</si>
  <si>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</si>
  <si>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</si>
  <si>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</si>
  <si>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</si>
  <si>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</si>
  <si>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</si>
  <si>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</si>
  <si>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</si>
  <si>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</si>
  <si>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</si>
  <si>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</si>
  <si>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</si>
  <si>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</si>
  <si>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</si>
  <si>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</si>
  <si>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</si>
  <si>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</si>
  <si>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</si>
  <si>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</si>
  <si>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</si>
  <si>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</si>
  <si>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</si>
  <si>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</si>
  <si>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</si>
  <si>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</si>
  <si>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</si>
  <si>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</si>
  <si>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</si>
  <si>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</si>
  <si>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</si>
  <si>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</si>
  <si>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</si>
  <si>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</si>
  <si>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</si>
  <si>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</si>
  <si>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</si>
  <si>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</si>
  <si>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</si>
  <si>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</si>
  <si>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</si>
  <si>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</si>
  <si>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</si>
  <si>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</si>
  <si>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</si>
  <si>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</si>
  <si>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</si>
  <si>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</si>
  <si>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</si>
  <si>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</si>
  <si>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</si>
  <si>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</si>
  <si>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</si>
  <si>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</si>
  <si>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</si>
  <si>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</si>
  <si>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</si>
  <si>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</si>
  <si>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</si>
  <si>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</si>
  <si>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</si>
  <si>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</si>
  <si>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</si>
  <si>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</si>
  <si>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</si>
  <si>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</si>
  <si>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</si>
  <si>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</si>
  <si>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</si>
  <si>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</si>
  <si>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</si>
  <si>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 xml:space="preserve"> исполнен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</si>
  <si>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</si>
  <si>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</si>
  <si>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</si>
  <si>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</si>
  <si>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</si>
  <si>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</si>
  <si>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</si>
  <si>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</si>
  <si>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</si>
  <si>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</si>
  <si>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</si>
  <si>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</si>
  <si>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</si>
  <si>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</si>
  <si>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</si>
  <si>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</si>
  <si>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</si>
  <si>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</si>
  <si>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</si>
  <si>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</si>
  <si>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</si>
  <si>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</si>
  <si>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</si>
  <si>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</si>
  <si>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</si>
  <si>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</si>
  <si>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</si>
  <si>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</si>
  <si>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</si>
  <si>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</si>
  <si>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</si>
  <si>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</si>
  <si>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</si>
  <si>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</si>
  <si>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</si>
  <si>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</si>
  <si>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</si>
  <si>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</si>
  <si>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ООО "Русбиофарма"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</si>
  <si>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</si>
  <si>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</si>
  <si>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</si>
  <si>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</si>
  <si>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</si>
  <si>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</si>
  <si>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</si>
  <si>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</si>
  <si>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</si>
  <si>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</si>
  <si>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</si>
  <si>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</si>
  <si>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</si>
  <si>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</si>
  <si>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</si>
  <si>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</si>
  <si>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</si>
  <si>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</si>
  <si>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</si>
  <si>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</si>
  <si>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</si>
  <si>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</si>
  <si>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</si>
  <si>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</si>
  <si>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</si>
  <si>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</si>
  <si>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</si>
  <si>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</si>
  <si>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</si>
  <si>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</si>
  <si>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</si>
  <si>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Германия, 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</si>
  <si>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</si>
  <si>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</si>
  <si>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</si>
  <si>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</si>
  <si>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</si>
  <si>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</si>
  <si>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</si>
  <si>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</si>
  <si>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</si>
  <si>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</si>
  <si>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</si>
  <si>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</si>
  <si>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</si>
  <si>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</si>
  <si>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</si>
  <si>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</si>
  <si>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Австрия, Швеция, Франция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</si>
  <si>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</si>
  <si>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</si>
  <si>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</si>
  <si>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</si>
  <si>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</si>
  <si>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</si>
  <si>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</si>
  <si>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1970515020223000502</t>
  </si>
  <si>
    <t>https://zakupki.gov.ru/epz/order/notice/ea20/view/common-info.html?regNumber=0873400003923000571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</si>
  <si>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</si>
  <si>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</si>
  <si>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</si>
  <si>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</si>
  <si>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</si>
  <si>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</si>
  <si>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</si>
  <si>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 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</si>
  <si>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</si>
  <si>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</si>
  <si>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</si>
  <si>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</si>
  <si>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</si>
  <si>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</si>
  <si>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</si>
  <si>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</si>
  <si>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</si>
  <si>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</si>
  <si>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</si>
  <si>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</si>
  <si>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</si>
  <si>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</si>
  <si>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</si>
  <si>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</si>
  <si>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</si>
  <si>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</si>
  <si>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</si>
  <si>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</si>
  <si>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</si>
  <si>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</si>
  <si>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</si>
  <si>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</si>
  <si>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</si>
  <si>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</si>
  <si>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</si>
  <si>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</si>
  <si>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</si>
  <si>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</si>
  <si>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</si>
  <si>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</si>
  <si>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</si>
  <si>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</si>
  <si>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</si>
  <si>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</si>
  <si>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</si>
  <si>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</si>
  <si>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</si>
  <si>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</si>
  <si>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</si>
  <si>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</si>
  <si>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</si>
  <si>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</si>
  <si>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</si>
  <si>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</si>
  <si>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</si>
  <si>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</si>
  <si>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</si>
  <si>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</si>
  <si>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</si>
  <si>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</si>
  <si>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</si>
  <si>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</si>
  <si>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</si>
  <si>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</si>
  <si>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</si>
  <si>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</si>
  <si>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</si>
  <si>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</si>
  <si>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</si>
  <si>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</si>
  <si>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</si>
  <si>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</si>
  <si>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</si>
  <si>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</si>
  <si>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</si>
  <si>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</si>
  <si>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</si>
  <si>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</si>
  <si>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</si>
  <si>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</si>
  <si>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</si>
  <si>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</si>
  <si>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</si>
  <si>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</si>
  <si>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</si>
  <si>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</si>
  <si>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</si>
  <si>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</si>
  <si>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</si>
  <si>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</si>
  <si>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</si>
  <si>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</si>
  <si>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</si>
  <si>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</si>
  <si>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0873400003923000613</t>
  </si>
  <si>
    <t>1970515020223000532</t>
  </si>
  <si>
    <t>https://zakupki.gov.ru/epz/order/notice/ea20/view/common-info.html?regNumber=0873400003923000613</t>
  </si>
  <si>
    <t>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</si>
  <si>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</si>
  <si>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</si>
  <si>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</si>
  <si>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</si>
  <si>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</si>
  <si>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</si>
  <si>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</si>
  <si>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</si>
  <si>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</si>
  <si>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</si>
  <si>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</si>
  <si>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</si>
  <si>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</si>
  <si>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</si>
  <si>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</si>
  <si>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</si>
  <si>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</si>
  <si>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</si>
  <si>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</si>
  <si>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</si>
  <si>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</si>
  <si>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</si>
  <si>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</si>
  <si>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</si>
  <si>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</si>
  <si>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</si>
  <si>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</si>
  <si>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</si>
  <si>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</si>
  <si>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</si>
  <si>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</si>
  <si>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</si>
  <si>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1970515020224000022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</si>
  <si>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</si>
  <si>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</si>
  <si>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</si>
  <si>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</si>
  <si>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</si>
  <si>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</si>
  <si>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</si>
  <si>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</si>
  <si>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</si>
  <si>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</si>
  <si>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</si>
  <si>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</si>
  <si>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</si>
  <si>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</si>
  <si>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</si>
  <si>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</si>
  <si>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1970515020224000023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</si>
  <si>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</si>
  <si>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</si>
  <si>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</si>
  <si>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</si>
  <si>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</si>
  <si>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</si>
  <si>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</si>
  <si>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</si>
  <si>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</si>
  <si>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</si>
  <si>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</si>
  <si>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</si>
  <si>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</si>
  <si>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</si>
  <si>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</si>
  <si>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</si>
  <si>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</si>
  <si>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</si>
  <si>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</si>
  <si>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</si>
  <si>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</si>
  <si>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</si>
  <si>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</si>
  <si>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</si>
  <si>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</si>
  <si>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</si>
  <si>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</si>
  <si>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</si>
  <si>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</si>
  <si>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</si>
  <si>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</si>
  <si>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</si>
  <si>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</si>
  <si>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</si>
  <si>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</si>
  <si>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</si>
  <si>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</si>
  <si>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</si>
  <si>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</si>
  <si>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</si>
  <si>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</si>
  <si>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</si>
  <si>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</si>
  <si>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</si>
  <si>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</si>
  <si>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</si>
  <si>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</si>
  <si>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</si>
  <si>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</si>
  <si>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</si>
  <si>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</si>
  <si>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</si>
  <si>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</si>
  <si>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</si>
  <si>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</si>
  <si>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</si>
  <si>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</si>
  <si>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</si>
  <si>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</si>
  <si>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</si>
  <si>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</si>
  <si>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</si>
  <si>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</si>
  <si>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</si>
  <si>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</si>
  <si>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</si>
  <si>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</si>
  <si>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</si>
  <si>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</si>
  <si>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</si>
  <si>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1970515020224000018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</si>
  <si>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</si>
  <si>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</si>
  <si>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</si>
  <si>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15.04.2025 (4 этап 01.07.2025)</t>
  </si>
  <si>
    <t>15.05.2025 (4 этап 01.08.2025)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</si>
  <si>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</si>
  <si>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</si>
  <si>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</si>
  <si>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</si>
  <si>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</si>
  <si>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</si>
  <si>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</si>
  <si>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</si>
  <si>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</si>
  <si>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</si>
  <si>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</si>
  <si>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</si>
  <si>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</si>
  <si>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</si>
  <si>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</si>
  <si>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</si>
  <si>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1970515020224000016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</si>
  <si>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</si>
  <si>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</si>
  <si>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</si>
  <si>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</si>
  <si>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</si>
  <si>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</si>
  <si>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</si>
  <si>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</si>
  <si>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</si>
  <si>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</si>
  <si>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</si>
  <si>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</si>
  <si>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</si>
  <si>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</si>
  <si>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</si>
  <si>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</si>
  <si>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</si>
  <si>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</si>
  <si>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</si>
  <si>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</si>
  <si>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</si>
  <si>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</si>
  <si>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</si>
  <si>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</si>
  <si>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</si>
  <si>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</si>
  <si>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введения 30 мг/мл</t>
  </si>
  <si>
    <t>раствор для подкожного введения, 30 мг/мл (флакон) 30 мг/1 мл х 1 (пачка картонная)</t>
  </si>
  <si>
    <t>0873400003923000646</t>
  </si>
  <si>
    <t>1970515020224000032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</si>
  <si>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</si>
  <si>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</si>
  <si>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</si>
  <si>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</si>
  <si>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</si>
  <si>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</si>
  <si>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</si>
  <si>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1970515020224000031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</si>
  <si>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</si>
  <si>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</si>
  <si>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</si>
  <si>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</si>
  <si>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</si>
  <si>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</si>
  <si>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</si>
  <si>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1970515020224000019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</si>
  <si>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</si>
  <si>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</si>
  <si>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</si>
  <si>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</si>
  <si>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</si>
  <si>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</si>
  <si>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</si>
  <si>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</si>
  <si>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1970515020224000030</t>
  </si>
  <si>
    <t>https://zakupki.gov.ru/epz/order/notice/ea20/view/common-info.html?regNumber=0873400003923000651</t>
  </si>
  <si>
    <t>0873400003923000651_358372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</si>
  <si>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</si>
  <si>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</si>
  <si>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</si>
  <si>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</si>
  <si>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1970515020224000035</t>
  </si>
  <si>
    <t>https://zakupki.gov.ru/epz/order/notice/ea20/view/common-info.html?regNumber=0873400003923000656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</si>
  <si>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</si>
  <si>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</si>
  <si>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</si>
  <si>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</si>
  <si>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0873400003923000657</t>
  </si>
  <si>
    <t>1970515020224000036</t>
  </si>
  <si>
    <t>https://zakupki.gov.ru/epz/order/notice/ea20/view/common-info.html?regNumber=0873400003923000657</t>
  </si>
  <si>
    <t>0873400003923000657-0001</t>
  </si>
  <si>
    <t>0873400003923000658</t>
  </si>
  <si>
    <t>1970515020224000029</t>
  </si>
  <si>
    <t>https://zakupki.gov.ru/epz/order/notice/ea20/view/common-info.html?regNumber=0873400003923000658</t>
  </si>
  <si>
    <t>0873400003923000658-0001</t>
  </si>
  <si>
    <t>65 571,6666/ 78 686</t>
  </si>
  <si>
    <t>65 572/ 78686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</si>
  <si>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</si>
  <si>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</si>
  <si>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</si>
  <si>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</si>
  <si>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</si>
  <si>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0873400003923000663</t>
  </si>
  <si>
    <t>1970515020224000044</t>
  </si>
  <si>
    <t>https://zakupki.gov.ru/epz/order/notice/ea20/view/common-info.html?regNumber=0873400003923000663</t>
  </si>
  <si>
    <t>0873400003923000663-0001</t>
  </si>
  <si>
    <t>Эмицизумаб, раствор для подкожного введения, 150 мг/мл, 0,4 мл</t>
  </si>
  <si>
    <t>раствор для подкожного введения, 150 мг/мл (флакон) 60 мг/0.4 мл х 1 (пачка картонная)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</si>
  <si>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</si>
  <si>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</si>
  <si>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</si>
  <si>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</si>
  <si>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1970515020224000026</t>
  </si>
  <si>
    <t>https://zakupki.gov.ru/epz/order/notice/ea20/view/common-info.html?regNumber=0873400003923000665</t>
  </si>
  <si>
    <t>0873400003923000665-0001</t>
  </si>
  <si>
    <t>Велаглюцераза альфа, лиофилизат для 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</si>
  <si>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</si>
  <si>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</si>
  <si>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</si>
  <si>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</si>
  <si>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</si>
  <si>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</si>
  <si>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</si>
  <si>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</si>
  <si>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1970515020224000021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</si>
  <si>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</si>
  <si>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</si>
  <si>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</si>
  <si>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</si>
  <si>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</si>
  <si>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</si>
  <si>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</si>
  <si>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1970515020224000025</t>
  </si>
  <si>
    <t>https://zakupki.gov.ru/epz/order/notice/ea20/view/common-info.html?regNumber=0873400003923000668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</si>
  <si>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</si>
  <si>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</si>
  <si>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</si>
  <si>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</si>
  <si>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0873400003923000669</t>
  </si>
  <si>
    <t>1970515020224000028</t>
  </si>
  <si>
    <t>https://zakupki.gov.ru/epz/order/notice/ea20/view/common-info.html?regNumber=0873400003923000669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</si>
  <si>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</si>
  <si>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</si>
  <si>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</si>
  <si>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</si>
  <si>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</si>
  <si>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0873400003923000670</t>
  </si>
  <si>
    <t>1970515020224000027</t>
  </si>
  <si>
    <t>https://zakupki.gov.ru/epz/order/notice/ea20/view/common-info.html?regNumber=0873400003923000670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</si>
  <si>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</si>
  <si>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</si>
  <si>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</si>
  <si>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</si>
  <si>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</si>
  <si>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</si>
  <si>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0873400003923000671</t>
  </si>
  <si>
    <t>1970515020224000034</t>
  </si>
  <si>
    <t>https://zakupki.gov.ru/epz/order/notice/ea20/view/common-info.html?regNumber=0873400003923000671</t>
  </si>
  <si>
    <t>0873400003923000671-0001</t>
  </si>
  <si>
    <t>Дорназа альфа, раствор для ингаляций, 2,5 мг/2,5 мл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</si>
  <si>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</si>
  <si>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</si>
  <si>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</si>
  <si>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</si>
  <si>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</si>
  <si>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</si>
  <si>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</si>
  <si>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</si>
  <si>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</si>
  <si>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</si>
  <si>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</si>
  <si>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</si>
  <si>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</si>
  <si>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1970515020224000024</t>
  </si>
  <si>
    <t>https://zakupki.gov.ru/epz/order/notice/ea20/view/common-info.html?regNumber=0873400003923000673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</si>
  <si>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</si>
  <si>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</si>
  <si>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</si>
  <si>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</si>
  <si>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</si>
  <si>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</si>
  <si>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</si>
  <si>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</si>
  <si>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</si>
  <si>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</si>
  <si>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</si>
  <si>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</si>
  <si>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</si>
  <si>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</si>
  <si>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1970515020224000017</t>
  </si>
  <si>
    <t>https://zakupki.gov.ru/epz/order/notice/ea20/view/common-info.html?regNumber=0873400003923000675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</si>
  <si>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</si>
  <si>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</si>
  <si>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</si>
  <si>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0873400003923000676</t>
  </si>
  <si>
    <t>1970515020224000033</t>
  </si>
  <si>
    <t>https://zakupki.gov.ru/epz/order/notice/ea20/view/common-info.html?regNumber=0873400003923000676</t>
  </si>
  <si>
    <t>0873400003923000676-0001</t>
  </si>
  <si>
    <t>01.03.2025 (4 этап 30.09.2025)</t>
  </si>
  <si>
    <t>01.04.2025 (4 этап 01.11.2025)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</si>
  <si>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</si>
  <si>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</si>
  <si>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</si>
  <si>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</si>
  <si>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</si>
  <si>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</si>
  <si>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</si>
  <si>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0873400003923000678</t>
  </si>
  <si>
    <t>1970515020224000020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</si>
  <si>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</si>
  <si>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</si>
  <si>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</si>
  <si>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</si>
  <si>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</si>
  <si>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1970515020224000065</t>
  </si>
  <si>
    <t>https://zakupki.gov.ru/epz/order/notice/ea20/view/common-info.html?regNumber=0873400003923000679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</si>
  <si>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</si>
  <si>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</si>
  <si>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</si>
  <si>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</si>
  <si>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</si>
  <si>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</si>
  <si>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</si>
  <si>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0873400003923000681</t>
  </si>
  <si>
    <t>1970515020224000048</t>
  </si>
  <si>
    <t>https://zakupki.gov.ru/epz/order/notice/ea20/view/common-info.html?regNumber=0873400003923000681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</si>
  <si>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</si>
  <si>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</si>
  <si>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</si>
  <si>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</si>
  <si>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</si>
  <si>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</si>
  <si>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</si>
  <si>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0873400003923000682</t>
  </si>
  <si>
    <t>1970515020224000061</t>
  </si>
  <si>
    <t>https://zakupki.gov.ru/epz/order/notice/ea20/view/common-info.html?regNumber=0873400003923000682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</si>
  <si>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</si>
  <si>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</si>
  <si>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</si>
  <si>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</si>
  <si>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</si>
  <si>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</si>
  <si>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0873400003923000683</t>
  </si>
  <si>
    <t>1970515020224000047</t>
  </si>
  <si>
    <t>https://zakupki.gov.ru/epz/order/notice/ea20/view/common-info.html?regNumber=0873400003923000683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</si>
  <si>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</si>
  <si>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</si>
  <si>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</si>
  <si>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</si>
  <si>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</si>
  <si>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0873400003923000684</t>
  </si>
  <si>
    <t>1970515020224000060</t>
  </si>
  <si>
    <t>https://zakupki.gov.ru/epz/order/notice/ea20/view/common-info.html?regNumber=0873400003923000684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</si>
  <si>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</si>
  <si>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</si>
  <si>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</si>
  <si>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</si>
  <si>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</si>
  <si>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</si>
  <si>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</si>
  <si>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0873400003923000685</t>
  </si>
  <si>
    <t>1970515020224000067</t>
  </si>
  <si>
    <t>https://zakupki.gov.ru/epz/order/notice/ea20/view/common-info.html?regNumber=0873400003923000685</t>
  </si>
  <si>
    <t>0873400003923000685_358372</t>
  </si>
  <si>
    <t>капсулы, 25 мг (флакон) 60 х 1  
(пачка картонная)</t>
  </si>
  <si>
    <t>0873400003923000686</t>
  </si>
  <si>
    <t>1970515020224000056</t>
  </si>
  <si>
    <t>https://zakupki.gov.ru/epz/order/notice/ea20/view/common-info.html?regNumber=0873400003923000686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</si>
  <si>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</si>
  <si>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</si>
  <si>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</si>
  <si>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</si>
  <si>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</si>
  <si>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</si>
  <si>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0873400003923000687</t>
  </si>
  <si>
    <t>1970515020224000037</t>
  </si>
  <si>
    <t>https://zakupki.gov.ru/epz/order/notice/ea20/view/common-info.html?regNumber=0873400003923000687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</si>
  <si>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</si>
  <si>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</si>
  <si>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</si>
  <si>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0873400003923000688</t>
  </si>
  <si>
    <t>1970515020224000052</t>
  </si>
  <si>
    <t>https://zakupki.gov.ru/epz/order/notice/ea20/view/common-info.html?regNumber=0873400003923000688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</si>
  <si>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</si>
  <si>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</si>
  <si>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</si>
  <si>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</si>
  <si>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</si>
  <si>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</si>
  <si>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</si>
  <si>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</si>
  <si>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0873400003923000690</t>
  </si>
  <si>
    <t>1970515020224000039</t>
  </si>
  <si>
    <t>https://zakupki.gov.ru/epz/order/notice/ea20/view/common-info.html?regNumber=0873400003923000690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</si>
  <si>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</si>
  <si>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</si>
  <si>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</si>
  <si>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</si>
  <si>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0873400003923000691</t>
  </si>
  <si>
    <t>1970515020224000038</t>
  </si>
  <si>
    <t>https://zakupki.gov.ru/epz/order/notice/ea20/view/common-info.html?regNumber=0873400003923000691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</si>
  <si>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</si>
  <si>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</si>
  <si>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</si>
  <si>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</si>
  <si>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</si>
  <si>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0873400003923000692</t>
  </si>
  <si>
    <t>отклонение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</si>
  <si>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</si>
  <si>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</si>
  <si>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0873400003923000693</t>
  </si>
  <si>
    <t>https://zakupki.gov.ru/epz/order/notice/ea20/view/common-info.html?regNumber=0873400003923000693</t>
  </si>
  <si>
    <t>Этравирин, таблетки, 25 мг</t>
  </si>
  <si>
    <t>0873400003923000694</t>
  </si>
  <si>
    <t>1970515020224000049</t>
  </si>
  <si>
    <t>https://zakupki.gov.ru/epz/order/notice/ea20/view/common-info.html?regNumber=0873400003923000694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</si>
  <si>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</si>
  <si>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</si>
  <si>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</si>
  <si>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0873400003923000695</t>
  </si>
  <si>
    <t>1970515020224000046</t>
  </si>
  <si>
    <t>https://zakupki.gov.ru/epz/order/notice/ea20/view/common-info.html?regNumber=0873400003923000695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</si>
  <si>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</si>
  <si>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</si>
  <si>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</si>
  <si>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</si>
  <si>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</si>
  <si>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</si>
  <si>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0873400003923000696</t>
  </si>
  <si>
    <t>1970515020224000074</t>
  </si>
  <si>
    <t>https://zakupki.gov.ru/epz/order/notice/ea20/view/common-info.html?regNumber=0873400003923000696</t>
  </si>
  <si>
    <t>0873400003923000696-0001</t>
  </si>
  <si>
    <t>Мабтера®</t>
  </si>
  <si>
    <t>раствор для подкожного введения, 
1400 мг/11.7 мл (флакон) 1400 мг/11.7 мл х 1 (пачка картонная)</t>
  </si>
  <si>
    <t>ЛП-002575</t>
  </si>
  <si>
    <t>0873400003923000697</t>
  </si>
  <si>
    <t>1970515020224000064</t>
  </si>
  <si>
    <t>https://zakupki.gov.ru/epz/order/notice/ea20/view/common-info.html?regNumber=0873400003923000697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</si>
  <si>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</si>
  <si>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</si>
  <si>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</si>
  <si>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</si>
  <si>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0873400003923000698</t>
  </si>
  <si>
    <t>1970515020224000050</t>
  </si>
  <si>
    <t>https://zakupki.gov.ru/epz/order/notice/ea20/view/common-info.html?regNumber=0873400003923000698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</si>
  <si>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</si>
  <si>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</si>
  <si>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</si>
  <si>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</si>
  <si>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</si>
  <si>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</si>
  <si>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</si>
  <si>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</si>
  <si>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0873400003923000700</t>
  </si>
  <si>
    <t>1970515020224000068</t>
  </si>
  <si>
    <t>https://zakupki.gov.ru/epz/order/notice/ea20/view/common-info.html?regNumber=0873400003923000700</t>
  </si>
  <si>
    <t>0873400003923000700_358372</t>
  </si>
  <si>
    <t>Канакинумаб, раствор для подкожного 
введения, 150 мг/мл</t>
  </si>
  <si>
    <t>0873400003923000701</t>
  </si>
  <si>
    <t>1970515020224000070</t>
  </si>
  <si>
    <t>https://zakupki.gov.ru/epz/order/notice/ea20/view/common-info.html?regNumber=0873400003923000701</t>
  </si>
  <si>
    <t>0873400003923000701_358372</t>
  </si>
  <si>
    <t>Асфотаза альфа, раствор для подкожного 
введения, 100 мг/мл, 0,8 мл</t>
  </si>
  <si>
    <t>0873400003923000702</t>
  </si>
  <si>
    <t>https://zakupki.gov.ru/epz/order/notice/ea20/view/common-info.html?regNumber=0873400003923000702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</si>
  <si>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</si>
  <si>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</si>
  <si>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</si>
  <si>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0873400003923000704</t>
  </si>
  <si>
    <t>1970515020224000057</t>
  </si>
  <si>
    <t>https://zakupki.gov.ru/epz/order/notice/ea20/view/common-info.html?regNumber=0873400003923000704</t>
  </si>
  <si>
    <t>0873400003923000704_358372</t>
  </si>
  <si>
    <t>Ланаделумаб, раствор для подкожного 
введения, 150 мг/мл</t>
  </si>
  <si>
    <t>0873400003923000705</t>
  </si>
  <si>
    <t>1970515020224000058</t>
  </si>
  <si>
    <t>https://zakupki.gov.ru/epz/order/notice/ea20/view/common-info.html?regNumber=0873400003923000705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</si>
  <si>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</si>
  <si>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</si>
  <si>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</si>
  <si>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0873400003923000707</t>
  </si>
  <si>
    <t>1970515020224000051</t>
  </si>
  <si>
    <t>https://zakupki.gov.ru/epz/order/notice/ea20/view/common-info.html?regNumber=0873400003923000707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</si>
  <si>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</si>
  <si>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</si>
  <si>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</si>
  <si>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</si>
  <si>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</si>
  <si>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0873400003923000708</t>
  </si>
  <si>
    <t>1970515020224000069</t>
  </si>
  <si>
    <t>https://zakupki.gov.ru/epz/order/notice/ea20/view/common-info.html?regNumber=0873400003923000708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</si>
  <si>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</si>
  <si>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</si>
  <si>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</si>
  <si>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</si>
  <si>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</si>
  <si>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</si>
  <si>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</si>
  <si>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</si>
  <si>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0873400003923000710</t>
  </si>
  <si>
    <t>1970515020224000053</t>
  </si>
  <si>
    <t>https://zakupki.gov.ru/epz/order/notice/ea20/view/common-info.html?regNumber=0873400003923000710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</si>
  <si>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</si>
  <si>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</si>
  <si>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</si>
  <si>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</si>
  <si>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</si>
  <si>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0873400003923000711</t>
  </si>
  <si>
    <t>1970515020224000066</t>
  </si>
  <si>
    <t>https://zakupki.gov.ru/epz/order/notice/ea20/view/common-info.html?regNumber=0873400003923000711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</si>
  <si>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</si>
  <si>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</si>
  <si>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</si>
  <si>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</si>
  <si>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</si>
  <si>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0873400003923000712</t>
  </si>
  <si>
    <t>1970515020224000043</t>
  </si>
  <si>
    <t>https://zakupki.gov.ru/epz/order/notice/ea20/view/common-info.html?regNumber=0873400003923000712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</si>
  <si>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</si>
  <si>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</si>
  <si>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</si>
  <si>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</si>
  <si>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</si>
  <si>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0873400003923000714</t>
  </si>
  <si>
    <t>1970515020224000054</t>
  </si>
  <si>
    <t>https://zakupki.gov.ru/epz/order/notice/ea20/view/common-info.html?regNumber=0873400003923000714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</si>
  <si>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</si>
  <si>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</si>
  <si>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</si>
  <si>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</si>
  <si>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0873400003923000715</t>
  </si>
  <si>
    <t>1970515020224000076</t>
  </si>
  <si>
    <t>https://zakupki.gov.ru/epz/order/notice/ea20/view/common-info.html?regNumber=0873400003923000715</t>
  </si>
  <si>
    <t>0873400003923000715-0001</t>
  </si>
  <si>
    <t>Флударабин, лиофилизат для приготовления раствора для внутривенного введения, 50 мг
и/или концентрат для приготовления 
раствора для внутривенного введения, 25 мг/мл</t>
  </si>
  <si>
    <t>Дарбинес</t>
  </si>
  <si>
    <t>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картонная).</t>
  </si>
  <si>
    <t>ЛП-№(000374)-(РГ-RU);
ЛП-№(002892)-(РГ-RU) (Вода для инъекций)</t>
  </si>
  <si>
    <t>0873400003923000717</t>
  </si>
  <si>
    <t>1970515020224000077</t>
  </si>
  <si>
    <t>https://zakupki.gov.ru/epz/order/notice/ea20/view/common-info.html?regNumber=0873400003923000717</t>
  </si>
  <si>
    <t>0873400003923000717-0001</t>
  </si>
  <si>
    <t>Интерферон бета-1b, лиофилизат для приготовления раствора для подкожного введения, 9,6 млн. МЕ и/или раствор для подкожного введения, 8 млн. МЕ/0,5 мл</t>
  </si>
  <si>
    <t>1. Интерферон бета-1b;
2. Инфибета®.</t>
  </si>
  <si>
    <t>1. [раствор для подкожного введения, 8 млн.МЕ/0.5 мл, (шприц) 0.5 мл х 5 + (салфетка спиртовая) х 5] х1 (пачка картонная);
2. [лиофилизат для приготовления раствора для подкожного введения, 0.3 мг (9.6 млн.МЕ)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картонная).</t>
  </si>
  <si>
    <t>1. ЛСР-007366/09;
2. ЛП-000869.</t>
  </si>
  <si>
    <t>1.5;
2.15.</t>
  </si>
  <si>
    <t>0873400003923000721</t>
  </si>
  <si>
    <t>1970515020224000040</t>
  </si>
  <si>
    <t>https://zakupki.gov.ru/epz/order/notice/ea20/view/common-info.html?regNumber=0873400003923000721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</si>
  <si>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</si>
  <si>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</si>
  <si>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</si>
  <si>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</si>
  <si>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</si>
  <si>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</si>
  <si>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0873400003923000722</t>
  </si>
  <si>
    <t>1970515020224000072</t>
  </si>
  <si>
    <t>https://zakupki.gov.ru/epz/order/notice/ea20/view/common-info.html?regNumber=0873400003923000722</t>
  </si>
  <si>
    <t>0873400003923000722-0001</t>
  </si>
  <si>
    <t>Эверолимус, таблетки, 0,5 мг</t>
  </si>
  <si>
    <t>таблетки 0.5 мг (банка) 60 х 1 (пачка картонная)</t>
  </si>
  <si>
    <t>0873400003923000723</t>
  </si>
  <si>
    <t>1970515020224000041</t>
  </si>
  <si>
    <t>https://zakupki.gov.ru/epz/order/notice/ea20/view/common-info.html?regNumber=0873400003923000723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</si>
  <si>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</si>
  <si>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</si>
  <si>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</si>
  <si>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</si>
  <si>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0873400003923000724</t>
  </si>
  <si>
    <t>1970515020224000071</t>
  </si>
  <si>
    <t>https://zakupki.gov.ru/epz/order/notice/ea20/view/common-info.html?regNumber=0873400003923000724</t>
  </si>
  <si>
    <t>0873400003923000724-0001</t>
  </si>
  <si>
    <t>Микофенолата мофетил, капсулы и/или 
таблетки, покрытые пленочной оболочкой, 250 мг</t>
  </si>
  <si>
    <t>1.Фломирен;
2.Микофенолата мофетил;
3. МИКОФЕНОЛАТА МОФЕТИЛ-ТЛ.</t>
  </si>
  <si>
    <t>1. таблетки, покрытые пленочной оболочкой,
250 мг (контурная ячейковая упаковка) 10 х 10 (пачка картонная);
2. таблетки, покрытые пленочной оболочкой, 250 мг (контурная ячейковая упаковка) 25 х 4 (пачка картонная);
3. капсулы, 250 мг (контурная ячейковая упаковка) 10 х 10 (пачка картонная).</t>
  </si>
  <si>
    <t>1.ЛП-№(000234)-(РГ-RU);
2.ЛП-005113;
3.ЛП-001950.</t>
  </si>
  <si>
    <t>0873400003923000725</t>
  </si>
  <si>
    <t>1970515020224000045</t>
  </si>
  <si>
    <t>https://zakupki.gov.ru/epz/order/notice/ea20/view/common-info.html?regNumber=0873400003923000725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</si>
  <si>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</si>
  <si>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</si>
  <si>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</si>
  <si>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</si>
  <si>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0873400003923000726</t>
  </si>
  <si>
    <t>1970515020224000042</t>
  </si>
  <si>
    <t>https://zakupki.gov.ru/epz/order/notice/ea20/view/common-info.html?regNumber=0873400003923000726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</si>
  <si>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</si>
  <si>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</si>
  <si>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</si>
  <si>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</si>
  <si>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</si>
  <si>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0873400003923000727</t>
  </si>
  <si>
    <t>https://zakupki.gov.ru/epz/order/notice/ea20/view/common-info.html?regNumber=0873400003923000727</t>
  </si>
  <si>
    <t>0873400003923000728</t>
  </si>
  <si>
    <t>1970515020224000075</t>
  </si>
  <si>
    <t>https://zakupki.gov.ru/epz/order/notice/ea20/view/common-info.html?regNumber=0873400003923000728</t>
  </si>
  <si>
    <t>0873400003923000728-0001</t>
  </si>
  <si>
    <t>Октоког альфа, лиофилизат для приготовления раствора для внутривенного введения, 250 МЕ</t>
  </si>
  <si>
    <t>Адвейт®</t>
  </si>
  <si>
    <t>[лиофилизат для приготовления раствора для внутривенного введения, 250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</si>
  <si>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ЛП-№(001976)-(РГ-RU)</t>
  </si>
  <si>
    <t>0873400003923000729</t>
  </si>
  <si>
    <t>1970515020224000059</t>
  </si>
  <si>
    <t>https://zakupki.gov.ru/epz/order/notice/ea20/view/common-info.html?regNumber=0873400003923000729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</si>
  <si>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</si>
  <si>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</si>
  <si>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</si>
  <si>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</si>
  <si>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</si>
  <si>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0873400003923000730</t>
  </si>
  <si>
    <t>1970515020224000055</t>
  </si>
  <si>
    <t>https://zakupki.gov.ru/epz/order/notice/ea20/view/common-info.html?regNumber=0873400003923000730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</si>
  <si>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</si>
  <si>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</si>
  <si>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</si>
  <si>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0873400003923000731</t>
  </si>
  <si>
    <t>1970515020224000063</t>
  </si>
  <si>
    <t>https://zakupki.gov.ru/epz/order/notice/ea20/view/common-info.html?regNumber=0873400003923000731</t>
  </si>
  <si>
    <t>0873400003923000731-0001</t>
  </si>
  <si>
    <t>Фактор свертывания крови VIII + Фактор Виллебранда, лиофилизат для приготовления 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</si>
  <si>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</si>
  <si>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</si>
  <si>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</si>
  <si>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0873400003923000732</t>
  </si>
  <si>
    <t>https://zakupki.gov.ru/epz/order/notice/ea20/view/common-info.html?regNumber=0873400003923000732</t>
  </si>
  <si>
    <t>0873400003923000733</t>
  </si>
  <si>
    <t>https://zakupki.gov.ru/epz/order/notice/ea20/view/common-info.html?regNumber=0873400003923000733</t>
  </si>
  <si>
    <t>0873400003923000734</t>
  </si>
  <si>
    <t>https://zakupki.gov.ru/epz/order/notice/ea20/view/common-info.html?regNumber=0873400003923000734</t>
  </si>
  <si>
    <t>0873400003923000735</t>
  </si>
  <si>
    <t>https://zakupki.gov.ru/epz/order/notice/ea20/view/common-info.html?regNumber=0873400003923000735</t>
  </si>
  <si>
    <t>0873400003923000736</t>
  </si>
  <si>
    <t>https://zakupki.gov.ru/epz/order/notice/ea20/view/common-info.html?regNumber=0873400003923000736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</si>
  <si>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</si>
  <si>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</si>
  <si>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</si>
  <si>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</si>
  <si>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</si>
  <si>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</si>
  <si>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</si>
  <si>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https://zakupki.gov.ru/epz/order/notice/ea20/view/common-info.html?regNumber=0873400003923000739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</si>
  <si>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</si>
  <si>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</si>
  <si>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</si>
  <si>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</si>
  <si>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1970515020224000073</t>
  </si>
  <si>
    <t>https://zakupki.gov.ru/epz/order/notice/ea20/view/common-info.html?regNumber=0873400003923000741</t>
  </si>
  <si>
    <t>0873400003923000741-0001</t>
  </si>
  <si>
    <t>Эверолимус, таблетки, 0,75 мг</t>
  </si>
  <si>
    <t>таблетки 0.75 мг (банка) 60 х 1 (пачка картонная)</t>
  </si>
  <si>
    <t>0873400003923000742</t>
  </si>
  <si>
    <t>1970515020224000062</t>
  </si>
  <si>
    <t>https://zakupki.gov.ru/epz/order/notice/ea20/view/common-info.html?regNumber=0873400003923000742</t>
  </si>
  <si>
    <t>0873400003923000742_358372</t>
  </si>
  <si>
    <t>Спинраза</t>
  </si>
  <si>
    <t>раствор для интратекального введения, 2.4 мг/мл (флакон) 5 мл х 1 (пачка картонная)</t>
  </si>
  <si>
    <t>ЛП-005730</t>
  </si>
  <si>
    <t>0873400003924000001</t>
  </si>
  <si>
    <t>https://zakupki.gov.ru/epz/order/notice/ea20/view/common-info.html?regNumber=0873400003924000001</t>
  </si>
  <si>
    <t>Ламивудин, таблетки, покрытые пленочной 
оболочкой, 300 мг</t>
  </si>
  <si>
    <t>0873400003924000002</t>
  </si>
  <si>
    <t>1970515020224000078</t>
  </si>
  <si>
    <t>https://zakupki.gov.ru/epz/order/notice/ea20/view/common-info.html?regNumber=0873400003924000002</t>
  </si>
  <si>
    <t>0873400003924000002-0001</t>
  </si>
  <si>
    <t>Зидовудин, раствор для приема внутрь, 10 
мг/мл</t>
  </si>
  <si>
    <t>Зидовудин</t>
  </si>
  <si>
    <t>[раствор для приема внутрь, 10 мг/мл (флакон) 200 мл х 1 + шприц дозирующий х 1] х 1 (пачка картонная)</t>
  </si>
  <si>
    <t>ЛП-004317</t>
  </si>
  <si>
    <t>0873400003924000003</t>
  </si>
  <si>
    <t>1970515020224000080</t>
  </si>
  <si>
    <t>https://zakupki.gov.ru/epz/order/notice/ea20/view/common-info.html?regNumber=0873400003924000003</t>
  </si>
  <si>
    <t>0873400003924000003-0001</t>
  </si>
  <si>
    <t>Маравирок, таблетки, покрытые пленочной 
оболочкой, 150 мг</t>
  </si>
  <si>
    <t>Целзентри®</t>
  </si>
  <si>
    <t>таблетки, покрытые пленочной оболочкой, 150 мг (блистер) 10 х 6 (пачка картонная)</t>
  </si>
  <si>
    <t>ЛП-000565</t>
  </si>
  <si>
    <t>0873400003924000004</t>
  </si>
  <si>
    <t>https://zakupki.gov.ru/epz/order/notice/ea20/view/common-info.html?regNumber=0873400003924000004</t>
  </si>
  <si>
    <t>Тенофовир, таблетки, покрытые пленочной 
оболочкой, 300 мг и/или 245 мг</t>
  </si>
  <si>
    <t>0873400003924000005</t>
  </si>
  <si>
    <t>1970515020224000081</t>
  </si>
  <si>
    <t>https://zakupki.gov.ru/epz/order/notice/ea20/view/common-info.html?regNumber=0873400003924000005</t>
  </si>
  <si>
    <t>0873400003924000005-0001</t>
  </si>
  <si>
    <t>Эфавиренз, таблетки, покрытые пленочной 
оболочкой 400 мг</t>
  </si>
  <si>
    <t>Регаст</t>
  </si>
  <si>
    <t xml:space="preserve">таблетки, покрытые пленочной оболочкой, 400 мг (банка) 30 х 1 (пачка картонная) </t>
  </si>
  <si>
    <t>ЛП-002554</t>
  </si>
  <si>
    <t>0873400003924000006</t>
  </si>
  <si>
    <t>1970515020224000079</t>
  </si>
  <si>
    <t>https://zakupki.gov.ru/epz/order/notice/ea20/view/common-info.html?regNumber=0873400003924000006</t>
  </si>
  <si>
    <t>0873400003924000006-0001</t>
  </si>
  <si>
    <t>Ралтегравир, таблетки жевательные, 25 мг</t>
  </si>
  <si>
    <t>Исентресс®</t>
  </si>
  <si>
    <t>таблетки жевательные, 25 мг (флакон) 60 х 1 (пачка картонная)</t>
  </si>
  <si>
    <t>ЛП-002927</t>
  </si>
  <si>
    <t>0873400003924000007</t>
  </si>
  <si>
    <t>1970515020224000097</t>
  </si>
  <si>
    <t>https://zakupki.gov.ru/epz/order/notice/ea20/view/common-info.html?regNumber=0873400003924000007</t>
  </si>
  <si>
    <t>0873400003924000007-0001</t>
  </si>
  <si>
    <t>Ралтегравир, таблетки жевательные, 100 мг</t>
  </si>
  <si>
    <t>таблетки жевательные, 100 мг (флакон) 60 х 1 (пачка картонная)</t>
  </si>
  <si>
    <t>0873400003924000008</t>
  </si>
  <si>
    <t>1970515020224000136</t>
  </si>
  <si>
    <t>https://zakupki.gov.ru/epz/order/notice/ea20/view/common-info.html?regNumber=0873400003924000008</t>
  </si>
  <si>
    <t>0873400003924000008-0001</t>
  </si>
  <si>
    <t>Этравирин, таблетки, 200 мг</t>
  </si>
  <si>
    <t>1. Равэртир;
2. Этравирин ПСК.</t>
  </si>
  <si>
    <t>1. таблетки, 200 мг (банка) 60 х 1 (пачка картонная);
2. таблетки, 200 мг (банка) 60 х 1 (пачка картонная).</t>
  </si>
  <si>
    <t>1.  ЛП-№(002143)-(РГ-RU)
2.  ЛП-№(001452)-(РГ-RU)</t>
  </si>
  <si>
    <t>0873400003924000009</t>
  </si>
  <si>
    <t>https://zakupki.gov.ru/epz/order/notice/ea20/view/common-info.html?regNumber=0873400003924000009</t>
  </si>
  <si>
    <t>Атазанавир, капсулы, 300 мг</t>
  </si>
  <si>
    <t>0873400003924000010</t>
  </si>
  <si>
    <t>1970515020224000096</t>
  </si>
  <si>
    <t>https://zakupki.gov.ru/epz/order/notice/ea20/view/common-info.html?regNumber=0873400003924000010</t>
  </si>
  <si>
    <t>0873400003924000010-0001</t>
  </si>
  <si>
    <t>Абакавир+Ламивудин, таблетки, покрытые 
пленочной оболочкой, 600 мг + 300 мг</t>
  </si>
  <si>
    <t>1. Алагет;
2. Лавудин-АБ;
3. Абакавир+Ламивудин.</t>
  </si>
  <si>
    <t>1. таблетки, покрытые пленочной оболочкой, 600 мг + 300 мг (контурная ячейковая упаковка) 10 х 3 (пачка картонная);
2. таблетки, покрытые пленочной оболочкой, 600 мг + 300 мг (банка) 30 х 1 (пачка картонная);
3. таблетки, покрытые пленочной оболочкой, 600 мг + 300 мг (банка) 50 х 1 (пачка картонная).</t>
  </si>
  <si>
    <t>1. ЛП-№(000844)-(РГ-RU);
2. ЛП-004064;
3. ЛП-004209.</t>
  </si>
  <si>
    <t>1.30;
2.30;
3.50;</t>
  </si>
  <si>
    <t>0873400003924000011</t>
  </si>
  <si>
    <t>1970515020224000083</t>
  </si>
  <si>
    <t>https://zakupki.gov.ru/epz/order/notice/ea20/view/common-info.html?regNumber=0873400003924000011</t>
  </si>
  <si>
    <t>0873400003924000011-0001</t>
  </si>
  <si>
    <t>Тенофовир, таблетки, покрытые пленочной 
оболочкой, 150 мг и/или 122,5 мг</t>
  </si>
  <si>
    <t>Вирфотен</t>
  </si>
  <si>
    <t>таблетки, покрытые пленочной оболочкой, 150 мг (контурная ячейковая упаковка) 10 х 6 (пачка картонная)</t>
  </si>
  <si>
    <t>ЛП-002419</t>
  </si>
  <si>
    <t>0873400003924000012</t>
  </si>
  <si>
    <t>https://zakupki.gov.ru/epz/order/notice/ea20/view/common-info.html?regNumber=0873400003924000012</t>
  </si>
  <si>
    <t>Дарунавир, таблетки, покрытые пленочной 
оболочкой, 600 мг</t>
  </si>
  <si>
    <t>0873400003924000013</t>
  </si>
  <si>
    <t>1970515020224000084</t>
  </si>
  <si>
    <t>https://zakupki.gov.ru/epz/order/notice/ea20/view/common-info.html?regNumber=0873400003924000013</t>
  </si>
  <si>
    <t>0873400003924000013-0001</t>
  </si>
  <si>
    <t>Маравирок, таблетки, покрытые пленочной 
оболочкой, 300 мг</t>
  </si>
  <si>
    <t>таблетки, покрытые пленочной оболочкой, 300 мг (блистер) 10 х 6 (пачка картонная)</t>
  </si>
  <si>
    <t>0873400003924000014</t>
  </si>
  <si>
    <t>https://zakupki.gov.ru/epz/order/notice/ea20/view/common-info.html?regNumber=0873400003924000014</t>
  </si>
  <si>
    <t>0873400003924000015</t>
  </si>
  <si>
    <t>https://zakupki.gov.ru/epz/order/notice/ea20/view/common-info.html?regNumber=0873400003924000015</t>
  </si>
  <si>
    <t>Эфавиренз, таблетки, покрытые пленочной 
оболочкой 600 мг</t>
  </si>
  <si>
    <t>0873400003924000016</t>
  </si>
  <si>
    <t>1970515020224000126</t>
  </si>
  <si>
    <t>https://zakupki.gov.ru/epz/order/notice/ea20/view/common-info.html?regNumber=0873400003924000016</t>
  </si>
  <si>
    <t>0873400003924000016_358372</t>
  </si>
  <si>
    <t>0873400003924000017</t>
  </si>
  <si>
    <t>1970515020224000113</t>
  </si>
  <si>
    <t>https://zakupki.gov.ru/epz/order/notice/ea20/view/common-info.html?regNumber=0873400003924000017</t>
  </si>
  <si>
    <t>0873400003924000017_358372</t>
  </si>
  <si>
    <t>0873400003924000018</t>
  </si>
  <si>
    <t>1970515020224000095</t>
  </si>
  <si>
    <t>https://zakupki.gov.ru/epz/order/notice/ea20/view/common-info.html?regNumber=0873400003924000018</t>
  </si>
  <si>
    <t>0873400003924000018_358372</t>
  </si>
  <si>
    <t>Рисдиплам, порошок для приготовления 
раствора для приема внутрь 0,75 мг/мл</t>
  </si>
  <si>
    <t>ЭВРИСДИ®</t>
  </si>
  <si>
    <t>[порошок для приготовления раствора для приема внутрь, 0.75 мг/мл (флакон) 2 г х 1 + адаптер х 1 + шприц 1 мл х 2 + шприц 6 мл х 2 + шприц 12 мл х 1] х 1 (пачка картонная)</t>
  </si>
  <si>
    <t>ЛП-006602</t>
  </si>
  <si>
    <t>0873400003924000019</t>
  </si>
  <si>
    <t>1970515020224000094</t>
  </si>
  <si>
    <t>https://zakupki.gov.ru/epz/order/notice/ea20/view/common-info.html?regNumber=0873400003924000019</t>
  </si>
  <si>
    <t>0873400003924000019-0001</t>
  </si>
  <si>
    <t>Лопинавир+Ритонавир, таблетки, покрытые 
пленочной оболочкой, 100 мг + 25 мг</t>
  </si>
  <si>
    <t>Калетра®</t>
  </si>
  <si>
    <t>таблетки, покрытые пленочной оболочкой, 100 мг + 25 мг (флакон) 60 х 1 (пачка картонная)</t>
  </si>
  <si>
    <t>ЛП-000116</t>
  </si>
  <si>
    <t>0873400003924000020</t>
  </si>
  <si>
    <t>1970515020224000133</t>
  </si>
  <si>
    <t>https://zakupki.gov.ru/epz/order/notice/ea20/view/common-info.html?regNumber=0873400003924000020</t>
  </si>
  <si>
    <t>0873400003924000020-0001</t>
  </si>
  <si>
    <t>Лопинавир+Ритонавир, таблетки, покрытые 
пленочной оболочкой, 200 мг + 50 мг</t>
  </si>
  <si>
    <t>1. Лопинавир+ Ритонавир-АМЕДАРТ;
2. ЛОПИРИТА®;
3. Калидавир®.</t>
  </si>
  <si>
    <t>1.	таблетки, покрытые пленочной оболочкой, 200 мг + 50 мг (банка) 120 х 1 (пачка картонная);
2.	таблетки, покрытые пленочной оболочкой, 200 мг + 50 мг (контурная ячейковая упаковка) 10 х 12 (пачка картонная);
3.таблетки, покрытые пленочной оболочкой, 200 мг + 50 мг (банка) 120 х 1 (пачка картонная).</t>
  </si>
  <si>
    <t>1. ЛП-№(003211)-(РГ-RU);
2. ЛП-005042;
3. ЛП-№(000748)-(РГ-RU).</t>
  </si>
  <si>
    <t>0873400003924000021</t>
  </si>
  <si>
    <t>https://zakupki.gov.ru/epz/order/notice/ea20/view/common-info.html?regNumber=0873400003924000021</t>
  </si>
  <si>
    <t>Фосампренавир, таблетки, покрытые 
пленочной оболочкой, 700 мг</t>
  </si>
  <si>
    <t>0873400003924000022</t>
  </si>
  <si>
    <t>1970515020224000091</t>
  </si>
  <si>
    <t>https://zakupki.gov.ru/epz/order/notice/ea20/view/common-info.html?regNumber=0873400003924000022</t>
  </si>
  <si>
    <t>0873400003924000022-0001</t>
  </si>
  <si>
    <t>ООО "ОМЕГА"</t>
  </si>
  <si>
    <t xml:space="preserve">Фосфазид, таблетки и/или таблетки, 
покрытые пленочной оболочкой, 200 мг </t>
  </si>
  <si>
    <t>Никавир®</t>
  </si>
  <si>
    <t>таблетки, 200 мг (контурная ячейковая упаковка (блистер)) 10 х 2 (пачка картонная)</t>
  </si>
  <si>
    <t>Р N003864/01</t>
  </si>
  <si>
    <t>0873400003924000023</t>
  </si>
  <si>
    <t>1970515020224000085</t>
  </si>
  <si>
    <t>https://zakupki.gov.ru/epz/order/notice/ea20/view/common-info.html?regNumber=0873400003924000023</t>
  </si>
  <si>
    <t>0873400003924000023-0001</t>
  </si>
  <si>
    <t>Абакавир, таблетки покрытые пленочной 
оболочкой, 150 мг</t>
  </si>
  <si>
    <t>Олитид</t>
  </si>
  <si>
    <t>таблетки, покрытые пленочной оболочкой, 150 мг (банка) 60 х 1 (пачка картонная)</t>
  </si>
  <si>
    <t>ЛП-№(000211)-(РГ-RU)</t>
  </si>
  <si>
    <t>0873400003924000024</t>
  </si>
  <si>
    <t>1970515020224000119</t>
  </si>
  <si>
    <t>https://zakupki.gov.ru/epz/order/notice/ea20/view/common-info.html?regNumber=0873400003924000024</t>
  </si>
  <si>
    <t>0873400003924000024-0001</t>
  </si>
  <si>
    <t>ООО "ФармМентал групп"</t>
  </si>
  <si>
    <t>Фосфазид, таблетки и/или таблетки, 
покрытые пленочной оболочкой, 400 мг</t>
  </si>
  <si>
    <t>Фосфазид</t>
  </si>
  <si>
    <t>таблетки 400 мг (банка) 20 х 1 (пачка картонная)</t>
  </si>
  <si>
    <t>ЛП-006903</t>
  </si>
  <si>
    <t>0873400003924000025</t>
  </si>
  <si>
    <t>https://zakupki.gov.ru/epz/order/notice/ea20/view/common-info.html?regNumber=0873400003924000025</t>
  </si>
  <si>
    <t>Ламивудин, таблетки, покрытые пленочной 
оболочкой, 150 мг</t>
  </si>
  <si>
    <t>0873400003924000026</t>
  </si>
  <si>
    <t>https://zakupki.gov.ru/epz/order/notice/ea20/view/common-info.html?regNumber=0873400003924000026</t>
  </si>
  <si>
    <t>0873400003924000027</t>
  </si>
  <si>
    <t>https://zakupki.gov.ru/epz/order/notice/ea20/view/common-info.html?regNumber=0873400003924000027</t>
  </si>
  <si>
    <t>Ритонавир, капсулы и/или таблетки, 
покрытые пленочной оболочкой, 100 мг</t>
  </si>
  <si>
    <t>0873400003924000028</t>
  </si>
  <si>
    <t>https://zakupki.gov.ru/epz/order/notice/ea20/view/common-info.html?regNumber=0873400003924000028</t>
  </si>
  <si>
    <t>Абакавир, раствор для приема внутрь, 20 
мг/мл</t>
  </si>
  <si>
    <t>0873400003924000029</t>
  </si>
  <si>
    <t>1970515020224000086</t>
  </si>
  <si>
    <t>https://zakupki.gov.ru/epz/order/notice/ea20/view/common-info.html?regNumber=0873400003924000029</t>
  </si>
  <si>
    <t>0873400003924000029-0001</t>
  </si>
  <si>
    <t>Дарунавир</t>
  </si>
  <si>
    <t>таблетки, покрытые пленочной оболочкой, 
400 мг (контурная ячейковая упаковка) 10 х 6 (пачка картонная)</t>
  </si>
  <si>
    <t>ЛП-007612</t>
  </si>
  <si>
    <t>0873400003924000030</t>
  </si>
  <si>
    <t>1970515020224000087</t>
  </si>
  <si>
    <t>https://zakupki.gov.ru/epz/order/notice/ea20/view/common-info.html?regNumber=087340000392400030</t>
  </si>
  <si>
    <t>0873400003924000030-0001</t>
  </si>
  <si>
    <t>Лопинавир+Ритонавир, раствор для приема 
внутрь, 80 мг/мл + 20 мг/мл</t>
  </si>
  <si>
    <t>Лопинавир+Ритонавир</t>
  </si>
  <si>
    <t>[раствор для приема внутрь, 80 мг/мл + 20 мг/мл (флакон) 60 мл х 5 + (шприц дозирующий) х 5] х 1(пачка картонная)</t>
  </si>
  <si>
    <t>ЛП-005700</t>
  </si>
  <si>
    <t>0873400003924000031</t>
  </si>
  <si>
    <t>1970515020224000093</t>
  </si>
  <si>
    <t>https://zakupki.gov.ru/epz/order/notice/ea20/view/common-info.html?regNumber=0873400003924000031</t>
  </si>
  <si>
    <t>0873400003924000031-0001</t>
  </si>
  <si>
    <t>Саквинавир, таблетки, покрытые пленочной 
оболочкой, 500 мг</t>
  </si>
  <si>
    <t>Интерфаст</t>
  </si>
  <si>
    <t>таблетки, покрытые пленочной оболочкой, 500 мг (банка) 120 х 1 (пачка картонная)</t>
  </si>
  <si>
    <t>ЛП-002435</t>
  </si>
  <si>
    <t>0873400003924000032</t>
  </si>
  <si>
    <t>1970515020224000092</t>
  </si>
  <si>
    <t>https://zakupki.gov.ru/epz/order/notice/ea20/view/common-info.html?regNumber=0873400003924000032</t>
  </si>
  <si>
    <t>0873400003924000032-0001</t>
  </si>
  <si>
    <t>Абакавир, таблетки покрытые пленочной 
оболочкой, 300 мг</t>
  </si>
  <si>
    <t>таблетки, покрытые пленочной оболочкой, 300 мг (банка) 60 х 1 (пачка картонная)</t>
  </si>
  <si>
    <t>0873400003924000033</t>
  </si>
  <si>
    <t>1970515020224000088</t>
  </si>
  <si>
    <t>https://zakupki.gov.ru/epz/order/notice/ea20/view/common-info.html?regNumber=0873400003924000033</t>
  </si>
  <si>
    <t>0873400003924000033-0001</t>
  </si>
  <si>
    <t>Невирапин, таблетки и/или таблетки, 
покрытые пленочной оболочкой, 200 мг</t>
  </si>
  <si>
    <t>Невирпин®</t>
  </si>
  <si>
    <t>таблетки, покрытые пленочной оболочкой, 200 мг (контурная ячейковая упаковка) 10 х 6 (пачка картонная)</t>
  </si>
  <si>
    <t>ЛП-№(001585)-(РГ-RU)</t>
  </si>
  <si>
    <t>0873400003924000034</t>
  </si>
  <si>
    <t>https://zakupki.gov.ru/epz/order/notice/ea20/view/common-info.html?regNumber=0873400003924000034</t>
  </si>
  <si>
    <t>Абакавир, таблетки покрытые пленочной 
оболочкой, 600 мг</t>
  </si>
  <si>
    <t>0873400003924000035</t>
  </si>
  <si>
    <t>1970515020224000089</t>
  </si>
  <si>
    <t>https://zakupki.gov.ru/epz/order/notice/ea20/view/common-info.html?regNumber=0873400003924000035</t>
  </si>
  <si>
    <t>0873400003924000035-0001</t>
  </si>
  <si>
    <t>Эфавиренз, таблетки, покрытые пленочной 
оболочкой 100 мг</t>
  </si>
  <si>
    <t>0873400003924000036</t>
  </si>
  <si>
    <t>1970515020224000090</t>
  </si>
  <si>
    <t>https://zakupki.gov.ru/epz/order/notice/ea20/view/common-info.html?regNumber=0873400003924000036</t>
  </si>
  <si>
    <t>0873400003924000036-0001</t>
  </si>
  <si>
    <t>Невирапин, суспензия для приема внутрь, 10 
мг/мл</t>
  </si>
  <si>
    <t>Вирамун®</t>
  </si>
  <si>
    <t>[суспензия для приема внутрь, 50 мг/5 мл (флакон) 240 мл х 1 + (шприц мерный) х 1 + (крышка) х 1] х 1 (пачка картонная)</t>
  </si>
  <si>
    <t>П N011661/01</t>
  </si>
  <si>
    <t>0873400003924000037</t>
  </si>
  <si>
    <t>1970515020224000100</t>
  </si>
  <si>
    <t>https://zakupki.gov.ru/epz/order/notice/ea20/view/common-info.html?regNumber=0873400003924000037</t>
  </si>
  <si>
    <t>0873400003924000037-0001</t>
  </si>
  <si>
    <t>1. Вакцина гепатита В рекомбинантная дрожжевая;
2. 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</si>
  <si>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</t>
  </si>
  <si>
    <t>0873400003924000038</t>
  </si>
  <si>
    <t>1970515020224000098</t>
  </si>
  <si>
    <t>https://zakupki.gov.ru/epz/order/notice/ea20/view/common-info.html?regNumber=0873400003924000038</t>
  </si>
  <si>
    <t>0873400003924000038-0001</t>
  </si>
  <si>
    <t>0873400003924000039</t>
  </si>
  <si>
    <t>1970515020224000099</t>
  </si>
  <si>
    <t>https://zakupki.gov.ru/epz/order/notice/ea20/view/common-info.html?regNumber=0873400003924000039</t>
  </si>
  <si>
    <t>0873400003924000039-0001</t>
  </si>
  <si>
    <t>Вакцина для профилактики вирусного гепатита В (для взрослого населения), суспензия для 
внутримышечного введения, 0,02 мг/мл</t>
  </si>
  <si>
    <t>0873400003924000040</t>
  </si>
  <si>
    <t>https://zakupki.gov.ru/epz/order/notice/ea20/view/common-info.html?regNumber=0873400003924000040</t>
  </si>
  <si>
    <t>Зидовудин, раствор для инфузий, 10 мг/мл</t>
  </si>
  <si>
    <t>0873400003924000041</t>
  </si>
  <si>
    <t>1970515020224000107</t>
  </si>
  <si>
    <t>https://zakupki.gov.ru/epz/order/notice/ea20/view/common-info.html?regNumber=0873400003924000041</t>
  </si>
  <si>
    <t>0873400003924000041-0001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</si>
  <si>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</si>
  <si>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1. ЛС-001143;
2. Р N001972/01.</t>
  </si>
  <si>
    <t>0873400003924000042</t>
  </si>
  <si>
    <t>1970515020224000109</t>
  </si>
  <si>
    <t>https://zakupki.gov.ru/epz/order/notice/ea20/view/common-info.html?regNumber=0873400003924000042</t>
  </si>
  <si>
    <t>0873400003924000042-0001</t>
  </si>
  <si>
    <t>0873400003924000043</t>
  </si>
  <si>
    <t>1970515020224000106</t>
  </si>
  <si>
    <t>https://zakupki.gov.ru/epz/order/notice/ea20/view/common-info.html?regNumber=0873400003924000043</t>
  </si>
  <si>
    <t>0873400003924000043-0001</t>
  </si>
  <si>
    <t>0873400003924000044</t>
  </si>
  <si>
    <t>1970515020224000104</t>
  </si>
  <si>
    <t>https://zakupki.gov.ru/epz/order/notice/ea20/view/common-info.html?regNumber=0873400003924000044</t>
  </si>
  <si>
    <t>0873400003924000044-0001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</si>
  <si>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</si>
  <si>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0873400003924000045</t>
  </si>
  <si>
    <t>1970515020224000111</t>
  </si>
  <si>
    <t>https://zakupki.gov.ru/epz/order/notice/ea20/view/common-info.html?regNumber=0873400003924000045</t>
  </si>
  <si>
    <t>0873400003924000045-0001</t>
  </si>
  <si>
    <t>лиофилизат для приготовления раствора для подкожного введения (ампула) 1 доза х 10 (пачка картонная)</t>
  </si>
  <si>
    <t>0873400003924000046</t>
  </si>
  <si>
    <t>1970515020224000112</t>
  </si>
  <si>
    <t>https://zakupki.gov.ru/epz/order/notice/ea20/view/common-info.html?regNumber=0873400003924000046</t>
  </si>
  <si>
    <t>0873400003924000046-0001</t>
  </si>
  <si>
    <t>0873400003924000047</t>
  </si>
  <si>
    <t>1970515020224000118</t>
  </si>
  <si>
    <t>https://zakupki.gov.ru/epz/order/notice/ea20/view/common-info.html?regNumber=0873400003924000047</t>
  </si>
  <si>
    <t>0873400003924000047-0001</t>
  </si>
  <si>
    <t>ООО "ЭПИДБИОМЕД-ИМПЭКС"</t>
  </si>
  <si>
    <t>Вакцина для профилактики полиомиелита (пероральная), раствор для приема внутрь</t>
  </si>
  <si>
    <t>БиВак полио (Вакцина полиомиелитная пероральная, двухвалентная, живая аттенуированная 1, 3 типов)</t>
  </si>
  <si>
    <t>раствор для приема внутрь 0.2 мл/доза (флакон) 2 мл (10 доз) х 10 (пачка картонная)</t>
  </si>
  <si>
    <t>ЛП-003511</t>
  </si>
  <si>
    <t>0873400003924000048</t>
  </si>
  <si>
    <t>1970515020224000110</t>
  </si>
  <si>
    <t>https://zakupki.gov.ru/epz/order/notice/ea20/view/common-info.html?regNumber=0873400003924000048</t>
  </si>
  <si>
    <t>0873400003924000048-0001</t>
  </si>
  <si>
    <t>Доравирин, таблетки, покрытые пленочной оболочкой, 100 мг</t>
  </si>
  <si>
    <t>Пивелтра</t>
  </si>
  <si>
    <t>таблетки, покрытые пленочной оболочкой, 100 мг (флакон) 30 х 1 (пачка картонная)</t>
  </si>
  <si>
    <t>ЛП-005570</t>
  </si>
  <si>
    <t>0873400003924000049</t>
  </si>
  <si>
    <t>1970515020224000121</t>
  </si>
  <si>
    <t>https://zakupki.gov.ru/epz/order/notice/ea20/view/common-info.html?regNumber=0873400003924000049</t>
  </si>
  <si>
    <t>0873400003924000049-0001</t>
  </si>
  <si>
    <t>0873400003924000050</t>
  </si>
  <si>
    <t>https://zakupki.gov.ru/epz/order/notice/ea20/view/common-info.html?regNumber=0873400003924000050</t>
  </si>
  <si>
    <t>Ламивудин, раствор для приема внутрь, 10 
мг/мл</t>
  </si>
  <si>
    <t>0873400003924000051</t>
  </si>
  <si>
    <t>Зидовудин+Ламивудин, таблетки, покрытые 
пленочной оболочкой, 300 мг +150 мг</t>
  </si>
  <si>
    <t>0873400003924000052</t>
  </si>
  <si>
    <t>1970515020224000105</t>
  </si>
  <si>
    <t>https://zakupki.gov.ru/epz/order/notice/ea20/view/common-info.html?regNumber=0873400003924000052</t>
  </si>
  <si>
    <t>0873400003924000052-0001</t>
  </si>
  <si>
    <t>0873400003924000053</t>
  </si>
  <si>
    <t>1970515020224000120</t>
  </si>
  <si>
    <t>https://zakupki.gov.ru/epz/order/notice/ea20/view/common-info.html?regNumber=0873400003924000053</t>
  </si>
  <si>
    <t>0873400003924000053-0001</t>
  </si>
  <si>
    <t>ООО "Нанофарм"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</si>
  <si>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</si>
  <si>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Анатоксин столбнячный + гемофилус инфлуензэ типа б полисахарид</t>
  </si>
  <si>
    <t>[лиофилизат для приготовления раствора для внутримышечного введения, 0.5мл/доза (ампула) 1 доза х 5 + растворитель: вода для инъекций (ампула) 0.5 мл х 5] х1 (пачка картонная)</t>
  </si>
  <si>
    <t>ЛП-000499</t>
  </si>
  <si>
    <t>0873400003924000054</t>
  </si>
  <si>
    <t>https://zakupki.gov.ru/epz/order/notice/ea20/view/common-info.html?regNumber=0873400003924000054</t>
  </si>
  <si>
    <t>Зидовудин, таблетки, покрытые пленочной 
оболочкой, 300 мг</t>
  </si>
  <si>
    <t>0873400003924000055</t>
  </si>
  <si>
    <t>1970515020224000108</t>
  </si>
  <si>
    <t>https://zakupki.gov.ru/epz/order/notice/ea20/view/common-info.html?regNumber=0873400003924000055</t>
  </si>
  <si>
    <t>0873400003924000055-0001</t>
  </si>
  <si>
    <t>39.63</t>
  </si>
  <si>
    <t>0873400003924000056</t>
  </si>
  <si>
    <t>545 ЗК</t>
  </si>
  <si>
    <t>1970515020224000082</t>
  </si>
  <si>
    <t>https://zakupki.gov.ru/epz/order/notice/ea20/view/common-info.html?regNumber=0873400003924000056</t>
  </si>
  <si>
    <t>0873400003924000056_358372</t>
  </si>
  <si>
    <t>0873400003924000057</t>
  </si>
  <si>
    <t>https://zakupki.gov.ru/epz/order/notice/ea20/view/common-info.html?regNumber=0873400003924000057</t>
  </si>
  <si>
    <t>0873400003924000058</t>
  </si>
  <si>
    <t>https://zakupki.gov.ru/epz/order/notice/ea20/view/common-info.html?regNumber=0873400003924000058</t>
  </si>
  <si>
    <t>0873400003924000059</t>
  </si>
  <si>
    <t>https://zakupki.gov.ru/epz/order/notice/ea20/view/common-info.html?regNumber=0873400003924000059</t>
  </si>
  <si>
    <t>Вакцина для профилактики кори, лиофилизат для 
приготовления раствора для подкожного 
введения</t>
  </si>
  <si>
    <t>65.16</t>
  </si>
  <si>
    <t>0873400003924000060</t>
  </si>
  <si>
    <t>https://zakupki.gov.ru/epz/order/notice/ea20/view/common-info.html?regNumber=0873400003924000060</t>
  </si>
  <si>
    <t>Вакцина для профилактики полиомиелита 
(инактивированная), суспензия для 
внутримышечного и подкожного введения, 
0,5 мл/доза и/или раствор для 
внутримышечного введения, 0,5 мл/доза</t>
  </si>
  <si>
    <t>0873400003924000061</t>
  </si>
  <si>
    <t>https://zakupki.gov.ru/epz/order/notice/ea20/view/common-info.html?regNumber=0873400003924000061</t>
  </si>
  <si>
    <t>Вакцина для профилактики пневмококковых инфекций, суспензия для внутримышечного введения, 0,5 мл/доза</t>
  </si>
  <si>
    <t>0873400003924000062</t>
  </si>
  <si>
    <t>https://zakupki.gov.ru/epz/order/notice/ea20/view/common-info.html?regNumber=0873400003924000062</t>
  </si>
  <si>
    <t>Вакцина против коклюша, дифтерии, столбняка и гепатита В адсорбированная жидкая, суспензия для внутримышечного введения</t>
  </si>
  <si>
    <t>0873400003924000063</t>
  </si>
  <si>
    <t>https://zakupki.gov.ru/epz/order/notice/ea20/view/common-info.html?regNumber=0873400003924000063</t>
  </si>
  <si>
    <t>0873400003924000064</t>
  </si>
  <si>
    <t>https://zakupki.gov.ru/epz/order/notice/ea20/view/common-info.html?regNumber=0873400003924000064</t>
  </si>
  <si>
    <t>0873400003924000065</t>
  </si>
  <si>
    <t>https://zakupki.gov.ru/epz/order/notice/ea20/view/common-info.html?regNumber=0873400003924000065</t>
  </si>
  <si>
    <t>0873400003924000065-0001</t>
  </si>
  <si>
    <t>Ралтегравир, таблетки, покрытые пленочной 
оболочкой, 400 мг</t>
  </si>
  <si>
    <t>1. Ралтегра;
2. РОЛНАВИР®;
3. Ралтегравир ПСК.</t>
  </si>
  <si>
    <t>1. таблетки, покрытые пленочной оболочкой, 400 мг (контурная ячейковая упаковка) 10 х 6 (пачка картонная);
2. таблетки, покрытые пленочной оболочкой, 400 мг (контурная ячейковая упаковка) 10 х 6 (пачка картонная);
3. таблетки, покрытые пленочной оболочкой, 400 мг (блистер) 10 х 6 (пачка картонная).</t>
  </si>
  <si>
    <t>1.ЛП-№(001285)-(РГ-RU);
2.ЛП-008433;
3.ЛП-№(002391)-(РГ-RU).</t>
  </si>
  <si>
    <t>0873400003924000066</t>
  </si>
  <si>
    <t>1970515020224000125</t>
  </si>
  <si>
    <t>https://zakupki.gov.ru/epz/order/notice/ea20/view/common-info.html?regNumber=0873400003924000066</t>
  </si>
  <si>
    <t>0873400003924000066_358372</t>
  </si>
  <si>
    <t>ООО "Алексион Фарма"</t>
  </si>
  <si>
    <t>капсулы, 10 мг (флакон) 60 х 1 (пачка картонная)</t>
  </si>
  <si>
    <t>0873400003924000067</t>
  </si>
  <si>
    <t>1970515020224000127</t>
  </si>
  <si>
    <t>https://zakupki.gov.ru/epz/order/notice/ea20/view/common-info.html?regNumber=0873400003924000067</t>
  </si>
  <si>
    <t>0873400003924000067_358372</t>
  </si>
  <si>
    <t>0873400003924000068</t>
  </si>
  <si>
    <t>1970515020224000124</t>
  </si>
  <si>
    <t>https://zakupki.gov.ru/epz/order/notice/ea20/view/common-info.html?regNumber=0873400003924000068</t>
  </si>
  <si>
    <t xml:space="preserve">0873400003924000068_358372 </t>
  </si>
  <si>
    <t>0873400003924000069</t>
  </si>
  <si>
    <t>1970515020224000123</t>
  </si>
  <si>
    <t>https://zakupki.gov.ru/epz/order/notice/ea20/view/common-info.html?regNumber=0873400003924000069</t>
  </si>
  <si>
    <t>0873400003924000069_358372</t>
  </si>
  <si>
    <t>0873400003924000070</t>
  </si>
  <si>
    <t>1970515020224000122</t>
  </si>
  <si>
    <t>https://zakupki.gov.ru/epz/order/notice/ea20/view/common-info.html?regNumber=0873400003924000070</t>
  </si>
  <si>
    <t>0873400003924000070_358372</t>
  </si>
  <si>
    <t>0873400003924000071</t>
  </si>
  <si>
    <t>1970515020224000132</t>
  </si>
  <si>
    <t>https://zakupki.gov.ru/epz/order/notice/ea20/view/common-info.html?regNumber=0873400003924000071</t>
  </si>
  <si>
    <t>0873400003924000071_358372</t>
  </si>
  <si>
    <t>0873400003924000072</t>
  </si>
  <si>
    <t>1970515020224000134</t>
  </si>
  <si>
    <t>https://zakupki.gov.ru/epz/order/notice/ea20/view/common-info.html?regNumber=0873400003924000072</t>
  </si>
  <si>
    <t>0873400003924000072_358372</t>
  </si>
  <si>
    <t>0873400003924000073</t>
  </si>
  <si>
    <t>1970515020224000129</t>
  </si>
  <si>
    <t>https://zakupki.gov.ru/epz/order/notice/ea20/view/common-info.html?regNumber=0873400003924000073</t>
  </si>
  <si>
    <t>0873400003924000073-0001</t>
  </si>
  <si>
    <t>Фактор свертывания крови IX, лиофилизат для 
приготовления раствора для внутривенного 
введения и/или инфузий, 250 МЕ</t>
  </si>
  <si>
    <t>лиофилизат для приготовления раствора для инфузий, 250 МЕ (флакон) 250 МЕ х 1 (пачка картонная) + [растворитель - вода для инъекций (флакон) 5 мл х 1 + шприц х 1+ игла двухконцевая х 1+ игла фильтровальная х 1+ игла-бабочка х 1 + салфетка дезинфицирующая х 2] х 1 (пачка картонная)</t>
  </si>
  <si>
    <t>0873400003924000074</t>
  </si>
  <si>
    <t>1970515020224000131</t>
  </si>
  <si>
    <t>https://zakupki.gov.ru/epz/order/notice/ea20/view/common-info.html?regNumber=0873400003924000074</t>
  </si>
  <si>
    <t>0873400003924000074-0001</t>
  </si>
  <si>
    <t>Фактор свертывания крови VIII, лиофилизат для 
приготовления раствора для внутривенного 
введения и/или инфузий, 500 МЕ</t>
  </si>
  <si>
    <t>Эйтоплазм</t>
  </si>
  <si>
    <t>[лиофилизат для приготовления раствора для внутривенного введения, 500 МЕ, (флакон) 500 МЕ × 1 + (растворитель: вода для инъекций) (флакон) 10 мл × 1 + (шприц одноразовый без иглы/ с иглой) × 1 + (фильтр-канюля) × 2 + (игла-бабочка с удлинителем) × 1 + (лейкопластырь) × 1 + (салфетка спиртовая) × 2] × 1 (пачка картонная)</t>
  </si>
  <si>
    <t>ЛП-№(002279)-(РГ-RU)</t>
  </si>
  <si>
    <t>0873400003924000075</t>
  </si>
  <si>
    <t>https://zakupki.gov.ru/epz/order/notice/ea20/view/common-info.html?regNumber=0873400003924000075</t>
  </si>
  <si>
    <t>0873400003924000075-0001</t>
  </si>
  <si>
    <t>Элсульфавирин, капсулы, 20 мг</t>
  </si>
  <si>
    <t>ЭЛПИДА®</t>
  </si>
  <si>
    <t>капсулы, 20 мг (флакон) 30 х 1 (пачка картонная)</t>
  </si>
  <si>
    <t>ЛП-004360</t>
  </si>
  <si>
    <t>0873400003924000076</t>
  </si>
  <si>
    <t>https://zakupki.gov.ru/epz/order/notice/ea20/view/common-info.html?regNumber=0873400003924000076</t>
  </si>
  <si>
    <t>0873400003924000076-0001</t>
  </si>
  <si>
    <t>1. Вилате;
2. Вилате®.</t>
  </si>
  <si>
    <t>1.лиофилизат для приготовления раствора для внутривенного введения, 900 МЕ фактора свертывания крови VIII + 800 МЕ фактора Виллебранда (флакон) [900 МЕ фактора свертывания крови VIII + 800 МЕ фактора Виллебранда] x 1 (пачка картонная), [растворитель (0,1 % раствор полисорбата 80 в воде для инъекций) (флакон) 10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картонная);
2. лиофилизат для приготовления раствора для внутривенного введения, 900 МЕ VIII + 800 МЕ (флакон) [900 МЕ + 800 МЕ] x 1 (пачка картонная) [растворитель (0,1 % раствор полисорбата 80 в воде для инъекций) (флакон) 10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картонная).</t>
  </si>
  <si>
    <t>1. ЛС-002306;
2. ЛС-002306.</t>
  </si>
  <si>
    <t>0873400003924000077</t>
  </si>
  <si>
    <t>https://zakupki.gov.ru/epz/order/notice/ea20/view/common-info.html?regNumber=0873400003924000077</t>
  </si>
  <si>
    <t>0873400003924000077-0001</t>
  </si>
  <si>
    <t>Идурсульфаза, концентрат для 
приготовления раствора для инфузий, 2 мг/мл</t>
  </si>
  <si>
    <t>Элапраза®</t>
  </si>
  <si>
    <t>концентрат для приготовления раствора для инфузий, 2 мг/мл (флакон) 3 мл х 1 (пачка картонная)</t>
  </si>
  <si>
    <t>ЛП-№(001048)-(РГ-RU)</t>
  </si>
  <si>
    <t>0873400003924000078</t>
  </si>
  <si>
    <t>https://zakupki.gov.ru/epz/order/notice/ea20/view/common-info.html?regNumber=0873400003924000078</t>
  </si>
  <si>
    <t>0873400003924000078_358372</t>
  </si>
  <si>
    <t>Аталурен, порошок для приема внутрь, 1000 мг</t>
  </si>
  <si>
    <t>0873400003924000079</t>
  </si>
  <si>
    <t>https://zakupki.gov.ru/epz/order/notice/ea20/view/common-info.html?regNumber=0873400003924000079</t>
  </si>
  <si>
    <t>0873400003924000079-0001</t>
  </si>
  <si>
    <t>1.Октанат;
2.Октанат;
3.Октанат;
4.Октанат;
5.Октанат;
6.Октанат.</t>
  </si>
  <si>
    <t>1.лиофилизат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</si>
  <si>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1.П N016162/01;
2.П N016162/01;
3.П N016162/01;
4.П N016162/01;
5.П N016162/01;
6.П N016162/01.</t>
  </si>
  <si>
    <t>1.500;
2.500;
3.500;
4.500;
5.500;
6.500.</t>
  </si>
  <si>
    <t>0873400003924000080</t>
  </si>
  <si>
    <t>https://zakupki.gov.ru/epz/order/notice/ea20/view/common-info.html?regNumber=0873400003924000080</t>
  </si>
  <si>
    <t>0873400003924000080-0001</t>
  </si>
  <si>
    <t>Микофенолата мофетил, капсулы и/или 
таблетки, покрытые пленочной оболочкой, 
500 мг</t>
  </si>
  <si>
    <t>1.Фломирен;
2.Микофенолата мофетил;
3.МИКОФЕНОЛАТА МОФЕТИЛ-ТЛ.</t>
  </si>
  <si>
    <t>1. таблетки, покрытые пленочной оболочкой, 500 мг (контурная ячейковая упаковка) 10 х 5 (пачка картонная);
2. таблетки, покрытые пленочной оболочкой, 500 мг (контурная ячейковая упаковка) 10 х 5 (пачка картонная);
3. таблетки, покрытые пленочной оболочкой, 500 мг (банка) 50 х 1 (пачка картонная).</t>
  </si>
  <si>
    <t>1.ЛП-№(000234)-(РГ-RU);
2.ЛП-005113;
3.ЛП-001706.</t>
  </si>
  <si>
    <t>0873400003924000081</t>
  </si>
  <si>
    <t>https://zakupki.gov.ru/epz/order/notice/ea20/view/common-info.html?regNumber=0873400003924000081</t>
  </si>
  <si>
    <t>0873400003924000081-0001</t>
  </si>
  <si>
    <t xml:space="preserve">Эптаког альфа (активированный), лиофилизат для приготовления раствора для внутривенного 
введения, 1,2 мг (60 КЕД) </t>
  </si>
  <si>
    <t>Коагил-VII®</t>
  </si>
  <si>
    <t>[лиофилизат для приготовления раствора для внутривенного введения, 1.2 мг (флакон) х 1 + растворитель (флакон) 5 мл х 1 + шприц х 1 + канюля х 2 + катетер для периферических вен х 1 + салфетка спиртовая х 2] х 1 (пачка картонная)</t>
  </si>
  <si>
    <t>ЛСР-010225/09</t>
  </si>
  <si>
    <t>0873400003924000082</t>
  </si>
  <si>
    <t>https://zakupki.gov.ru/epz/order/notice/ea20/view/common-info.html?regNumber=0873400003924000082</t>
  </si>
  <si>
    <t>0873400003924000082-0001</t>
  </si>
  <si>
    <t>Октоког альфа, лиофилизат для приготовления 
раствора для внутривенного введения, 500 МЕ</t>
  </si>
  <si>
    <t>1.Адвейт®;
2.Адвейт®.</t>
  </si>
  <si>
    <t>1.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</si>
  <si>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1.ЛП-002447;
2.ЛП-№(001976)-(РГ-RU).</t>
  </si>
  <si>
    <t>0873400003924000083</t>
  </si>
  <si>
    <t>https://zakupki.gov.ru/epz/order/notice/ea20/view/common-info.html?regNumber=0873400003924000083</t>
  </si>
  <si>
    <t>0873400003924000083-0001</t>
  </si>
  <si>
    <t>Деламанид, таблетки, покрытые пленочной 
оболочкой 50 мг</t>
  </si>
  <si>
    <t>Дельтиба®</t>
  </si>
  <si>
    <t>таблетки, покрытые пленочной оболочкой, 50 мг (блистер) 8 х 6 (пачка картонная)</t>
  </si>
  <si>
    <t>ЛП-N (000057)-(РГ-RU)</t>
  </si>
  <si>
    <t>0873400003924000084</t>
  </si>
  <si>
    <t>https://zakupki.gov.ru/epz/order/notice/ea20/view/common-info.html?regNumber=0873400003924000084</t>
  </si>
  <si>
    <t>Протионамид, таблетки, покрытые оболочкой и/или таблетки, покрытые пленочной оболочкой, 250 мг</t>
  </si>
  <si>
    <t>0873400003924000085</t>
  </si>
  <si>
    <t>https://zakupki.gov.ru/epz/order/notice/ea20/view/common-info.html?regNumber=0873400003924000085</t>
  </si>
  <si>
    <t>0873400003924000085-0001</t>
  </si>
  <si>
    <t>Теризидон, капсулы, 150 мг</t>
  </si>
  <si>
    <t>1. Локсидон;
2. Теризидон-Мак.</t>
  </si>
  <si>
    <t>1. капсулы, 150 мг (банка) 100 х 1 (пачка картонная);
2. капсулы, 150 мг (стрип) 10 х 10 (пачка картонная).</t>
  </si>
  <si>
    <t>1. ЛП-002373
2. ЛП-001804</t>
  </si>
  <si>
    <t>0873400003924000086</t>
  </si>
  <si>
    <t>https://zakupki.gov.ru/epz/order/notice/ea20/view/common-info.html?regNumber=0873400003924000086</t>
  </si>
  <si>
    <t>0873400003924000086-0001</t>
  </si>
  <si>
    <t>Фактор свертывания крови VIII, лиофилизат для 
приготовления раствора для внутривенного 
введения и/или инфузий, 1000 МЕ</t>
  </si>
  <si>
    <t>[лиофилизат для приготовления раствора для внутривенного введения, 1000 МЕ (флакон) 1000 МЕ × 1 + (растворитель: вода для инъекций) (флакон) 10 мл × 1 + (шприц одноразовый с иглой) × 1 + (фильтр-канюля) × 2 + (игла-бабочка с удлинителем) × 1 + (лейкопластырь) × 1 + (салфетка спиртовая) × 2] × 1 (пачка картонная)</t>
  </si>
  <si>
    <t>0873400003924000087</t>
  </si>
  <si>
    <t>https://zakupki.gov.ru/epz/order/notice/ea20/view/common-info.html?regNumber=0873400003924000087</t>
  </si>
  <si>
    <t>Даратумумаб, концентрат для приготовления 
раствора для инфузий 20 мг/мл, 5,0 мл</t>
  </si>
  <si>
    <t>0873400003924000088</t>
  </si>
  <si>
    <t>https://zakupki.gov.ru/epz/order/notice/ea20/view/common-info.html?regNumber=0873400003924000088</t>
  </si>
  <si>
    <t>0873400003924000088-0001</t>
  </si>
  <si>
    <t>1.лиофилизат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</si>
  <si>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0873400003924000089</t>
  </si>
  <si>
    <t>https://zakupki.gov.ru/epz/order/notice/ea20/view/common-info.html?regNumber=0873400003924000089</t>
  </si>
  <si>
    <t>0873400003924000089-0001</t>
  </si>
  <si>
    <t xml:space="preserve">Бедаквилин, таблетки, 100 мг </t>
  </si>
  <si>
    <t>0873400003924000090</t>
  </si>
  <si>
    <t>https://zakupki.gov.ru/epz/order/notice/ea20/view/common-info.html?regNumber=0873400003924000090</t>
  </si>
  <si>
    <t>0873400003924000090-0001</t>
  </si>
  <si>
    <t xml:space="preserve"> Тиоуреидоиминометилпиридиния перхлорат, таблетки покрытые пленочной оболочкой, 400 мг в рамках реализации постановления Правительства Российской Федерации от 28.12.2016 № 1512</t>
  </si>
  <si>
    <t>Перхлозон®</t>
  </si>
  <si>
    <t>таблетки, покрытые пленочной оболочкой, 400 мг (банка) 100 х 1 (пачка картонная)</t>
  </si>
  <si>
    <t>ЛП-001899</t>
  </si>
  <si>
    <t>0873400003924000091</t>
  </si>
  <si>
    <t>https://zakupki.gov.ru/epz/order/notice/ea20/view/common-info.html?regNumber=0873400003924000091</t>
  </si>
  <si>
    <t>0873400003924000091-0001</t>
  </si>
  <si>
    <t>ООО "Медикал лизинг-консалтинг" (ООО "МЛК")</t>
  </si>
  <si>
    <t>Теризидон, капсулы, 250 мг</t>
  </si>
  <si>
    <t>1. Теризидон;
2. Теризидон;
3. Теризидон;
4. Локсидон.</t>
  </si>
  <si>
    <t>1. капсулы, 250 мг (контурная ячейковая упаковка) 10 х 3 (пачка картонная);
2. капсулы, 250 мг (блистер) 10 х 3 (пачка картонная);
3. капсулы, 250 мг (контурная ячейковая упаковка) 10 х 10 (пачка картонная);
4. капсулы, 250 мг (банка) 100 х 1 (пачка картонная).</t>
  </si>
  <si>
    <t>1. ЛП-№(002744)-(РГ-RU);
2. ЛП-003570;
3. ЛП-003676;
4. ЛП-002373.</t>
  </si>
  <si>
    <t>1.30;
2.30;
3.100;
4.100.</t>
  </si>
  <si>
    <t>0873400003924000092</t>
  </si>
  <si>
    <t>https://zakupki.gov.ru/epz/order/notice/ea20/view/common-info.html?regNumber=0873400003924000092</t>
  </si>
  <si>
    <t>0873400003924000092-0001</t>
  </si>
  <si>
    <t>Вакцина для профилактики вирусного гепатита В, дифтерии и столбняка, суспензия для 
внутримышечного введения</t>
  </si>
  <si>
    <t>Бубо®-М (Вакцина комбинированная гепатита В и анатоксина дифтерийно-столбнячного 
с уменьшенным содержанием антигенов адсорбированная жидкая)</t>
  </si>
  <si>
    <t>Р N000048/01</t>
  </si>
  <si>
    <t>0873400003924000093</t>
  </si>
  <si>
    <t>https://zakupki.gov.ru/epz/order/notice/ea20/view/common-info.html?regNumber=0873400003924000093</t>
  </si>
  <si>
    <t>0873400003924000093-0001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</si>
  <si>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500 мг</t>
  </si>
  <si>
    <t>Капреомицин</t>
  </si>
  <si>
    <t>порошок для приготовления раствора для внутривенного и внутримышечного введения 500 мг (флакон) х 1 (пачка картонная)</t>
  </si>
  <si>
    <t>ЛП-№(001437)-(РГ-RU)</t>
  </si>
  <si>
    <t>0873400003924000094</t>
  </si>
  <si>
    <t>https://zakupki.gov.ru/epz/order/notice/ea20/view/common-info.html?regNumber=0873400003924000094</t>
  </si>
  <si>
    <t>0873400003924000094-0001</t>
  </si>
  <si>
    <t>Теризидон, капсулы, 300 мг</t>
  </si>
  <si>
    <t>1. Теризидон-Мак;
2. Локсидон®;
3. Теризидон.</t>
  </si>
  <si>
    <t>1. капсулы, 300 мг (стрип) 10 х 10 (пачка картонная);
2. капсулы, 300мг (банка) 100 х 1 (пачка картонная);
3. капсулы, 300 мг (блистер) 10 х 10 (пачка картонная).</t>
  </si>
  <si>
    <t>1. ЛП-001804
2. ЛП-№(001153)-(РГ-RU)
3. ЛП-№(000999)-(РГ-RU)</t>
  </si>
  <si>
    <t>0873400003924000095</t>
  </si>
  <si>
    <t>https://zakupki.gov.ru/epz/order/notice/ea20/view/common-info.html?regNumber=0873400003924000095</t>
  </si>
  <si>
    <t>0873400003924000095-0001</t>
  </si>
  <si>
    <t>ООО "ЭДВАНСД ТРЕЙДИНГ"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</si>
  <si>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750 мг</t>
  </si>
  <si>
    <t>порошок для приготовления раствора для внутривенного и внутримышечного введения, 750 мг (флакон) х 1 (пачка картонная)</t>
  </si>
  <si>
    <t>ЛП-005400</t>
  </si>
  <si>
    <t>0873400003924000096</t>
  </si>
  <si>
    <t>1512 вич 
ЗК</t>
  </si>
  <si>
    <t>https://zakupki.gov.ru/epz/order/notice/ea20/view/common-info.html?regNumber=0873400003924000096</t>
  </si>
  <si>
    <t>Абакавир, раствор для приема внутрь, 20 мг/мл</t>
  </si>
  <si>
    <t>0873400003924000097</t>
  </si>
  <si>
    <t>https://zakupki.gov.ru/epz/order/notice/ea20/view/common-info.html?regNumber=0873400003924000097</t>
  </si>
  <si>
    <t>0873400003924000097_358372</t>
  </si>
  <si>
    <t>раствор для подкожного введения, 40 мг/мл (флакон) 40 мг/1.0 мл х 12 (пачка картонная)</t>
  </si>
  <si>
    <t>0873400003924000098</t>
  </si>
  <si>
    <t>1512 туб 
ЗК</t>
  </si>
  <si>
    <t>https://zakupki.gov.ru/epz/order/notice/ea20/view/common-info.html?regNumber=0873400003924000098</t>
  </si>
  <si>
    <t>0873400003924000099</t>
  </si>
  <si>
    <t>1970515020224000101</t>
  </si>
  <si>
    <t>https://zakupki.gov.ru/epz/order/notice/ea20/view/common-info.html?regNumber=0873400003924000099</t>
  </si>
  <si>
    <t>0873400003924000099-0001</t>
  </si>
  <si>
    <t>ООО "Виренд Интернейшнл"</t>
  </si>
  <si>
    <t>Абакавир+Ламивудин</t>
  </si>
  <si>
    <t>таблетки, покрытые пленочной оболочкой, 600 мг + 300 мг (банка) 50 х 1 (пачка картонная)</t>
  </si>
  <si>
    <t>ЛП-004209</t>
  </si>
  <si>
    <t>0873400003924000100</t>
  </si>
  <si>
    <t>https://zakupki.gov.ru/epz/order/notice/ea20/view/common-info.html?regNumber=0873400003924000100</t>
  </si>
  <si>
    <t>0873400003924000101</t>
  </si>
  <si>
    <t>1970515020224000102</t>
  </si>
  <si>
    <t>https://zakupki.gov.ru/epz/order/notice/ea20/view/common-info.html?regNumber=0873400003924000101</t>
  </si>
  <si>
    <t>0873400003924000101-0001</t>
  </si>
  <si>
    <t>1.Локсидон;
2.Теризидон.</t>
  </si>
  <si>
    <t>1. капсулы, 250 мг (банка) 100 х 1 (пачка картонная);
2. капсулы, 250 мг (блистер) 10 х 10 (пачка картонная).</t>
  </si>
  <si>
    <t>1. ЛП-002373;
2. ЛП-№(000999)-(РГ-RU).</t>
  </si>
  <si>
    <t>0873400003924000102</t>
  </si>
  <si>
    <t>1970515020224000103</t>
  </si>
  <si>
    <t>https://zakupki.gov.ru/epz/order/notice/ea20/view/common-info.html?regNumber=0873400003924000102</t>
  </si>
  <si>
    <t>0873400003924000102-0001</t>
  </si>
  <si>
    <t>0873400003924000103</t>
  </si>
  <si>
    <t>https://zakupki.gov.ru/epz/order/notice/ea20/view/common-info.html?regNumber=0873400003924000103</t>
  </si>
  <si>
    <t>0873400003924000104</t>
  </si>
  <si>
    <t>https://zakupki.gov.ru/epz/order/notice/ea20/view/common-info.html?regNumber=0873400003924000104</t>
  </si>
  <si>
    <t>Протионамид, таблетки, покрытые 
оболочкой и/или таблетки, покрытые 
пленочной оболочкой, 250 мг</t>
  </si>
  <si>
    <t>0873400003924000105</t>
  </si>
  <si>
    <t>https://zakupki.gov.ru/epz/order/notice/ea20/view/common-info.html?regNumber=0873400003924000105</t>
  </si>
  <si>
    <t>0873400003924000106</t>
  </si>
  <si>
    <t>https://zakupki.gov.ru/epz/order/notice/ea20/view/common-info.html?regNumber=0873400003924000106</t>
  </si>
  <si>
    <t>0873400003924000107</t>
  </si>
  <si>
    <t>1970515020224000114</t>
  </si>
  <si>
    <t>https://zakupki.gov.ru/epz/order/notice/ea20/view/common-info.html?regNumber=0873400003924000107</t>
  </si>
  <si>
    <t>0873400003924000107-0001</t>
  </si>
  <si>
    <t>Спарфлоксацин, таблетки, покрытые 
оболочкой и/или таблетки, покрытые, 
пленочной оболочкой, 200 мг</t>
  </si>
  <si>
    <t>Флоксимар</t>
  </si>
  <si>
    <t>таблетки, покрытые пленочной оболочкой, 200 мг (контурная ячейковая упаковка) 7 х 1 (пачка картонная)</t>
  </si>
  <si>
    <t>ЛП-005088</t>
  </si>
  <si>
    <t>0873400003924000108</t>
  </si>
  <si>
    <t>1970515020224000115</t>
  </si>
  <si>
    <t>https://zakupki.gov.ru/epz/order/notice/ea20/view/common-info.html?regNumber=0873400003924000108</t>
  </si>
  <si>
    <t>0873400003924000108-0001</t>
  </si>
  <si>
    <t>Локсидон</t>
  </si>
  <si>
    <t>капсулы, 150 мг (банка) 100 х 1 (пачка картонная)</t>
  </si>
  <si>
    <t>ЛП-002373</t>
  </si>
  <si>
    <t>0873400003924000109</t>
  </si>
  <si>
    <t>https://zakupki.gov.ru/epz/order/notice/ea20/view/common-info.html?regNumber=0873400003924000109</t>
  </si>
  <si>
    <t>0873400003924000110</t>
  </si>
  <si>
    <t>https://zakupki.gov.ru/epz/order/notice/ea20/view/common-info.html?regNumber=0873400003924000110</t>
  </si>
  <si>
    <t>0873400003924000110-0001</t>
  </si>
  <si>
    <t>0873400003924000111</t>
  </si>
  <si>
    <t>https://zakupki.gov.ru/epz/order/notice/ea20/view/common-info.html?regNumber=0873400003924000111</t>
  </si>
  <si>
    <t>0873400003924000112</t>
  </si>
  <si>
    <t>https://zakupki.gov.ru/epz/order/notice/ea20/view/common-info.html?regNumber=0873400003924000112</t>
  </si>
  <si>
    <t>0873400003924000113</t>
  </si>
  <si>
    <t>https://zakupki.gov.ru/epz/order/notice/ea20/view/common-info.html?regNumber=0873400003924000113</t>
  </si>
  <si>
    <t>0873400003924000113-0001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</si>
  <si>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</t>
  </si>
  <si>
    <t>порошок для приготовления раствора для внутривенного и внутримышечного введения, 1 г (флакон) х 1 (пачка картонная)</t>
  </si>
  <si>
    <t>ЛП-005432</t>
  </si>
  <si>
    <t>0873400003924000114</t>
  </si>
  <si>
    <t>https://zakupki.gov.ru/epz/order/notice/ea20/view/common-info.html?regNumber=0873400003924000114</t>
  </si>
  <si>
    <t>0873400003924000115</t>
  </si>
  <si>
    <t>https://zakupki.gov.ru/epz/order/notice/ea20/view/common-info.html?regNumber=0873400003924000115</t>
  </si>
  <si>
    <t>0873400003924000116</t>
  </si>
  <si>
    <t>https://zakupki.gov.ru/epz/order/notice/ea20/view/common-info.html?regNumber=0873400003924000116</t>
  </si>
  <si>
    <t>0873400003924000117</t>
  </si>
  <si>
    <t>1970515020224000116</t>
  </si>
  <si>
    <t>https://zakupki.gov.ru/epz/order/notice/ea20/view/common-info.html?regNumber=0873400003924000117</t>
  </si>
  <si>
    <t>0873400003924000117-0001</t>
  </si>
  <si>
    <t>Тиоуреидоиминометилпиридиния перхлорат, 
таблетки покрытые пленочной оболочкой, 
400 мг</t>
  </si>
  <si>
    <t>0873400003924000118</t>
  </si>
  <si>
    <t>https://zakupki.gov.ru/epz/order/notice/ea20/view/common-info.html?regNumber=0873400003924000118</t>
  </si>
  <si>
    <t>0873400003924000118-0001</t>
  </si>
  <si>
    <t>0873400003924000119</t>
  </si>
  <si>
    <t>https://zakupki.gov.ru/epz/order/notice/ea20/view/common-info.html?regNumber=0873400003924000119</t>
  </si>
  <si>
    <t>0873400003924000120</t>
  </si>
  <si>
    <t>https://zakupki.gov.ru/epz/order/notice/ea20/view/common-info.html?regNumber=0873400003924000120</t>
  </si>
  <si>
    <t>Ламивудин, раствор для приема внутрь, 10 мг/мл</t>
  </si>
  <si>
    <t>0873400003924000121</t>
  </si>
  <si>
    <t>https://zakupki.gov.ru/epz/order/notice/ea20/view/common-info.html?regNumber=0873400003924000121</t>
  </si>
  <si>
    <t>0873400003924000122</t>
  </si>
  <si>
    <t>https://zakupki.gov.ru/epz/order/notice/ea20/view/common-info.html?regNumber=0873400003924000122</t>
  </si>
  <si>
    <t>0873400003924000123</t>
  </si>
  <si>
    <t>https://zakupki.gov.ru/epz/order/notice/ea20/view/common-info.html?regNumber=0873400003924000123</t>
  </si>
  <si>
    <t>0873400003924000125</t>
  </si>
  <si>
    <t>https://zakupki.gov.ru/epz/order/notice/ea20/view/common-info.html?regNumber=0873400003924000125</t>
  </si>
  <si>
    <t>0873400003924000126</t>
  </si>
  <si>
    <t>https://zakupki.gov.ru/epz/order/notice/ea20/view/common-info.html?regNumber=0873400003924000126</t>
  </si>
  <si>
    <t>0873400003924000127</t>
  </si>
  <si>
    <t>https://zakupki.gov.ru/epz/order/notice/ea20/view/common-info.html?regNumber=0873400003924000127</t>
  </si>
  <si>
    <t>0873400003924000127-0001</t>
  </si>
  <si>
    <t>Ралтегра</t>
  </si>
  <si>
    <t>таблетки, покрытые пленочной оболочкой, 400 мг (контурная ячейковая упаковка) 10 х 6 (пачка картонная)</t>
  </si>
  <si>
    <t>ЛП-№(001285)-(РГ-RU)</t>
  </si>
  <si>
    <t>0873400003924000128</t>
  </si>
  <si>
    <t>https://zakupki.gov.ru/epz/order/notice/ea20/view/common-info.html?regNumber=0873400003924000128</t>
  </si>
  <si>
    <t>0873400003924000129</t>
  </si>
  <si>
    <t>https://zakupki.gov.ru/epz/order/notice/ea20/view/common-info.html?regNumber=0873400003924000129</t>
  </si>
  <si>
    <t>0873400003924000129-0001</t>
  </si>
  <si>
    <t>ООО "АлькорФарм"</t>
  </si>
  <si>
    <t>ЭЛПИДА® КОМБИ</t>
  </si>
  <si>
    <t>таблетки, покрытые пленочной оболочкой, 245 мг+20 мг+200 мг (флакон) 30 х 1 (пачка картонная)</t>
  </si>
  <si>
    <t>ЛП-008067</t>
  </si>
  <si>
    <t>0873400003924000130</t>
  </si>
  <si>
    <t>https://zakupki.gov.ru/epz/order/notice/ea20/view/common-info.html?regNumber=0873400003924000130</t>
  </si>
  <si>
    <t>0873400003924000131</t>
  </si>
  <si>
    <t>https://zakupki.gov.ru/epz/order/notice/ea20/view/common-info.html?regNumber=0873400003924000131</t>
  </si>
  <si>
    <t>0873400003924000131-0001</t>
  </si>
  <si>
    <t>таблетки, покрытые пленочной оболочкой, 400 мг (банка) 60 х 1 (пачка картонная)</t>
  </si>
  <si>
    <t>ЛП-002513</t>
  </si>
  <si>
    <t>0873400003924000132</t>
  </si>
  <si>
    <t>https://zakupki.gov.ru/epz/order/notice/ea20/view/common-info.html?regNumber=0873400003924000132</t>
  </si>
  <si>
    <t>0873400003924000132-0001</t>
  </si>
  <si>
    <t>0873400003924000133</t>
  </si>
  <si>
    <t>https://zakupki.gov.ru/epz/order/notice/ea20/view/common-info.html?regNumber=0873400003924000133</t>
  </si>
  <si>
    <t>0873400003924000134</t>
  </si>
  <si>
    <t>https://zakupki.gov.ru/epz/order/notice/ea20/view/common-info.html?regNumber=0873400003924000134</t>
  </si>
  <si>
    <t>0873400003924000135</t>
  </si>
  <si>
    <t>https://zakupki.gov.ru/epz/order/notice/ea20/view/common-info.html?regNumber=0873400003924000135</t>
  </si>
  <si>
    <t>0873400003924000136</t>
  </si>
  <si>
    <t>https://zakupki.gov.ru/epz/order/notice/ea20/view/common-info.html?regNumber=0873400003924000136</t>
  </si>
  <si>
    <t>0873400003924000136-0001</t>
  </si>
  <si>
    <t>1. Дарунавир
2. Дарунавир
3. Дарунавир
4. Кемерувир®</t>
  </si>
  <si>
    <t>1. таблетки, покрытые пленочной оболочкой, 600 мг (банка) 60 х 1 (пачка картонная);
2. таблетки, покрытые пленочной оболочкой, 600 мг (контурная ячейковая упаковка) 10 х 6 (пачка картонная);
3. таблетки, покрытые пленочной оболочкой, 600 мг (банка) 60 х 1 (пачка картонная);
4. таблетки, покрытые пленочной оболочкой, 600 мг (банка) 60 х 1 (пачка картонная).</t>
  </si>
  <si>
    <t>1. ЛП-002513
2. ЛП-007612
3. ЛП-006730
4. ЛП-№(000210)-(РГ-RU)</t>
  </si>
  <si>
    <t>0873400003924000137</t>
  </si>
  <si>
    <t>https://zakupki.gov.ru/epz/order/notice/ea20/view/common-info.html?regNumber=0873400003924000137</t>
  </si>
  <si>
    <t>0873400003924000137-0001</t>
  </si>
  <si>
    <t>1. Амивирен
2. Гептавир-150</t>
  </si>
  <si>
    <t>1. таблетки, покрытые пленочной оболочкой, 150 мг (контурная ячейковая упаковка) 10 х 6 (пачка картонная);
2. таблетки, покрытые пленочной оболочкой, 150 мг (банка) 60 х 1 (пачка картонная).</t>
  </si>
  <si>
    <t>1. ЛП-№(001309)-(РГ-RU);
2. ЛП-001541.</t>
  </si>
  <si>
    <t>0873400003924000138</t>
  </si>
  <si>
    <t>https://zakupki.gov.ru/epz/order/notice/ea20/view/common-info.html?regNumber=0873400003924000138</t>
  </si>
  <si>
    <t>0873400003924000138-0001</t>
  </si>
  <si>
    <t>Интерферон бета-1b, лиофилизат для 
приготовления раствора для подкожного 
введения, 9,6 млн. МЕ и/или раствор 
для подкожного введения, 8 млн. МЕ/0,5 мл</t>
  </si>
  <si>
    <t>0873400003924000139</t>
  </si>
  <si>
    <t>1416 ЗК</t>
  </si>
  <si>
    <t>https://zakupki.gov.ru/epz/order/notice/ea20/view/common-info.html?regNumber=0873400003924000139</t>
  </si>
  <si>
    <t>0873400003924000140</t>
  </si>
  <si>
    <t>https://zakupki.gov.ru/epz/order/notice/ea20/view/common-info.html?regNumber=0873400003924000140</t>
  </si>
  <si>
    <t>Циклоспорин, раствор для приема внутрь 100 
мг/мл</t>
  </si>
  <si>
    <t>0873400003924000142</t>
  </si>
  <si>
    <t>https://zakupki.gov.ru/epz/order/notice/ea20/view/common-info.html?regNumber=0873400003924000142</t>
  </si>
  <si>
    <t>0873400003924000142-0001</t>
  </si>
  <si>
    <t>таблетки, покрытые пленочной оболочкой, 400 мг (банка) 30 х 1 (пачка картонная)</t>
  </si>
  <si>
    <t>0873400003924000143</t>
  </si>
  <si>
    <t>https://zakupki.gov.ru/epz/order/notice/ea20/view/common-info.html?regNumber=0873400003924000143</t>
  </si>
  <si>
    <t>0873400003924000143-0001</t>
  </si>
  <si>
    <t>Кемерувир®</t>
  </si>
  <si>
    <t>таблетки, покрытые пленочной оболочкой, 600 мг (банка) 60 х 1 (пачка картонная)</t>
  </si>
  <si>
    <t>ЛП-№(000210)-(РГ-RU)</t>
  </si>
  <si>
    <t>0873400003924000144</t>
  </si>
  <si>
    <t>https://zakupki.gov.ru/epz/order/notice/ea20/view/common-info.html?regNumber=0873400003924000144</t>
  </si>
  <si>
    <t>0873400003924000144-0001</t>
  </si>
  <si>
    <t>Инфибета®</t>
  </si>
  <si>
    <t>[лиофилизат для приготовления раствора для подкожного введения, 0.3 мг (9.6 млн. МЕ) (флакон) х 15 + растворитель (флакон) 1.2 мл х 15 + шприц 2 мл х 15 + шприц 1 мл х 15 + игла длинная х 30 + игла короткая х 15 + салфетка спиртовая х 30] х 1 (пачка картонная)</t>
  </si>
  <si>
    <t>ЛП-000869</t>
  </si>
  <si>
    <t>0873400003924000145</t>
  </si>
  <si>
    <t>https://zakupki.gov.ru/epz/order/notice/ea20/view/common-info.html?regNumber=0873400003924000145</t>
  </si>
  <si>
    <t>0873400003924000146</t>
  </si>
  <si>
    <t>https://zakupki.gov.ru/epz/order/notice/ea20/view/common-info.html?regNumber=0873400003924000146</t>
  </si>
  <si>
    <t>0873400003924000148</t>
  </si>
  <si>
    <t>https://zakupki.gov.ru/epz/order/notice/ea20/view/common-info.html?regNumber=0873400003924000148</t>
  </si>
  <si>
    <t>0873400003924000148-0001</t>
  </si>
  <si>
    <t>ООО "АТОНФАРМ"</t>
  </si>
  <si>
    <t>Элисо</t>
  </si>
  <si>
    <t>лиофилизат для приготовления концентрата для приготовления раствора для инфузий, 200 ЕД (флакон) х 1 (пачка картонная)</t>
  </si>
  <si>
    <t>ЛП-004410</t>
  </si>
  <si>
    <t>0873400003924000149</t>
  </si>
  <si>
    <t>https://zakupki.gov.ru/epz/order/notice/ea20/view/common-info.html?regNumber=0873400003924000149</t>
  </si>
  <si>
    <t>0873400003924000149-0001</t>
  </si>
  <si>
    <t>0873400003924000150</t>
  </si>
  <si>
    <t>https://zakupki.gov.ru/epz/order/notice/ea20/view/common-info.html?regNumber=0873400003924000150</t>
  </si>
  <si>
    <t>0873400003924000151</t>
  </si>
  <si>
    <t>https://zakupki.gov.ru/epz/order/notice/ea20/view/common-info.html?regNumber=0873400003924000151</t>
  </si>
  <si>
    <t>0873400003924000151-0001</t>
  </si>
  <si>
    <t>Моксифлоксацин, таблетки, покрытые 
пленочной оболочкой, 400 мг</t>
  </si>
  <si>
    <t>Моксифло</t>
  </si>
  <si>
    <t>таблетки, покрытые пленочной оболочкой, 400 мг (контурная ячейковая упаковка) 5 х 1 (пачка картонная)</t>
  </si>
  <si>
    <t>ЛП-004130</t>
  </si>
  <si>
    <t>0873400003924000152</t>
  </si>
  <si>
    <t>https://zakupki.gov.ru/epz/order/notice/ea20/view/common-info.html?regNumber=0873400003924000152</t>
  </si>
  <si>
    <t>0873400003924000152-0001</t>
  </si>
  <si>
    <t>1. Спарфлоксацин;
2. Спарфло®;
3. Спарфлоксацин;
4. Спарфлоксацин;
5. Флоксимар.</t>
  </si>
  <si>
    <t>1. таблетки, покрытые пленочной оболочкой, 200 мг (контурная ячейковая упаковка) 6 х 1 (пачка картонная);
2. таблетки, покрытые пленочной оболочкой, 200 мг (блистер) 6 х 1 (пачка картонная);
3. таблетки, покрытые пленочной оболочкой, 200 мг (контурная ячейковая упаковка) 10 х 1 (пачка картонная);
4. таблетки, покрытые пленочной оболочкой, 200 мг (контурная ячейковая упаковка) 10 х 5 (пачка картонная);
5. таблетки, покрытые пленочной оболочкой, 200 мг (контурная ячейковая упаковка) 7 х 1 (пачка картонная).</t>
  </si>
  <si>
    <t>1. ЛП-008280;
2. П N011913/01;
3. ЛП-№(000905)-(РГ-RU);
4. ЛП-№(000905)-(РГ-RU);
5. ЛП-005088.</t>
  </si>
  <si>
    <t>1. 6;
2. 6;
3. 10;
4. 50;
5. 7.</t>
  </si>
  <si>
    <t>0873400003924000153</t>
  </si>
  <si>
    <t>https://zakupki.gov.ru/epz/order/notice/ea20/view/common-info.html?regNumber=0873400003924000153</t>
  </si>
  <si>
    <t>0873400003924000154</t>
  </si>
  <si>
    <t>https://zakupki.gov.ru/epz/order/notice/ea20/view/common-info.html?regNumber=0873400003924000154</t>
  </si>
  <si>
    <t>0873400003924000154_358372</t>
  </si>
  <si>
    <t>0873400003924000155</t>
  </si>
  <si>
    <t>https://zakupki.gov.ru/epz/order/notice/ea20/view/common-info.html?regNumber=0873400003924000155</t>
  </si>
  <si>
    <t>0873400003924000155_358372</t>
  </si>
  <si>
    <t>0873400003924000156</t>
  </si>
  <si>
    <t>https://zakupki.gov.ru/epz/order/notice/ea20/view/common-info.html?regNumber=0873400003924000156</t>
  </si>
  <si>
    <t>0873400003924000156_358372</t>
  </si>
  <si>
    <t>0873400003924000157</t>
  </si>
  <si>
    <t>https://zakupki.gov.ru/epz/order/notice/ea20/view/common-info.html?regNumber=0873400003924000157</t>
  </si>
  <si>
    <t>0873400003924000157_358372</t>
  </si>
  <si>
    <t>0873400003924000158</t>
  </si>
  <si>
    <t>https://zakupki.gov.ru/epz/order/notice/ea20/view/common-info.html?regNumber=0873400003924000158</t>
  </si>
  <si>
    <t>0873400003924000158_358372</t>
  </si>
  <si>
    <t>0873400003924000159</t>
  </si>
  <si>
    <t>https://zakupki.gov.ru/epz/order/notice/ea20/view/common-info.html?regNumber=0873400003924000159</t>
  </si>
  <si>
    <t>0873400003924000159-0001</t>
  </si>
  <si>
    <t>Циклосерин, капсулы, 250 мг</t>
  </si>
  <si>
    <t>Циклосерин-Эдвансд</t>
  </si>
  <si>
    <t>капсулы 250 мг (банка) 100 х 1 (пачка картонная)</t>
  </si>
  <si>
    <t>ЛП-007998</t>
  </si>
  <si>
    <t>0873400003924000160</t>
  </si>
  <si>
    <t>https://zakupki.gov.ru/epz/order/notice/ea20/view/common-info.html?regNumber=0873400003924000160</t>
  </si>
  <si>
    <t>Линезолид, таблетки, покрытые пленочной 
оболочкой, 200 мг</t>
  </si>
  <si>
    <t>0873400003924000161</t>
  </si>
  <si>
    <t>https://zakupki.gov.ru/epz/order/notice/ea20/view/common-info.html?regNumber=0873400003924000161</t>
  </si>
  <si>
    <t>0873400003924000162</t>
  </si>
  <si>
    <t>https://zakupki.gov.ru/epz/order/notice/ea20/view/common-info.html?regNumber=0873400003924000162</t>
  </si>
  <si>
    <t>0873400003924000162-0001</t>
  </si>
  <si>
    <t>Эфмороктоког альфа, лиофилизат для 
приготовления раствора для внутривенного 
введения, 3000 МЕ</t>
  </si>
  <si>
    <t>ЭЛОКТЕЙТ;
ЭЛОКТЕЙТ.</t>
  </si>
  <si>
    <t>1. [лиофилизат для приготовления раствора для внутривенного введения, 3 000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3 000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</si>
  <si>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1. ЛП-006034;
2. ЛП-006034.</t>
  </si>
  <si>
    <t>0873400003924000163</t>
  </si>
  <si>
    <t>https://zakupki.gov.ru/epz/order/notice/ea20/view/common-info.html?regNumber=0873400003924000163</t>
  </si>
  <si>
    <t>0873400003924000163-0001</t>
  </si>
  <si>
    <t>ООО "ФК ПУЛЬС"</t>
  </si>
  <si>
    <t>Сандиммун® Неорал®</t>
  </si>
  <si>
    <t>[раствор для приема внутрь, 100 мг/мл (флакон) 50 мл х 1 + крышка х 1 + набор для дозирования (мерный шприц х 2 + трубка для забора препарата из флакона х 2) х 1] х 1 (пачка картонная)</t>
  </si>
  <si>
    <t>П N012962/01</t>
  </si>
  <si>
    <t>0873400003924000164</t>
  </si>
  <si>
    <t>https://zakupki.gov.ru/epz/order/notice/ea20/view/common-info.html?regNumber=0873400003924000164</t>
  </si>
  <si>
    <t>0873400003924000164-0001</t>
  </si>
  <si>
    <t>Эфмороктоког альфа, лиофилизат для 
приготовления раствора для внутривенного 
введения, 2000 МЕ</t>
  </si>
  <si>
    <t>1. [лиофилизат для приготовления раствора для внутривенного введения, 2 000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2 000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</si>
  <si>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0873400003924000165</t>
  </si>
  <si>
    <t>https://zakupki.gov.ru/epz/order/notice/ea20/view/common-info.html?regNumber=0873400003924000165</t>
  </si>
  <si>
    <t>0873400003924000165-0001</t>
  </si>
  <si>
    <t>ООО "Ремедиум Фарм"</t>
  </si>
  <si>
    <t xml:space="preserve">Зидовудин, раствор для инфузий, 10 мг/мл </t>
  </si>
  <si>
    <t>Ретровир</t>
  </si>
  <si>
    <t>раствор для инфузий, 10 мг/мл (флакон) 200 мг /20 мл х 5 (коробка картонная)</t>
  </si>
  <si>
    <t>П N014790/01</t>
  </si>
  <si>
    <t>Великобритания</t>
  </si>
  <si>
    <t>0873400003924000166</t>
  </si>
  <si>
    <t>https://zakupki.gov.ru/epz/order/notice/ea20/view/common-info.html?regNumber=0873400003924000166</t>
  </si>
  <si>
    <t>0873400003924000166_358372</t>
  </si>
  <si>
    <t>0873400003924000167</t>
  </si>
  <si>
    <t>https://zakupki.gov.ru/epz/order/notice/ea20/view/common-info.html?regNumber=0873400003924000167</t>
  </si>
  <si>
    <t>0873400003924000167_358372</t>
  </si>
  <si>
    <t>0873400003924000168</t>
  </si>
  <si>
    <t>https://zakupki.gov.ru/epz/order/notice/ea20/view/common-info.html?regNumber=0873400003924000168</t>
  </si>
  <si>
    <t>0873400003924000168_358372</t>
  </si>
  <si>
    <t>0873400003924000169</t>
  </si>
  <si>
    <t>https://zakupki.gov.ru/epz/order/notice/ea20/view/common-info.html?regNumber=0873400003924000169</t>
  </si>
  <si>
    <t>0873400003924000169_358372</t>
  </si>
  <si>
    <t>Ивакафтор+Лумакафтор, гранулы, 188 мг + 150 мг</t>
  </si>
  <si>
    <t>Оркамби®</t>
  </si>
  <si>
    <t>гранулы, 188 мг+150 мг (саше) 497.4 мг х 56 (пачка картонная)</t>
  </si>
  <si>
    <t>ЛП-007000</t>
  </si>
  <si>
    <t>0873400003924000170</t>
  </si>
  <si>
    <t>https://zakupki.gov.ru/epz/order/notice/ea20/view/common-info.html?regNumber=0873400003924000170</t>
  </si>
  <si>
    <t>0873400003924000171</t>
  </si>
  <si>
    <t>https://zakupki.gov.ru/epz/order/notice/ea20/view/common-info.html?regNumber=0873400003924000171</t>
  </si>
  <si>
    <t>Кризотиниб, капсулы, 200 мг</t>
  </si>
  <si>
    <t>0873400003924000172</t>
  </si>
  <si>
    <t>https://zakupki.gov.ru/epz/order/notice/ea20/view/common-info.html?regNumber=0873400003924000172</t>
  </si>
  <si>
    <t>0873400003924000173</t>
  </si>
  <si>
    <t>https://zakupki.gov.ru/epz/order/notice/ea20/view/common-info.html?regNumber=0873400003924000173</t>
  </si>
  <si>
    <t>0873400003924000173-0001</t>
  </si>
  <si>
    <t>Левофлоксацин, раствор для инфузий, 5 мг/мл</t>
  </si>
  <si>
    <t>1. Левофлоксацин-АКОС;
2. Левофлоксацин;
3. Левофлоксацин;
4. Бактофлокс;
5. ЛЕВОВАНС;
6. ЛЕВОВАНС;
7. Астрафлокс.</t>
  </si>
  <si>
    <t>1. раствор для инфузий 5 мг/мл (флакон) 100 мл х 1 (пачка картонная);
2. раствор для инфузий 5 мг/мл (бутылка) 100 мл х 28 (ящик картонный) (для стационаров);
3. раствор для инфузий 5 мг/мл (контейнер) 
100 мл х 44 (ящик картонный) (для стационаров);
4. раствор для инфузий 5 мг/мл (бутылка) 100 мл х 1 (ящик картонный) (для стационаров);
5. раствор для инфузий 5 мг/мл (бутылка) 100 мл х 35 (ящик картонный) (для стационаров);
6. раствор для инфузий 5 мг/мл (бутылка) 100 мл х 1 (пачка картонная);
7. раствор для инфузий 5 мг/мл (контейнер) 
100 мл х 1 (пачка картонная).</t>
  </si>
  <si>
    <t>1.ЛП-№(000460)-(РГ-RU);
2.ЛП-№(003167)-(РГ-RU);
3.ЛП-007575;
4.ЛП-№(001761)-(РГ-RU);
5.ЛП-007323;
6.ЛП-007323;
7.ЛСР-001900/10.</t>
  </si>
  <si>
    <t>1. 100;
2. 2 800;
3. 4 400;
4. 100;
5. 3 500;
6. 100;
7. 100.</t>
  </si>
  <si>
    <t>0873400003924000174</t>
  </si>
  <si>
    <t>https://zakupki.gov.ru/epz/order/notice/ea20/view/common-info.html?regNumber=0873400003924000174</t>
  </si>
  <si>
    <t>Линезолид, таблетки, покрытые пленочной оболочкой, 300 мг</t>
  </si>
  <si>
    <t>0873400003924000175</t>
  </si>
  <si>
    <t>https://zakupki.gov.ru/epz/order/notice/ea20/view/common-info.html?regNumber=0873400003924000175</t>
  </si>
  <si>
    <t xml:space="preserve">Ламивудин, раствор для приема внутрь, 10 мг/мл </t>
  </si>
  <si>
    <t>0873400003924000176</t>
  </si>
  <si>
    <t>https://zakupki.gov.ru/epz/order/notice/ea20/view/common-info.html?regNumber=0873400003924000176</t>
  </si>
  <si>
    <t>0873400003924000176-0001</t>
  </si>
  <si>
    <t>Циклосерин, капсулы, 125 мг</t>
  </si>
  <si>
    <t>капсулы, 125 мг (банка) 100 х 1 (пачка картонная)</t>
  </si>
  <si>
    <t>0873400003924000177</t>
  </si>
  <si>
    <t>https://zakupki.gov.ru/epz/order/notice/ea20/view/common-info.html?regNumber=0873400003924000177</t>
  </si>
  <si>
    <t>0873400003924000177-0001</t>
  </si>
  <si>
    <t>0873400003924000178</t>
  </si>
  <si>
    <t>https://zakupki.gov.ru/epz/order/notice/ea20/view/common-info.html?regNumber=0873400003924000178</t>
  </si>
  <si>
    <t>Антиингибиторный коагулянтный комплекс, 
лиофилизат для приготовления раствора для 
инфузий, 500 ЕД</t>
  </si>
  <si>
    <t>0873400003924000179</t>
  </si>
  <si>
    <t>https://zakupki.gov.ru/epz/order/notice/ea20/view/common-info.html?regNumber=0873400003924000179</t>
  </si>
  <si>
    <t>Левофлоксацин, капсулы и/или таблетки, покрытые пленочной оболочкой, 500 мг</t>
  </si>
  <si>
    <t>0873400003924000180</t>
  </si>
  <si>
    <t>https://zakupki.gov.ru/epz/order/notice/ea20/view/common-info.html?regNumber=0873400003924000180</t>
  </si>
  <si>
    <t>0873400003924000180-0001</t>
  </si>
  <si>
    <t>ООО "КОСМОФАРМ"</t>
  </si>
  <si>
    <t>Левофлоксацин, капсулы и/или таблетки, покрытые пленочной оболочкой, 250 мг</t>
  </si>
  <si>
    <t>1. Левофлоксацин 
2. Левофлоксацин-АКОС</t>
  </si>
  <si>
    <t>1. таблетки, покрытые пленочной оболочкой, 250 мг (контурная ячейковая упаковка) 10 х 1 (пачка картонная);
2. таблетки, покрытые пленочной оболочкой, 250 мг (контурная ячейковая упаковка) 10 х 1 (пачка картонная).</t>
  </si>
  <si>
    <t>1.ЛП-№(002027)-(РГ-RU);
2.ЛП-№(000883)-(РГ-RU).</t>
  </si>
  <si>
    <t>0873400003924000181</t>
  </si>
  <si>
    <t>https://zakupki.gov.ru/epz/order/notice/ea20/view/common-info.html?regNumber=0873400003924000181</t>
  </si>
  <si>
    <t>0873400003924000181-0001</t>
  </si>
  <si>
    <t>Эфмороктоког альфа, лиофилизат для 
приготовления раствора для внутривенного 
введения, 500 МЕ</t>
  </si>
  <si>
    <t>1. ЭЛОКТЕЙТ;
2. ЭЛОКТЕЙТ.</t>
  </si>
  <si>
    <t>1.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</si>
  <si>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1.  ЛП-006034;
2.  ЛП-006034.</t>
  </si>
  <si>
    <t>0873400003924000182</t>
  </si>
  <si>
    <t>https://zakupki.gov.ru/epz/order/notice/ea20/view/common-info.html?regNumber=0873400003924000182</t>
  </si>
  <si>
    <t>0873400003924000183</t>
  </si>
  <si>
    <t>https://zakupki.gov.ru/epz/order/notice/ea20/view/common-info.html?regNumber=0873400003924000183</t>
  </si>
  <si>
    <t>0873400003924000183-0001</t>
  </si>
  <si>
    <t>Эфмороктоког альфа, лиофилизат для 
приготовления раствора для внутривенного 
введения, 1500 МЕ</t>
  </si>
  <si>
    <t>1.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</si>
  <si>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0873400003924000184</t>
  </si>
  <si>
    <t>https://zakupki.gov.ru/epz/order/notice/ea20/view/common-info.html?regNumber=0873400003924000184</t>
  </si>
  <si>
    <t>0873400003924000184-0001</t>
  </si>
  <si>
    <t>Эфмороктоког альфа, лиофилизат для приготовления раствора для внутривенного введения, 1000 МЕ</t>
  </si>
  <si>
    <t>1. 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</si>
  <si>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0873400003924000185</t>
  </si>
  <si>
    <t>https://zakupki.gov.ru/epz/order/notice/ea20/view/common-info.html?regNumber=0873400003924000185</t>
  </si>
  <si>
    <t>0873400003924000186</t>
  </si>
  <si>
    <t>https://zakupki.gov.ru/epz/order/notice/ea20/view/common-info.html?regNumber=0873400003924000186</t>
  </si>
  <si>
    <t>Линезолид, таблетки, покрытые пленочной 
оболочкой, 400 мг</t>
  </si>
  <si>
    <t>0873400003924000187</t>
  </si>
  <si>
    <t>https://zakupki.gov.ru/epz/order/notice/ea20/view/common-info.html?regNumber=0873400003924000187</t>
  </si>
  <si>
    <t>0873400003924000187-0001</t>
  </si>
  <si>
    <t>0873400003924000188</t>
  </si>
  <si>
    <t>https://zakupki.gov.ru/epz/order/notice/ea20/view/common-info.html?regNumber=0873400003924000188</t>
  </si>
  <si>
    <t>0873400003924000188-0001</t>
  </si>
  <si>
    <t>Антиингибиторный коагулянтный комплекс, 
лиофилизат для приготовления раствора для 
инфузий, 1000 ЕД</t>
  </si>
  <si>
    <t>0873400003924000189</t>
  </si>
  <si>
    <t>https://zakupki.gov.ru/epz/order/notice/ea20/view/common-info.html?regNumber=0873400003924000189</t>
  </si>
  <si>
    <t>0873400003924000189-0001</t>
  </si>
  <si>
    <t>Левофлоксацин, капсулы и/или таблетки, 
покрытые пленочной оболочкой, 750 мг</t>
  </si>
  <si>
    <t>1. Левофлоксацин;
2. Левофлоксацин-АКОС;
3. Левофлоксацин-АКОС;
4. Левофлоксацин;
5. Левофлоксацин.</t>
  </si>
  <si>
    <t>1.таблетки, покрытые пленочной оболочкой 750 мг (контурная ячейковая упаковка) 5 х 2 (пачка картонная);
2.таблетки, покрытые пленочной оболочкой, 500 мг (контурная ячейковая упаковка) 5 х 2 (пачка картонная);
3.таблетки, покрытые пленочной оболочкой, 250 мг (контурная ячейковая упаковка) 10 х 1 (пачка картонная);
4.таблетки, покрытые пленочной оболочкой, 500 мг (контурная ячейковая упаковка) 10 х 2 (пачка картонная);
5.таблетки, покрытые пленочной оболочкой, 250 мг (контурная ячейковая упаковка) 10 х 2 (пачка картонная).</t>
  </si>
  <si>
    <t>1.ЛП-003346;
2.ЛП-№(000883)-(РГ-RU);
3.ЛП-№(000883)-(РГ-RU);
4.ЛП-006118;
5.ЛП-006118.</t>
  </si>
  <si>
    <t>1.10;
2.10;
3.10;
4.20;
5.20.</t>
  </si>
  <si>
    <t>0873400003924000190</t>
  </si>
  <si>
    <t>https://zakupki.gov.ru/epz/order/notice/ea20/view/common-info.html?regNumber=0873400003924000190</t>
  </si>
  <si>
    <t>Левофлоксацин, капсулы и/или таблетки, 
покрытые пленочной оболочкой, 500 мг</t>
  </si>
  <si>
    <t>0873400003924000191</t>
  </si>
  <si>
    <t>https://zakupki.gov.ru/epz/order/notice/ea20/view/common-info.html?regNumber=0873400003924000191</t>
  </si>
  <si>
    <t>0873400003924000191-0001</t>
  </si>
  <si>
    <t>Левофлоксацин, капсулы и/или таблетки, 
покрытые пленочной оболочкой, 250 мг</t>
  </si>
  <si>
    <t>1. Левофлоксацин;
2. Левофлоксацин-АКОС;
3. Левофлоксацин.</t>
  </si>
  <si>
    <t>1.таблетки, покрытые пленочной оболочкой 250 мг (контурная ячейковая упаковка) 10 х 1 (пачка картонная);
2.таблетки, покрытые пленочной оболочкой, 250 мг (контурная ячейковая упаковка) 10 х 1 (пачка картонная);
3.таблетки, покрытые пленочной оболочкой, 250 мг (контурная ячейковая упаковка) 10 х 2 (пачка картонная).</t>
  </si>
  <si>
    <t>1.ЛП-№(002027)-(РГ-RU);
2.ЛП-№(000883)-(РГ-RU);
3.ЛП-006118.</t>
  </si>
  <si>
    <t>1.10;
2.10;
3.20.</t>
  </si>
  <si>
    <t>0873400003924000192</t>
  </si>
  <si>
    <t>https://zakupki.gov.ru/epz/order/notice/ea20/view/common-info.html?regNumber=0873400003924000192</t>
  </si>
  <si>
    <t>Моксифлоксацин, раствор для инфузий, 1,6 
мг/мл</t>
  </si>
  <si>
    <t>0873400003924000193</t>
  </si>
  <si>
    <t>https://zakupki.gov.ru/epz/order/notice/ea20/view/common-info.html?regNumber=0873400003924000193</t>
  </si>
  <si>
    <t>0873400003924000193-0001</t>
  </si>
  <si>
    <t>1. Моксифло;
2. Моксивансд.</t>
  </si>
  <si>
    <t>1. таблетки, покрытые пленочной оболочкой, 400 мг (контурная ячейковая упаковка) 5 х 1 (пачка картонная);
2. таблетки, покрытые пленочной оболочкой, 400 мг (контурная ячейковая упаковка (блистер)) 5 х 1 (пачка картонная).</t>
  </si>
  <si>
    <t>1.ЛП-004130;
2.ЛП-007155.</t>
  </si>
  <si>
    <t>0873400003924000194</t>
  </si>
  <si>
    <t>https://zakupki.gov.ru/epz/order/notice/ea20/view/common-info.html?regNumber=0873400003924000194</t>
  </si>
  <si>
    <t>0873400003924000194-0001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</si>
  <si>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2000 МЕ</t>
  </si>
  <si>
    <t>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</si>
  <si>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0873400003924000195</t>
  </si>
  <si>
    <t>https://zakupki.gov.ru/epz/order/notice/ea20/view/common-info.html?regNumber=0873400003924000195</t>
  </si>
  <si>
    <t>0873400003924000195-0001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</si>
  <si>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500 МЕ</t>
  </si>
  <si>
    <t>0873400003924000196</t>
  </si>
  <si>
    <t>https://zakupki.gov.ru/epz/order/notice/ea20/view/common-info.html?regNumber=0873400003924000196</t>
  </si>
  <si>
    <t>0873400003924000196_358372</t>
  </si>
  <si>
    <t xml:space="preserve">Динутуксимаб бета, концентрат для приготовления раствора для инфузий, 4,5 мг/мл </t>
  </si>
  <si>
    <t>Карзиба</t>
  </si>
  <si>
    <t>концентрат для приготовления раствора для инфузий, 4,5 мг/мл (флакон) 4,5 мл х 1 (пачка картонная)</t>
  </si>
  <si>
    <t>0873400003924000197</t>
  </si>
  <si>
    <t>https://zakupki.gov.ru/epz/order/notice/ea20/view/common-info.html?regNumber=0873400003924000197</t>
  </si>
  <si>
    <t xml:space="preserve"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 </t>
  </si>
  <si>
    <t>0873400003924000198</t>
  </si>
  <si>
    <t>https://zakupki.gov.ru/epz/order/notice/ea20/view/common-info.html?regNumber=0873400003924000198</t>
  </si>
  <si>
    <t>0873400003924000198-0001</t>
  </si>
  <si>
    <t>0873400003924000199</t>
  </si>
  <si>
    <t>https://zakupki.gov.ru/epz/order/notice/ea20/view/common-info.html?regNumber=0873400003924000199</t>
  </si>
  <si>
    <t>Зидовудин+Ламивудин, таблетки, покрытые пленочной оболочкой, 300 мг +150 мг</t>
  </si>
  <si>
    <t>0873400003924000200</t>
  </si>
  <si>
    <t>https://zakupki.gov.ru/epz/order/notice/ea20/view/common-info.html?regNumber=0873400003924000200</t>
  </si>
  <si>
    <t>0873400003924000201</t>
  </si>
  <si>
    <t>https://zakupki.gov.ru/epz/order/notice/ea20/view/common-info.html?regNumber=0873400003924000201</t>
  </si>
  <si>
    <t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</t>
  </si>
  <si>
    <t>0873400003924000202</t>
  </si>
  <si>
    <t>https://zakupki.gov.ru/epz/order/notice/ea20/view/common-info.html?regNumber=0873400003924000202</t>
  </si>
  <si>
    <t>0873400003924000202-0001</t>
  </si>
  <si>
    <t xml:space="preserve">Галсульфаза, концентрат для приготовления раствора для инфузий, 1 мг/мл </t>
  </si>
  <si>
    <t>1. концентрат для приготовления раствора для инфузий, 1 мг/мл (флакон) 5 мл х 1 (коробка картонная);
2. концентрат для приготовления раствора для инфузий, 1 мг/мл (флакон) 5 мл х 1 (коробка картонная);
3. концентрат для приготовления раствора для инфузий, 1 мг/мл (флакон) 5 мл х 1 (коробка картонная).</t>
  </si>
  <si>
    <t>0873400003924000203</t>
  </si>
  <si>
    <t>https://zakupki.gov.ru/epz/order/notice/ea20/view/common-info.html?regNumber=0873400003924000203</t>
  </si>
  <si>
    <t>Линезолид, таблетки, покрытые пленочной оболочкой, 200 мг</t>
  </si>
  <si>
    <t>0873400003924000204</t>
  </si>
  <si>
    <t>https://zakupki.gov.ru/epz/order/notice/ea20/view/common-info.html?regNumber=0873400003924000204</t>
  </si>
  <si>
    <t>0873400003924000204-0001</t>
  </si>
  <si>
    <t>концентрат для приготовления раствора для инфузий, 100 ЕД/мл (флакон) 5 мл х 1 (пачка картонная)</t>
  </si>
  <si>
    <t>0873400003924000205</t>
  </si>
  <si>
    <t>https://zakupki.gov.ru/epz/order/notice/ea20/view/common-info.html?regNumber=0873400003924000205</t>
  </si>
  <si>
    <t>Линезолид, таблетки, покрытые пленочной оболочкой, 600 мг</t>
  </si>
  <si>
    <t>0873400003924000206</t>
  </si>
  <si>
    <t>https://zakupki.gov.ru/epz/order/notice/ea20/view/common-info.html?regNumber=0873400003924000206</t>
  </si>
  <si>
    <t>0873400003924000206-0001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</si>
  <si>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</si>
  <si>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0873400003924000207</t>
  </si>
  <si>
    <t>https://zakupki.gov.ru/epz/order/notice/ea20/view/common-info.html?regNumber=0873400003924000207</t>
  </si>
  <si>
    <t>0873400003924000207-0001</t>
  </si>
  <si>
    <t>Тенофовир, таблетки, покрытые пленочной оболочкой, 300 мг и/или 245 мг</t>
  </si>
  <si>
    <t>1. ТЕНОФ® 300;
2.  Вирфотен.</t>
  </si>
  <si>
    <t xml:space="preserve">1. таблетки, покрытые пленочной оболочкой, 300 мг (банка) 30 х 1 (пачка картонная);
2. таблетки, покрытые пленочной оболочкой, 300 мг (контурная ячейковая упаковка) 10 х 3 (пачка картонная).
</t>
  </si>
  <si>
    <t>1. ЛСР-002600/10
2. ЛП-№(000581)-(РГ-RU)</t>
  </si>
  <si>
    <t>0873400003924000208</t>
  </si>
  <si>
    <t>https://zakupki.gov.ru/epz/order/notice/ea20/view/common-info.html?regNumber=0873400003924000208</t>
  </si>
  <si>
    <t>0873400003924000209</t>
  </si>
  <si>
    <t>https://zakupki.gov.ru/epz/order/notice/ea20/view/common-info.html?regNumber=0873400003924000209</t>
  </si>
  <si>
    <t>0873400003924000209-0001</t>
  </si>
  <si>
    <t>0873400003924000211</t>
  </si>
  <si>
    <t>https://zakupki.gov.ru/epz/order/notice/ea20/view/common-info.html?regNumber=0873400003924000211</t>
  </si>
  <si>
    <t>0873400003924000211-0001</t>
  </si>
  <si>
    <t xml:space="preserve"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 </t>
  </si>
  <si>
    <t>1. Капреомицин;
2. Капреомицин.</t>
  </si>
  <si>
    <t>1. порошок для приготовления раствора для внутривенного и внутримышечного введения 1.0 г (флакон) х 1 (пачка картонная);
2. порошок для приготовления раствора для внутривенного и внутримышечного введения 1.0 г (флакон) х 50 (коробка картонная) (для стационаров).</t>
  </si>
  <si>
    <t>ЛП-006388</t>
  </si>
  <si>
    <t>1. 1;
2. 50.</t>
  </si>
  <si>
    <t>0873400003924000212</t>
  </si>
  <si>
    <t>https://zakupki.gov.ru/epz/order/notice/ea20/view/common-info.html?regNumber=0873400003924000212</t>
  </si>
  <si>
    <t>0873400003924000212-0001</t>
  </si>
  <si>
    <t>Аминосалициловая кислота, лиофилизат для приготовления раствора для инфузий, 3 г и/или раствор для инфузий, 30 мг/мл, 100 мл</t>
  </si>
  <si>
    <t>Пасконат</t>
  </si>
  <si>
    <t>раствор для инфузий, 30 мг/мл (бутылка) 100 мл х 1 (пачка картонная)</t>
  </si>
  <si>
    <t>ЛС-002660</t>
  </si>
  <si>
    <t>0873400003924000213</t>
  </si>
  <si>
    <t>https://zakupki.gov.ru/epz/order/notice/ea20/view/common-info.html?regNumber=0873400003924000213</t>
  </si>
  <si>
    <t>0873400003924000213-0001</t>
  </si>
  <si>
    <t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</t>
  </si>
  <si>
    <t>Растан®</t>
  </si>
  <si>
    <t>раствор для подкожного введения, 5 мг/мл (15 МЕ/мл) (картридж + шприц-ручка БиоматикПен®2)3 мл х 1 (пачка картонная)</t>
  </si>
  <si>
    <t>ЛСР-006944/10</t>
  </si>
  <si>
    <t>0873400003924000214</t>
  </si>
  <si>
    <t>https://zakupki.gov.ru/epz/order/notice/ea20/view/common-info.html?regNumber=0873400003924000214</t>
  </si>
  <si>
    <t>0873400003924000214-0001</t>
  </si>
  <si>
    <t>суспензия для внутримышечного введения, 0.5 мл/доза (ампула) 0.5 мл х10 (пачка картонная)</t>
  </si>
  <si>
    <t>0873400003924000215</t>
  </si>
  <si>
    <t>https://zakupki.gov.ru/epz/order/notice/ea20/view/common-info.html?regNumber=0873400003924000215</t>
  </si>
  <si>
    <t>Амикацин, раствор для инфузий и внутримышечного введения и/или раствор для внутривенного и внутримышечного введения, 250 мг/мл, 2 мл и/или порошок для приготовления раствора для внутривенного и внутримышечного введения и/или лиофилизат для приготовления раствора для внутривенного и внутримышечного введения, 500 мг</t>
  </si>
  <si>
    <t>0873400003924000216</t>
  </si>
  <si>
    <t>https://zakupki.gov.ru/epz/order/notice/ea20/view/common-info.html?regNumber=0873400003924000216</t>
  </si>
  <si>
    <t>0873400003924000217</t>
  </si>
  <si>
    <t>https://zakupki.gov.ru/epz/order/notice/ea20/view/common-info.html?regNumber=0873400003924000217</t>
  </si>
  <si>
    <t>Пэгинтерферон бета-1a, раствор для подкожного введения, 125 мкг</t>
  </si>
  <si>
    <t>0873400003924000218</t>
  </si>
  <si>
    <t>https://zakupki.gov.ru/epz/order/notice/ea20/view/common-info.html?regNumber=0873400003924000218</t>
  </si>
  <si>
    <t>0873400003924000218_358372</t>
  </si>
  <si>
    <t xml:space="preserve">Селуметиниб, капсулы, 10 мг </t>
  </si>
  <si>
    <t>0873400003924000219</t>
  </si>
  <si>
    <t>https://zakupki.gov.ru/epz/order/notice/ea20/view/common-info.html?regNumber=0873400003924000219</t>
  </si>
  <si>
    <t>0873400003924000219_358372</t>
  </si>
  <si>
    <t>0873400003924000220</t>
  </si>
  <si>
    <t>https://zakupki.gov.ru/epz/order/notice/ea20/view/common-info.html?regNumber=0873400003924000220</t>
  </si>
  <si>
    <t>0873400003924000220_358372</t>
  </si>
  <si>
    <t>0873400003924000221</t>
  </si>
  <si>
    <t>https://zakupki.gov.ru/epz/order/notice/ea20/view/common-info.html?regNumber=0873400003924000221</t>
  </si>
  <si>
    <t>0873400003924000221_358372</t>
  </si>
  <si>
    <t>0873400003924000222</t>
  </si>
  <si>
    <t>https://zakupki.gov.ru/epz/order/notice/ea20/view/common-info.html?regNumber=0873400003924000222</t>
  </si>
  <si>
    <t>0873400003924000222_358372</t>
  </si>
  <si>
    <t>0873400003924000223</t>
  </si>
  <si>
    <t>https://zakupki.gov.ru/epz/order/notice/ea20/view/common-info.html?regNumber=0873400003924000223</t>
  </si>
  <si>
    <t>0873400003924000223_358372</t>
  </si>
  <si>
    <t>0873400003924000224</t>
  </si>
  <si>
    <t>https://zakupki.gov.ru/epz/order/notice/ea20/view/common-info.html?regNumber=0873400003924000224</t>
  </si>
  <si>
    <t>0873400003924000224_358372</t>
  </si>
  <si>
    <t>0873400003924000225</t>
  </si>
  <si>
    <t>https://zakupki.gov.ru/epz/order/notice/ea20/view/common-info.html?regNumber=0873400003924000225</t>
  </si>
  <si>
    <t>0873400003924000225_358372</t>
  </si>
  <si>
    <t>0873400003924000227</t>
  </si>
  <si>
    <t>https://zakupki.gov.ru/epz/order/notice/ea20/view/common-info.html?regNumber=0873400003924000227</t>
  </si>
  <si>
    <t>0873400003924000227-0001</t>
  </si>
  <si>
    <t>капсулы, 1 мг (контурная ячейковая упаковка) 10 х 5 (пачка картонная)</t>
  </si>
  <si>
    <t>0873400003924000228</t>
  </si>
  <si>
    <t>https://zakupki.gov.ru/epz/order/notice/ea20/view/common-info.html?regNumber=0873400003924000228</t>
  </si>
  <si>
    <t>0873400003924000228-0001</t>
  </si>
  <si>
    <t>0873400003924000229</t>
  </si>
  <si>
    <t>https://zakupki.gov.ru/epz/order/notice/ea20/view/common-info.html?regNumber=0873400003924000229</t>
  </si>
  <si>
    <t>0873400003924000230</t>
  </si>
  <si>
    <t>https://zakupki.gov.ru/epz/order/notice/ea20/view/common-info.html?regNumber=0873400003924000230</t>
  </si>
  <si>
    <t>0873400003924000230-0001</t>
  </si>
  <si>
    <t xml:space="preserve"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 </t>
  </si>
  <si>
    <t>0873400003924000231</t>
  </si>
  <si>
    <t>https://zakupki.gov.ru/epz/order/notice/ea20/view/common-info.html?regNumber=0873400003924000231</t>
  </si>
  <si>
    <t>0873400003924000232</t>
  </si>
  <si>
    <t>https://zakupki.gov.ru/epz/order/notice/ea20/view/common-info.html?regNumber=0873400003924000232</t>
  </si>
  <si>
    <t xml:space="preserve">0873400003924000234 </t>
  </si>
  <si>
    <t>https://zakupki.gov.ru/epz/order/notice/ea20/view/common-info.html?regNumber=0873400003924000234</t>
  </si>
  <si>
    <t>0873400003924000234-0001</t>
  </si>
  <si>
    <t xml:space="preserve"> Такролимус, капсулы, 5 мг</t>
  </si>
  <si>
    <t xml:space="preserve">0873400003924000235 </t>
  </si>
  <si>
    <t>https://zakupki.gov.ru/epz/order/notice/ea20/view/common-info.html?regNumber=0873400003924000235</t>
  </si>
  <si>
    <t>0873400003924000235-0001</t>
  </si>
  <si>
    <t>раствор для инфузий, 10 мг/мл (флакон) 200мг/20мл x 5 (коробка картонная)</t>
  </si>
  <si>
    <t>0873400003924000236</t>
  </si>
  <si>
    <t>https://zakupki.gov.ru/epz/order/notice/ea20/view/common-info.html?regNumber=0873400003924000236</t>
  </si>
  <si>
    <t>0873400003924000236-0001</t>
  </si>
  <si>
    <t xml:space="preserve">0873400003924000237 </t>
  </si>
  <si>
    <t>https://zakupki.gov.ru/epz/order/notice/ea20/view/common-info.html?regNumber=0873400003924000237</t>
  </si>
  <si>
    <t>0873400003924000237-0001</t>
  </si>
  <si>
    <t>ООО "Фармирус"</t>
  </si>
  <si>
    <t xml:space="preserve">Помалидомид, капсулы, 2 мг </t>
  </si>
  <si>
    <t>Миелодест</t>
  </si>
  <si>
    <t>капсулы, 1 мг (банка) 21 х 1 (пачка картонная)</t>
  </si>
  <si>
    <t>ЛП-№(002507)-(РГ-RU)</t>
  </si>
  <si>
    <t xml:space="preserve">0873400003924000238 </t>
  </si>
  <si>
    <t>https://zakupki.gov.ru/epz/order/notice/ea20/view/common-info.html?regNumber=0873400003924000238</t>
  </si>
  <si>
    <t>0873400003924000238-0001</t>
  </si>
  <si>
    <t>ООО "МСК"</t>
  </si>
  <si>
    <t>Иматиниб, капсулы и/или таблетки, покрытые плёночной оболочкой, 400 мг</t>
  </si>
  <si>
    <t>таблетки, покрытые пленочной оболочкой, 400 мг (блистер) 10 х 3 (пачка картонная)</t>
  </si>
  <si>
    <t>ЛП-004769</t>
  </si>
  <si>
    <t>Индия</t>
  </si>
  <si>
    <t>0873400003924000239</t>
  </si>
  <si>
    <t>https://zakupki.gov.ru/epz/order/notice/ea20/view/common-info.html?regNumber=0873400003924000239</t>
  </si>
  <si>
    <t>0873400003924000239-0001</t>
  </si>
  <si>
    <t>Иматиниб, капсулы и/или таблетки, покрытые плёночной оболочкой, 100 мг</t>
  </si>
  <si>
    <t>1. Иматиниб
2. Филахромин®</t>
  </si>
  <si>
    <t>1. таблетки, покрытые пленочной оболочкой, 100 мг (контурная ячейковая упаковка) 10 х 3 (пачка картонная);
2. капсулы, 100 мг (флакон) 120 х 1 (пачка картонная).</t>
  </si>
  <si>
    <t>1.ЛП-002816;
2.ЛП-001694.</t>
  </si>
  <si>
    <t>1.30;
2.120.</t>
  </si>
  <si>
    <t>0873400003924000240</t>
  </si>
  <si>
    <t>https://zakupki.gov.ru/epz/order/notice/ea20/view/common-info.html?regNumber=0873400003924000240</t>
  </si>
  <si>
    <t>0873400003924000240-0001</t>
  </si>
  <si>
    <t>Флударабин, лиофилизат для приготовления раствора для внутривенного введения, 50 мг и/или концентрат для приготовления раствора для внутривенного введения, 25 мг/мл</t>
  </si>
  <si>
    <t>лиофилизат для приготовления раствора для внутривенного введения, 50 мг (флакон) х 1 (пачка картонная)</t>
  </si>
  <si>
    <t>ЛП-№(000374)-(РГ-RU)</t>
  </si>
  <si>
    <t>0873400003924000241</t>
  </si>
  <si>
    <t>https://zakupki.gov.ru/epz/order/notice/ea20/view/common-info.html?regNumber=0873400003924000241</t>
  </si>
  <si>
    <t>0873400003924000241-0001</t>
  </si>
  <si>
    <t xml:space="preserve">Такролимус, капсулы, 0,5 мг </t>
  </si>
  <si>
    <t>капсулы, 0.5 мг (контурная ячейковая упаковка) 10 х 5 (пачка картонная)</t>
  </si>
  <si>
    <t>0873400003924000242</t>
  </si>
  <si>
    <t>https://zakupki.gov.ru/epz/order/notice/ea20/view/common-info.html?regNumber=0873400003924000242</t>
  </si>
  <si>
    <t>Эптаког альфа (активированный), лиофилизат для приготовления раствора для внутривенного введения, 2,4 мг (120 КЕД)</t>
  </si>
  <si>
    <t>0873400003924000243</t>
  </si>
  <si>
    <t>https://zakupki.gov.ru/epz/order/notice/ea20/view/common-info.html?regNumber=0873400003924000243</t>
  </si>
  <si>
    <t>0873400003924000243-0001</t>
  </si>
  <si>
    <t>0873400003924000244</t>
  </si>
  <si>
    <t>https://zakupki.gov.ru/epz/order/notice/ea20/view/common-info.html?regNumber=0873400003924000244</t>
  </si>
  <si>
    <t>0873400003924000244-0001</t>
  </si>
  <si>
    <t>Эмицизумаб, раствор для подкожного введения, 150 мг/мл</t>
  </si>
  <si>
    <t>0873400003924000245</t>
  </si>
  <si>
    <t>https://zakupki.gov.ru/epz/order/notice/ea20/view/common-info.html?regNumber=0873400003924000245</t>
  </si>
  <si>
    <t>0873400003924000246</t>
  </si>
  <si>
    <t>https://zakupki.gov.ru/epz/order/notice/ea20/view/common-info.html?regNumber=0873400003924000246</t>
  </si>
  <si>
    <t>Зидовудин, таблетки, покрытые пленочной оболочкой, 300 мг</t>
  </si>
  <si>
    <t>0873400003924000247</t>
  </si>
  <si>
    <t>https://zakupki.gov.ru/epz/order/notice/ea20/view/common-info.html?regNumber=0873400003924000247</t>
  </si>
  <si>
    <t>0873400003924000252</t>
  </si>
  <si>
    <t>https://zakupki.gov.ru/epz/order/notice/ea20/view/common-info.html?regNumber=0873400003924000252</t>
  </si>
  <si>
    <t>0873400003924000252_358372</t>
  </si>
  <si>
    <t>0873400003924000253</t>
  </si>
  <si>
    <t>1512 ЗК</t>
  </si>
  <si>
    <t>https://zakupki.gov.ru/epz/order/notice/ea20/view/common-info.html?regNumber=0873400003924000253</t>
  </si>
  <si>
    <t>Аминосалициловая кислота, таблетки кишечнорастворимые, покрытые пленочной оболочкой и/или таблетки, покрытые кишечнорастворимой оболочкой, 1000 мг</t>
  </si>
  <si>
    <t>0873400003924000254</t>
  </si>
  <si>
    <t>https://zakupki.gov.ru/epz/order/notice/ea20/view/common-info.html?regNumber=0873400003924000254</t>
  </si>
  <si>
    <t>0873400003924000254-0001</t>
  </si>
  <si>
    <t>Микофеноловая кислота, таблетки кишечнорастворимые, покрытые оболочкой и/или таблетки кишечнорастворимые, покрытые пленочной оболочкой и/или таблетки, покрытые кишечнорастворимой оболочкой, 180 мг</t>
  </si>
  <si>
    <t>Никвесел</t>
  </si>
  <si>
    <t>таблетки кишечнорастворимые, покрытые пленочной оболочкой, 180 мг (контурная ячейковая упаковка) 10 х 10 (пачка картонная)</t>
  </si>
  <si>
    <t>ЛП-005911</t>
  </si>
  <si>
    <t>0873400003924000255</t>
  </si>
  <si>
    <t>https://zakupki.gov.ru/epz/order/notice/ea20/view/common-info.html?regNumber=0873400003924000255</t>
  </si>
  <si>
    <t>0873400003924000256</t>
  </si>
  <si>
    <t>https://zakupki.gov.ru/epz/order/notice/ea20/view/common-info.html?regNumber=0873400003924000256</t>
  </si>
  <si>
    <t>Аминосалициловая кислота, раствор для инфузий, 30 мг/мл, и/или лиофилизат для приготовления раствора для инфузий, 13,49 г</t>
  </si>
  <si>
    <t>0873400003924000257</t>
  </si>
  <si>
    <t>https://zakupki.gov.ru/epz/order/notice/ea20/view/common-info.html?regNumber=0873400003924000257</t>
  </si>
  <si>
    <t>0873400003924000258</t>
  </si>
  <si>
    <t>https://zakupki.gov.ru/epz/order/notice/ea20/view/common-info.html?regNumber=0873400003924000258</t>
  </si>
  <si>
    <t>0873400003924000259</t>
  </si>
  <si>
    <t>https://zakupki.gov.ru/epz/order/notice/ea20/view/common-info.html?regNumber=0873400003924000259</t>
  </si>
  <si>
    <t>0873400003924000260</t>
  </si>
  <si>
    <t>https://zakupki.gov.ru/epz/order/notice/ea20/view/common-info.html?regNumber=0873400003924000260</t>
  </si>
  <si>
    <t>0873400003924000260_358372</t>
  </si>
  <si>
    <t>капсулы, 200 мг (блистер) 10 × 6 (пачка картонная)</t>
  </si>
  <si>
    <t>0873400003924000261</t>
  </si>
  <si>
    <t>https://zakupki.gov.ru/epz/order/notice/ea20/view/common-info.html?regNumber=0873400003924000261</t>
  </si>
  <si>
    <t>0873400003924000262</t>
  </si>
  <si>
    <t>https://zakupki.gov.ru/epz/order/notice/ea20/view/common-info.html?regNumber=0873400003924000262</t>
  </si>
  <si>
    <t xml:space="preserve">Атазанавир, капсулы, 200 мг </t>
  </si>
  <si>
    <t>0873400003924000263</t>
  </si>
  <si>
    <t>https://zakupki.gov.ru/epz/order/notice/ea20/view/common-info.html?regNumber=0873400003924000263</t>
  </si>
  <si>
    <t>0873400003924000264</t>
  </si>
  <si>
    <t>https://zakupki.gov.ru/epz/order/notice/ea20/view/common-info.html?regNumber=0873400003924000264</t>
  </si>
  <si>
    <t>0873400003924000264_358372</t>
  </si>
  <si>
    <t>Ивакафтор+Лумакафтор, гранулы, 125 мг+100 мг</t>
  </si>
  <si>
    <t>гранулы, 125 мг+100 мг (саше) 331.1 мг х 56 (пачка картонная)</t>
  </si>
  <si>
    <t xml:space="preserve">0873400003924000265 </t>
  </si>
  <si>
    <t>https://zakupki.gov.ru/epz/order/notice/ea20/view/common-info.html?regNumber=0873400003924000265</t>
  </si>
  <si>
    <t>0873400003924000265-0001</t>
  </si>
  <si>
    <t xml:space="preserve">Фактор свертывания крови VIII + Фактор Виллебранда, лиофилизат для приготовления раствора для внутривенного введения, 500 МЕ + 1200 МЕ </t>
  </si>
  <si>
    <t xml:space="preserve">0873400003924000266 </t>
  </si>
  <si>
    <t>https://zakupki.gov.ru/epz/order/notice/ea20/view/common-info.html?regNumber=0873400003924000266</t>
  </si>
  <si>
    <t>0873400003924000266-0001</t>
  </si>
  <si>
    <t xml:space="preserve">0873400003924000267 </t>
  </si>
  <si>
    <t>https://zakupki.gov.ru/epz/order/notice/ea20/view/common-info.html?regNumber=0873400003924000267</t>
  </si>
  <si>
    <t>0873400003924000267-0001</t>
  </si>
  <si>
    <t>Адалимумаб, раствор для подкожного введения, 40 мг/0,8 мл</t>
  </si>
  <si>
    <t>ДАЛИБРА®</t>
  </si>
  <si>
    <t>[раствор для подкожного введения, 40 мг/0.8 мл (шприц) 0.8 мл х 1 + (салфетка спиртовая) х 1] х 2 (пачка картонная)</t>
  </si>
  <si>
    <t>ЛП-005362</t>
  </si>
  <si>
    <t>0873400003924000268</t>
  </si>
  <si>
    <t>https://zakupki.gov.ru/epz/order/notice/ea20/view/common-info.html?regNumber=0873400003924000268</t>
  </si>
  <si>
    <t>0873400003924000268-0001</t>
  </si>
  <si>
    <t xml:space="preserve">Имиглюцераза, лиофилизат для приготовления раствора для инфузий, 400 ЕД </t>
  </si>
  <si>
    <t>1.Глуразим;
2.Глуразим.</t>
  </si>
  <si>
    <t>1.лиофилизат для приготовления раствора для инфузий, 400 ЕД (флакон) х 1 (пачка картонная);
2.лиофилизат для приготовления раствора для инфузий, 400 ЕД (флакон) х 1 (пачка картонная).</t>
  </si>
  <si>
    <t>1.ЛП-005297;
2.ЛП-№(003797)-(РГ-RU).</t>
  </si>
  <si>
    <t>0873400003924000269</t>
  </si>
  <si>
    <t>https://zakupki.gov.ru/epz/order/notice/ea20/view/common-info.html?regNumber=0873400003924000269</t>
  </si>
  <si>
    <t>0873400003924000270</t>
  </si>
  <si>
    <t>https://zakupki.gov.ru/epz/order/notice/ea20/view/common-info.html?regNumber=0873400003924000270</t>
  </si>
  <si>
    <t xml:space="preserve">0873400003924000270-0001 </t>
  </si>
  <si>
    <t>Помалидомид, капсулы, 4 мг</t>
  </si>
  <si>
    <t>капсулы, 4 мг (контурная ячейковая упаковка) 7 х 3 (пачка картонная)</t>
  </si>
  <si>
    <t>0873400003924000271</t>
  </si>
  <si>
    <t>https://zakupki.gov.ru/epz/order/notice/ea20/view/common-info.html?regNumber=0873400003924000271</t>
  </si>
  <si>
    <t xml:space="preserve">0873400003924000271-0001 </t>
  </si>
  <si>
    <t>Помалидомид, капсулы, 2 мг</t>
  </si>
  <si>
    <t>0873400003924000272</t>
  </si>
  <si>
    <t>https://zakupki.gov.ru/epz/order/notice/ea20/view/common-info.html?regNumber=0873400003924000272</t>
  </si>
  <si>
    <t xml:space="preserve">0873400003924000272-0001 </t>
  </si>
  <si>
    <t>ЛСР-006031/09</t>
  </si>
  <si>
    <t>0873400003924000273</t>
  </si>
  <si>
    <t>https://zakupki.gov.ru/epz/order/notice/ea20/view/common-info.html?regNumber=0873400003924000273</t>
  </si>
  <si>
    <t>0873400003924000273-0001</t>
  </si>
  <si>
    <t xml:space="preserve"> 0873400003924000274</t>
  </si>
  <si>
    <t>https://zakupki.gov.ru/epz/order/notice/ea20/view/common-info.html?regNumber=0873400003924000274</t>
  </si>
  <si>
    <t>0873400003924000274-0001</t>
  </si>
  <si>
    <t xml:space="preserve">Помалидомид, капсулы, 4 мг </t>
  </si>
  <si>
    <t>1. Иматанго®
2. ПОМАЛИДОМИД-ТЛ
3. Помалидомид-АМЕДАРТ</t>
  </si>
  <si>
    <t>1. капсулы, 4 мг (контурная ячейковая упаковка) 7 х 3 (пачка картонная);
2. капсулы, 4 мг (банка) 21 х 1 (пачка картонная);
3. капсулы, 4 мг (банка) 21 х 1 (пачка картонная).</t>
  </si>
  <si>
    <t>1. ЛП-№(000399)-(РГ-RU);
2. ЛП-005891;
3. ЛП-№(003513)-(РГ-RU).</t>
  </si>
  <si>
    <t xml:space="preserve">0873400003924000275 </t>
  </si>
  <si>
    <t>https://zakupki.gov.ru/epz/order/notice/ea20/view/common-info.html?regNumber=0873400003924000275</t>
  </si>
  <si>
    <t xml:space="preserve">Вакцина для профилактики пневмококковых инфекций, суспензия для внутримышечного введения, 0,5 мл/доза </t>
  </si>
  <si>
    <t>0873400003924000276</t>
  </si>
  <si>
    <t>https://zakupki.gov.ru/epz/order/notice/ea20/view/common-info.html?regNumber=0873400003924000276</t>
  </si>
  <si>
    <t>Аминосалициловая кислота, таблетки кишечнорастворимые, покрытые пленочной оболочкой, и/или таблетки, покрытые кишечнорастворимой оболочкой, и/или таблетки кишечнорастворимые, покрытые 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для приема внутрь</t>
  </si>
  <si>
    <t>0873400003924000277</t>
  </si>
  <si>
    <t>https://zakupki.gov.ru/epz/order/notice/ea20/view/common-info.html?regNumber=0873400003924000277</t>
  </si>
  <si>
    <t>0873400003924000278</t>
  </si>
  <si>
    <t>https://zakupki.gov.ru/epz/order/notice/ea20/view/common-info.html?regNumber=0873400003924000278</t>
  </si>
  <si>
    <t>0873400003924000278-0001</t>
  </si>
  <si>
    <t>0873400003924000279</t>
  </si>
  <si>
    <t>https://zakupki.gov.ru/epz/order/notice/ea20/view/common-info.html?regNumber=0873400003924000279</t>
  </si>
  <si>
    <t>0873400003924000280</t>
  </si>
  <si>
    <t>https://zakupki.gov.ru/epz/order/notice/ea20/view/common-info.html?regNumber=0873400003924000280</t>
  </si>
  <si>
    <t>Глатирамера ацетат, раствор для подкожного 
введения, 40 мг/мл</t>
  </si>
  <si>
    <t>0873400003924000281</t>
  </si>
  <si>
    <t>https://zakupki.gov.ru/epz/order/notice/ea20/view/common-info.html?regNumber=0873400003924000281</t>
  </si>
  <si>
    <t>0873400003924000282</t>
  </si>
  <si>
    <t>https://zakupki.gov.ru/epz/order/notice/ea20/view/common-info.html?regNumber=0873400003924000282</t>
  </si>
  <si>
    <t>0873400003924000282-0001</t>
  </si>
  <si>
    <t>[раствор для приема внутрь, 80 мг/мл + 20 мг/мл (флакон) 60 мл х 5 + (дозатор) х 5] х 1 (пачка картонная)</t>
  </si>
  <si>
    <t>П N013751/02</t>
  </si>
  <si>
    <t>0873400003924000283</t>
  </si>
  <si>
    <t>https://zakupki.gov.ru/epz/order/notice/ea20/view/common-info.html?regNumber=0873400003924000283</t>
  </si>
  <si>
    <t>0873400003924000283-0001</t>
  </si>
  <si>
    <t>Лопинавир+Ритонавир, таблетки, покрытые пленочной оболочкой, 100 мг + 25 мг</t>
  </si>
  <si>
    <t>0873400003924000284</t>
  </si>
  <si>
    <t>https://zakupki.gov.ru/epz/order/notice/ea20/view/common-info.html?regNumber=0873400003924000284</t>
  </si>
  <si>
    <t>0873400003924000284-0001</t>
  </si>
  <si>
    <t>1. Тимексон®;
2. ТИМЕКСОН®;
3. ТИМЕКСОН®.</t>
  </si>
  <si>
    <t>1.[раствор для подкожного введения, 40 мг/мл (шприц) 1 мл х 6 + салфетка спиртовая х 6] х 1 (пачка картонная);
2.[раствор для подкожного введения, 40 мг/мл (шприц) 1 мл х 6 + (салфетка спиртовая) х 6] х 1 (пачка картонная);
3.[раствор для подкожного введения, 40 мг/мл (шприц) 1 мл х 6 + салфетка спиртовая х 6] х 1 (пачка картонная).</t>
  </si>
  <si>
    <t>1. ЛП-005103;
2. ЛП-005103;
3. ЛП-№(002611)-(РГ-RU).</t>
  </si>
  <si>
    <t>0873400003924000285</t>
  </si>
  <si>
    <t>https://zakupki.gov.ru/epz/order/notice/ea20/view/common-info.html?regNumber=0873400003924000285</t>
  </si>
  <si>
    <t>0873400003924000286</t>
  </si>
  <si>
    <t>https://zakupki.gov.ru/epz/order/notice/ea20/view/common-info.html?regNumber=0873400003924000286</t>
  </si>
  <si>
    <t>0873400003924000286-0001</t>
  </si>
  <si>
    <t>Идурсульфаза, концентрат для приготовления раствора для инфузий, 2 мг/мл</t>
  </si>
  <si>
    <t>концентрат для приготовления раствора для инфузий,    2 мг/мл (флакон) 3 мл х 1 (пачка картонная)</t>
  </si>
  <si>
    <t>0873400003924000287</t>
  </si>
  <si>
    <t>https://zakupki.gov.ru/epz/order/notice/ea20/view/common-info.html?regNumber=0873400003924000287</t>
  </si>
  <si>
    <t>0873400003924000287-0001</t>
  </si>
  <si>
    <t>1. Сертикан®;
2. Сертикан®.</t>
  </si>
  <si>
    <t>1. таблетки, 0.5 мг (блистер) 10 х 6 (пачка картонная);
2. таблетки, 0.25 мг (блистер) 10 х 6 (пачка картонная).</t>
  </si>
  <si>
    <t>1.ЛС-002282;
2.ЛС-002282.</t>
  </si>
  <si>
    <t>0873400003924000288</t>
  </si>
  <si>
    <t>https://zakupki.gov.ru/epz/order/notice/ea20/view/common-info.html?regNumber=0873400003924000288</t>
  </si>
  <si>
    <t>Октоког альфа, лиофилизат для приготовления раствора для внутривенного введения, 1000 -1500 МЕ</t>
  </si>
  <si>
    <t>0873400003924000289</t>
  </si>
  <si>
    <t>https://zakupki.gov.ru/epz/order/notice/ea20/view/common-info.html?regNumber=0873400003924000289</t>
  </si>
  <si>
    <t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
замедленного высвобождения для приема 
внутрь и/или гранулы с пролонгированным 
высвобождением и/или гранулы 
кишечнорастворимые и/или гранулы, 
покрытые кишечнорастворимой оболочкой, 
и/или гранулы, покрытые оболочкой, для 
приема внутрь</t>
  </si>
  <si>
    <t>0873400003924000290</t>
  </si>
  <si>
    <t>https://zakupki.gov.ru/epz/order/notice/ea20/view/common-info.html?regNumber=0873400003924000290</t>
  </si>
  <si>
    <t>0873400003924000290-0001</t>
  </si>
  <si>
    <t>1. Иларис®;
2. Иларис®.</t>
  </si>
  <si>
    <t>1.раствор для подкожного введения,
150 мг/мл (флакон) 1 мл х 1 (пачка картонная);
2. раствор для подкожного введения,
150 мг/мл (флакон) 1 мл х 1 (пачка картонная).</t>
  </si>
  <si>
    <t>1. ЛП-005320;
2. ЛП-№(003003)-(РГ-RU)</t>
  </si>
  <si>
    <t>0873400003924000291</t>
  </si>
  <si>
    <t>https://zakupki.gov.ru/epz/order/notice/ea20/view/common-info.html?regNumber=0873400003924000291</t>
  </si>
  <si>
    <t>0873400003924000293</t>
  </si>
  <si>
    <t>https://zakupki.gov.ru/epz/order/notice/ea20/view/common-info.html?regNumber=0873400003924000293</t>
  </si>
  <si>
    <t>Селексипаг, таблетки, покрытые пленочной 
оболочкой, 800 мкг</t>
  </si>
  <si>
    <t>0873400003924000294</t>
  </si>
  <si>
    <t>https://zakupki.gov.ru/epz/order/notice/ea20/view/common-info.html?regNumber=0873400003924000294</t>
  </si>
  <si>
    <t>Селексипаг, таблетки, покрытые пленочной 
оболочкой, 200 мкг</t>
  </si>
  <si>
    <t>0873400003924000295</t>
  </si>
  <si>
    <t>https://zakupki.gov.ru/epz/order/notice/ea20/view/common-info.html?regNumber=0873400003924000295</t>
  </si>
  <si>
    <t>0873400003924000295_358372</t>
  </si>
  <si>
    <t xml:space="preserve">Энтректиниб, капсулы, 200 мг </t>
  </si>
  <si>
    <t>0873400003924000296</t>
  </si>
  <si>
    <t>https://zakupki.gov.ru/epz/order/notice/ea20/view/common-info.html?regNumber=0873400003924000296</t>
  </si>
  <si>
    <t>0873400003924000296-0001</t>
  </si>
  <si>
    <t>Тигераза®</t>
  </si>
  <si>
    <t>раствор для ингаляций, 2.5 мг/2.5 мл (ампула) 6 х 1 (пачка картонная)</t>
  </si>
  <si>
    <t>ЛП-№(002646)-(РГ-RU)</t>
  </si>
  <si>
    <t>0873400003924000297</t>
  </si>
  <si>
    <t>https://zakupki.gov.ru/epz/order/notice/ea20/view/common-info.html?regNumber=0873400003924000297</t>
  </si>
  <si>
    <t>0873400003924000297-0001</t>
  </si>
  <si>
    <t>МИКОФЕНОЛАТА МОФЕТИЛ-ТЛ</t>
  </si>
  <si>
    <t>капсулы, 250 мг (банка) 100 х 1 (пачка картонная)</t>
  </si>
  <si>
    <t>ЛП-001950</t>
  </si>
  <si>
    <t>0873400003924000298</t>
  </si>
  <si>
    <t>https://zakupki.gov.ru/epz/order/notice/ea20/view/common-info.html?regNumber=0873400003924000298</t>
  </si>
  <si>
    <t>0873400003924000298-0001</t>
  </si>
  <si>
    <t>Микофеноловая кислота, таблетки 
кишечнорастворимые, покрытые оболочкой 
и/или таблетки кишечнорастворимые, 
покрытые пленочной оболочкой и/или 
таблетки, покрытые кишечнорастворимой 
оболочкой, 360 мг</t>
  </si>
  <si>
    <t>0873400003924000299</t>
  </si>
  <si>
    <t>https://zakupki.gov.ru/epz/order/notice/ea20/view/common-info.html?regNumber=0873400003924000299</t>
  </si>
  <si>
    <t>0873400003924000299-0001</t>
  </si>
  <si>
    <t>0873400003924000303</t>
  </si>
  <si>
    <t>https://zakupki.gov.ru/epz/order/notice/ea20/view/common-info.html?regNumber=0873400003924000303</t>
  </si>
  <si>
    <t>0873400003924000303-0001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</si>
  <si>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 ˮбабочкаˮ, одноразовая игла для инъекций) х 1] х 1 (коробка картонная)</t>
  </si>
  <si>
    <t>0873400003924000304</t>
  </si>
  <si>
    <t>https://zakupki.gov.ru/epz/order/notice/ea20/view/common-info.html?regNumber=0873400003924000304</t>
  </si>
  <si>
    <t>0873400003924000304-0001</t>
  </si>
  <si>
    <t>Интерферон бета-1а, раствор для подкожного 
введения, 44 мкг/0,5 мл и/или 12 млн. МЕ, 0,5 
мл</t>
  </si>
  <si>
    <t>[раствор для подкожного введения, 44 мкг/0.5 мл (шприц) 0.5 мл х 3 + салфетка спиртовая х 3] х 1 (пачка картонная)</t>
  </si>
  <si>
    <t>0873400003924000305</t>
  </si>
  <si>
    <t>https://zakupki.gov.ru/epz/order/notice/ea20/view/common-info.html?regNumber=0873400003924000305</t>
  </si>
  <si>
    <t>0873400003924000305-0001</t>
  </si>
  <si>
    <t>Адалимумаб, раствор для подкожного 
введения, 40 мг/0,8 мл</t>
  </si>
  <si>
    <t>[раствор для подкожного введения, 40 мг/0.8 мл (шприц) 0.8 мл х 1 + (спиртовая салфетка) х 1] х 2 (пачка картонная)</t>
  </si>
  <si>
    <t>0873400003924000306</t>
  </si>
  <si>
    <t>https://zakupki.gov.ru/epz/order/notice/ea20/view/common-info.html?regNumber=0873400003924000306</t>
  </si>
  <si>
    <t>0873400003924000306-0001</t>
  </si>
  <si>
    <t>Интерферон бета-1а, раствор для подкожного 
введения, 22 мкг/0,5 мл и/или 6 млн. МЕ/0,5 
мл</t>
  </si>
  <si>
    <t>1. Тебериф®;
2. ТЕБЕРИФ®.</t>
  </si>
  <si>
    <t>1.[раствор для подкожного введения, 
22 мкг/0.5 мл (шприц) 0.5 мл х 3 + салфетка спиртовая х 3] х 1 (пачка картонная);
2.[раствор для подкожного введения, 
22 мкг/0.5 мл (шприц) 0.5 мл х 3 + салфетка спиртовая х 3] х 1 (пачка картонная).</t>
  </si>
  <si>
    <t>1.ЛП-004137;
2.ЛП-004137.</t>
  </si>
  <si>
    <t>0873400003924000307</t>
  </si>
  <si>
    <t>https://zakupki.gov.ru/epz/order/notice/ea20/view/common-info.html?regNumber=0873400003924000307</t>
  </si>
  <si>
    <t>0873400003924000307-0001</t>
  </si>
  <si>
    <t>Вилате;
Вилате®.</t>
  </si>
  <si>
    <t>1. 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 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картонная);
2. лиофилизат для приготовления раствора для внутривенного введения, 450 МЕ + 400 МЕ (флакон) [450 МЕ + 400 МЕ] x 1 (пачка картонная)
[растворитель (0,1 % раствор полисорбата 80 в воде для инъекций) (флакон) 5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картонная).</t>
  </si>
  <si>
    <t>0873400003924000308</t>
  </si>
  <si>
    <t>https://zakupki.gov.ru/epz/order/notice/ea20/view/common-info.html?regNumber=0873400003924000308</t>
  </si>
  <si>
    <t>0873400003924000308-0001</t>
  </si>
  <si>
    <t>0873400003924000309</t>
  </si>
  <si>
    <t>https://zakupki.gov.ru/epz/order/notice/ea20/view/common-info.html?regNumber=0873400003924000309</t>
  </si>
  <si>
    <t>0873400003924000309-0001</t>
  </si>
  <si>
    <t>ООО "Компания Фармстор"</t>
  </si>
  <si>
    <t>Даратумумаб, концентрат для приготовления 
раствора для инфузий, 20 мг/мл, 20 мл</t>
  </si>
  <si>
    <t>1.Дарзалекс;
2.Дарзалекс.</t>
  </si>
  <si>
    <t>1.концентрат для приготовления раствора для инфузий, 20 мг/мл (флакон) 20.0 мл х 1 (пачка картонная);
2.концентрат для приготовления раствора для инфузий, 20 мг/мл (флакон) 20.0 мл х 1 (пачка картонная).</t>
  </si>
  <si>
    <t>1.ЛП-004367;
2.ЛП-004367.</t>
  </si>
  <si>
    <t>0873400003924000310</t>
  </si>
  <si>
    <t>https://zakupki.gov.ru/epz/order/notice/ea20/view/common-info.html?regNumber=0873400003924000310</t>
  </si>
  <si>
    <t>0873400003924000310-0001</t>
  </si>
  <si>
    <t>РУПСУЛИМИД®</t>
  </si>
  <si>
    <t>капсулы, 15 мг (контурная ячейковая упаковка (блистер)) 7 х 3 (пачка картонная)</t>
  </si>
  <si>
    <t>ЛП-№(002281)-(РГ-RU)</t>
  </si>
  <si>
    <t>0873400003924000311</t>
  </si>
  <si>
    <t>https://zakupki.gov.ru/epz/order/notice/ea20/view/common-info.html?regNumber=0873400003924000311</t>
  </si>
  <si>
    <t>0873400003924000311-0001</t>
  </si>
  <si>
    <t>1. концентрат для приготовления раствора для инфузий, 20 мг/мл (флакон) 20.0 мл х 1 (пачка картонная);
2. концентрат для приготовления раствора для инфузий, 20 мг/мл (флакон) 20.0 мл х 1 (пачка картонная).</t>
  </si>
  <si>
    <t>1. ЛП-004367;
2. ЛП-004367.</t>
  </si>
  <si>
    <t>0873400003924000313</t>
  </si>
  <si>
    <t>https://zakupki.gov.ru/epz/order/notice/ea20/view/common-info.html?regNumber=0873400003924000313</t>
  </si>
  <si>
    <t>0873400003924000313_358372</t>
  </si>
  <si>
    <t>Ивакафтор+Лумакафтор, гранулы, 188 мг +
150 мг</t>
  </si>
  <si>
    <t>0873400003924000314</t>
  </si>
  <si>
    <t>https://zakupki.gov.ru/epz/order/notice/ea20/view/common-info.html?regNumber=0873400003924000314</t>
  </si>
  <si>
    <t>Иммуноглобулин человека нормальный, 
раствор для инфузий 100 мг/мл и/или раствор 
для внутривенных и подкожных инфузий, 
10%</t>
  </si>
  <si>
    <t>0873400003924000317</t>
  </si>
  <si>
    <t>https://zakupki.gov.ru/epz/order/notice/ea20/view/common-info.html?regNumber=0873400003924000317</t>
  </si>
  <si>
    <t>0873400003924000317_358372</t>
  </si>
  <si>
    <t>Соматропин, лиофилизат для приготовления 
раствора для подкожного введения, 5,33 мг 
(16 МЕ) и/или 6,67 мг (20 МЕ) и/или раствор 
для подкожного введения, 5 мг/мл (15 МЕ/мл) - 6,7 мг/мл</t>
  </si>
  <si>
    <t>0873400003924000320</t>
  </si>
  <si>
    <t>https://zakupki.gov.ru/epz/order/notice/ea20/view/common-info.html?regNumber=0873400003924000320</t>
  </si>
  <si>
    <t>0873400003924000320-0001</t>
  </si>
  <si>
    <t>АМПРИЗИР</t>
  </si>
  <si>
    <t>таблетки, покрытые пленочной оболочкой, 700 мг (банка) 60 х 1 (пачка картонная)</t>
  </si>
  <si>
    <t>ЛП-№(000913)-(РГ-RU)</t>
  </si>
  <si>
    <t>0873400003924000321</t>
  </si>
  <si>
    <t>https://zakupki.gov.ru/epz/order/notice/ea20/view/common-info.html?regNumber=0873400003924000321</t>
  </si>
  <si>
    <t>0873400003924000321-0001</t>
  </si>
  <si>
    <t>1. Симанод
2. Атазанавир</t>
  </si>
  <si>
    <t>1. капсулы, 300 мг (контурная ячейковая упаковка) 10 х 3 (пачка картонная);
2. капсулы, 300 мг (банка) 30 х 1 (пачка картонная).</t>
  </si>
  <si>
    <t>1. ЛП-№(002033)-(РГ-RU);
2. ЛП-008281.</t>
  </si>
  <si>
    <t>0873400003924000322</t>
  </si>
  <si>
    <t>https://zakupki.gov.ru/epz/order/notice/ea20/view/common-info.html?regNumber=0873400003924000322</t>
  </si>
  <si>
    <t>0873400003924000322-0001</t>
  </si>
  <si>
    <t>1.концентрат для приготовления раствора для инфузий, 20 мг/мл (флакон) 5 мл х 1 (пачка картонная);
2.концентрат для приготовления раствора для инфузий, 20 мг/мл (флакон) 5 мл х 1 (пачка картонная).</t>
  </si>
  <si>
    <t>0873400003924000323</t>
  </si>
  <si>
    <t>https://zakupki.gov.ru/epz/order/notice/ea20/view/common-info.html?regNumber=0873400003924000323</t>
  </si>
  <si>
    <t>0873400003924000323-0001</t>
  </si>
  <si>
    <t>0873400003924000324</t>
  </si>
  <si>
    <t>https://zakupki.gov.ru/epz/order/notice/ea20/view/common-info.html?regNumber=0873400003924000324</t>
  </si>
  <si>
    <t>0873400003924000324-0001</t>
  </si>
  <si>
    <t>раствор для ингаляций, 2.5мг/2.5мл (ампула) 6 х 1 (пачка картонная).</t>
  </si>
  <si>
    <t>0873400003924000325</t>
  </si>
  <si>
    <t>https://zakupki.gov.ru/epz/order/notice/ea20/view/common-info.html?regNumber=0873400003924000325</t>
  </si>
  <si>
    <t>0873400003924000325-0001</t>
  </si>
  <si>
    <t>1.Абакавир;
2.Олитид®.</t>
  </si>
  <si>
    <t>1. [раствор для приема внутрь, 20 мг/мл (флакон) 240 мл х 1 + (шприц-дозирующий) х 1] х 1 (пачка картонная); 
2. [раствор для приема внутрь, 20 мг/мл (флакон) 240 мл х 1 + (шприц-дозатор) х 1] х 1 (пачка картонная).</t>
  </si>
  <si>
    <t>1. ЛП-004674;
2. ЛП-007762.</t>
  </si>
  <si>
    <t>0873400003924000326</t>
  </si>
  <si>
    <t>https://zakupki.gov.ru/epz/order/notice/ea20/view/common-info.html?regNumber=0873400003924000326</t>
  </si>
  <si>
    <t>0873400003924000326-0001</t>
  </si>
  <si>
    <t>Зидовудин+Ламивудин-Эдвансд</t>
  </si>
  <si>
    <t>таблетки, покрытые пленочной оболочкой, 
300 мг+150 мг (банка) 60 х 1 (пачка картонная)</t>
  </si>
  <si>
    <t>ЛП-006089</t>
  </si>
  <si>
    <t>0873400003924000327</t>
  </si>
  <si>
    <t>https://zakupki.gov.ru/epz/order/notice/ea20/view/common-info.html?regNumber=0873400003924000327</t>
  </si>
  <si>
    <t>0873400003924000327-0001</t>
  </si>
  <si>
    <t>1. ЗИДОВУДИН+ЛАМИВУДИН;
2. Дизаверокс®;
3. Зидовудин+Ламивудин;
4. Эмлазид;
5. Зидовудин+Ламивудин-Эдвансд;
6. Зидовудин+Ламивудин-Эдвансд.</t>
  </si>
  <si>
    <t>1. таблетки, покрытые пленочной оболочкой, 300 мг+150 мг (контурная ячейковая упаковка) 10 х 6 (пачка картонная);
2. таблетки, покрытые пленочной оболочкой, 300 мг+150 мг (контурная ячейковая упаковка) 10 х 6 (пачка картонная);
3. таблетки, покрытые пленочной оболочкой, 300 мг+150 мг (контурная ячейковая упаковка) 10 х 6 (пачка картонная);
4. таблетки, покрытые пленочной оболочкой, 300 мг+150 мг (банка) 60 х 1 (пачка картонная);
5. таблетки, покрытые пленочной оболочкой, 300 мг+150 мг (банка) 60 х 1 (пачка картонная);
6. таблетки, покрытые пленочной оболочкой, 300 мг+150 мг (блистер) 10 х 6 (пачка картонная).</t>
  </si>
  <si>
    <t>1.ЛП-№(002122)-(РГ-RU);
2.ЛП-№(000947)-(РГ-RU);
3.ЛП-005174;
4.ЛП-004427;
5.ЛП-№(002780)-(РГ-RU);
6.ЛП-№(002780)-(РГ-RU).</t>
  </si>
  <si>
    <t>0873400003924000328</t>
  </si>
  <si>
    <t>https://zakupki.gov.ru/epz/order/notice/ea20/view/common-info.html?regNumber=0873400003924000328</t>
  </si>
  <si>
    <t>0873400003924000328-0001</t>
  </si>
  <si>
    <t>Деламанид, таблетки, покрытые пленочной оболочкой 50 мг</t>
  </si>
  <si>
    <t>0873400003924000329</t>
  </si>
  <si>
    <t>https://zakupki.gov.ru/epz/order/notice/ea20/view/common-info.html?regNumber=0873400003924000329</t>
  </si>
  <si>
    <t>0873400003924000329-0001</t>
  </si>
  <si>
    <t xml:space="preserve">Дарзалекс </t>
  </si>
  <si>
    <t>концентрат для приготовления раствора для инфузий, 20 мг/мл (флакон) 5.0 мл х 1 (пачка картонная)</t>
  </si>
  <si>
    <t>ЛП-004367</t>
  </si>
  <si>
    <t>0873400003924000330</t>
  </si>
  <si>
    <t>https://zakupki.gov.ru/epz/order/notice/ea20/view/common-info.html?regNumber=0873400003924000330</t>
  </si>
  <si>
    <t>0873400003924000331</t>
  </si>
  <si>
    <t>https://zakupki.gov.ru/epz/order/notice/ea20/view/common-info.html?regNumber=0873400003924000331</t>
  </si>
  <si>
    <t>0873400003924000331_358372</t>
  </si>
  <si>
    <t xml:space="preserve">Селуметиниб, капсулы, 25 мг </t>
  </si>
  <si>
    <t>0873400003924000332</t>
  </si>
  <si>
    <t>https://zakupki.gov.ru/epz/order/notice/ea20/view/common-info.html?regNumber=0873400003924000332</t>
  </si>
  <si>
    <t>0873400003924000332_358372</t>
  </si>
  <si>
    <t>0873400003924000333</t>
  </si>
  <si>
    <t>https://zakupki.gov.ru/epz/order/notice/ea20/view/common-info.html?regNumber=0873400003924000333</t>
  </si>
  <si>
    <t>Амикацин, раствор для внутривенного и 
внутримышечного введения, 250 мг/мл, 4 мл 
и/или порошок для приготовления раствора 
для внутривенного и внутримышечного 
введения, 1000 мг</t>
  </si>
  <si>
    <t>0873400003924000334</t>
  </si>
  <si>
    <t>https://zakupki.gov.ru/epz/order/notice/ea20/view/common-info.html?regNumber=0873400003924000334</t>
  </si>
  <si>
    <t>0873400003924000335</t>
  </si>
  <si>
    <t>https://zakupki.gov.ru/epz/order/notice/ea20/view/common-info.html?regNumber=0873400003924000335</t>
  </si>
  <si>
    <t>Амикацин, раствор для инфузий и 
внутримышечного введения и/или раствор 
для внутривенного и внутримышечного 
введения, 250 мг/мл, 2 мл и/или порошок для 
приготовления раствора для внутривенного 
и внутримышечного введения и/или 
лиофилизат для приготовления раствора для 
внутривенного и внутримышечного 
введения, 500 мг</t>
  </si>
  <si>
    <t>0873400003924000336</t>
  </si>
  <si>
    <t>https://zakupki.gov.ru/epz/order/notice/ea20/view/common-info.html?regNumber=0873400003924000336</t>
  </si>
  <si>
    <t>0873400003924000336-0001</t>
  </si>
  <si>
    <t>1.Ламивудин;
2.Амивирен®.</t>
  </si>
  <si>
    <t>1. [раствор для приема внутрь, 10 мг/мл (флакон) 240 мл х 1 + (шприц дозирующий) х 1] х 1 (пачка картонная);
2. [раствор для приема внутрь, 10 мг/мл (флакон) 240 мл х 1 + (шприц-дозатор) х 1] х 1 (пачка картонная).</t>
  </si>
  <si>
    <t>1.ЛП-005609;
2.ЛП-№(000851)-(РГ-RU).</t>
  </si>
  <si>
    <t>0873400003924000337</t>
  </si>
  <si>
    <t>https://zakupki.gov.ru/epz/order/notice/ea20/view/common-info.html?regNumber=0873400003924000337</t>
  </si>
  <si>
    <t>0873400003924000337-0001</t>
  </si>
  <si>
    <t>1. Эфавиренз;
2. Регаст;
3. ЭФАВИРЕНЗ;
4. Эфавиренз;
5. Эфавиренз;
6. Эфавиренз;
7. Эфавиренз-Эдвансд;
8. Эфавиренз-Эдвансд.</t>
  </si>
  <si>
    <t>1.  таблетки, покрытые пленочной оболочкой
600 мг (банка) 30 х 1 (пачка картонная);
2. таблетки, покрытые пленочной оболочкой
600 мг (контурная ячейковая упаковка) 10 х 3 (пачка картонная);
3.  таблетки, покрытые пленочной оболочкой
600 мг (контурная ячейковая упаковка) 10 х 3 (пачка картонная);
4. таблетки, покрытые пленочной оболочкой
600 мг (контурная ячейковая упаковка) 10 х 3 (пачка картонная);
5.  таблетки, покрытые пленочной оболочкой
600 мг (контурная ячейковая упаковка) 10 х 3 (пачка картонная);
6.  таблетки, покрытые пленочной оболочкой
600 мг (банка) 60 х 1 (пачка картонная);
7.  таблетки, покрытые пленочной оболочкой
600 мг (банка) 30 х 1 (пачка картонная);
8.  таблетки, покрытые пленочной оболочкой
600 мг (блистер) 10 х 3 (пачка картонная).</t>
  </si>
  <si>
    <t>1. ЛП-002511;
2. ЛП-002554;
3. ЛП-008176;
4. ЛП-007293;
5. ЛП-006840;
6. ЛП-006840;
7. ЛП-008584;
8. ЛП-008584.</t>
  </si>
  <si>
    <t>1. 30;
2. 30;
3. 30;
4. 30;
5. 30;
6. 60;
7. 30;
8. 30.</t>
  </si>
  <si>
    <t>0873400003924000338</t>
  </si>
  <si>
    <t>https://zakupki.gov.ru/epz/order/notice/ea20/view/common-info.html?regNumber=0873400003924000338</t>
  </si>
  <si>
    <t>0873400003924000338-0001</t>
  </si>
  <si>
    <t>1. Ритонавир-Эдвансд;
2. Ритонавир;
3. РИТОНАВИР;
4. Ритонавир-ФС;
5. Ритонавир;
6. Ритонавир-Эдвансд.</t>
  </si>
  <si>
    <t>1. капсулы, 100 мг (блистер) 10 х 3 (пачка картонная);
2.  капсулы, 100 мг (контурная ячейковая упаковка) 10 х 3 (пачка картонная);
3. капсулы, 100 мг (контурная ячейковая упаковка) 10 х 3 (пачка картонная);
4. таблетки, покрытые пленочной оболочкой 
100 мг (банка) 30 х 1 (пачка картонная);
5.  капсулы, 100 мг (банка) 60 х 1 (пачка картонная);
6.  капсулы, 100 мг (банка) 30 х 1 (пачка картонная).</t>
  </si>
  <si>
    <t>1. ЛП-008833;
2. ЛП-001288;
3. ЛП-007443;
4. ЛП-006681;
5. ЛП-007316;
6. ЛП-008833.</t>
  </si>
  <si>
    <t>1.30;
2.30;
3.30;
4.30;
5.60;
6.30.</t>
  </si>
  <si>
    <t>0873400003924000339</t>
  </si>
  <si>
    <t>https://zakupki.gov.ru/epz/order/notice/ea20/view/common-info.html?regNumber=0873400003924000339</t>
  </si>
  <si>
    <t>0873400003924000339-0001</t>
  </si>
  <si>
    <t>Ритонавир-ФС</t>
  </si>
  <si>
    <t>таблетки, покрытые пленочной оболочкой, 100 мг (банка) 30 х 1 (пачка картонная)</t>
  </si>
  <si>
    <t>ЛП-006681</t>
  </si>
  <si>
    <t>0873400003924000340</t>
  </si>
  <si>
    <t>https://zakupki.gov.ru/epz/order/notice/ea20/view/common-info.html?regNumber=0873400003924000340</t>
  </si>
  <si>
    <t>0873400003924000340-0001</t>
  </si>
  <si>
    <t>1. Абакавир;
2. АБАКАВИР; 
3. Абакавир-Эдвансд;
4. Абакавир;
5. Абакавир-АВС;
6. Абакавир-Эдвансд;
7. Олитид;
8. Абакавир.</t>
  </si>
  <si>
    <t>1. таблетки, покрытые пленочной оболочкой, 600 мг (банка) 30 х 1 (пачка картонная);
2. таблетки, покрытые пленочной оболочкой, 600 мг (контурная ячейковая упаковка) 10 х 3 (пачка картонная);
3. таблетки, покрытые пленочной оболочкой, 600 мг (контурная ячейковая упаковка) 10 х 3 (пачка картонная).
4. таблетки, покрытые пленочной оболочкой, 600 мг (банка) 30 х 1 (пачка картонная);
5. таблетки, покрытые пленочной оболочкой, 300 мг (контурная ячейковая упаковка) 10 х 6 (пачка картонная);
6. таблетки, покрытые пленочной оболочкой, 600 мг (банка) 30 х 1 (пачка картонная);
7. таблетки, покрытые пленочной оболочкой, 600 мг (банка) 30 х 1 (пачка картонная);
8. таблетки, покрытые пленочной оболочкой, 600 мг (банка) 30 х 1 (пачка картонная).</t>
  </si>
  <si>
    <t>1.ЛП-005892;
2.ЛП-№(001594)-(РГ-RU);
3.ЛП-007022;
4.ЛП-007348;
5.ЛП-002340;
6.ЛП-007022;
7.ЛП-002263;
8.ЛП-005006.</t>
  </si>
  <si>
    <t>1. 30;
2. 30;
3. 30;
4. 30;
5. 60;
6. 30;
7. 30;
8. 30.</t>
  </si>
  <si>
    <t>0873400003924000341</t>
  </si>
  <si>
    <t>https://zakupki.gov.ru/epz/order/notice/ea20/view/common-info.html?regNumber=0873400003924000341</t>
  </si>
  <si>
    <t>0873400003924000341-0001</t>
  </si>
  <si>
    <t>таблетки, 25 мг (банка) 120 х 1 (пачка картонная)</t>
  </si>
  <si>
    <t>0873400003924000342</t>
  </si>
  <si>
    <t>https://zakupki.gov.ru/epz/order/notice/ea20/view/common-info.html?regNumber=0873400003924000342</t>
  </si>
  <si>
    <t>0873400003924000342-0001</t>
  </si>
  <si>
    <t>0873400003924000343</t>
  </si>
  <si>
    <t>https://zakupki.gov.ru/epz/order/notice/ea20/view/common-info.html?regNumber=0873400003924000343</t>
  </si>
  <si>
    <t>0873400003924000343-0001</t>
  </si>
  <si>
    <t>Ламивудин, таблетки, покрытые пленочной оболочкой, 300 мг</t>
  </si>
  <si>
    <t>1. Гептавир-150;
2. Ламивудин;
3. Амивирен.</t>
  </si>
  <si>
    <t>1. таблетки, покрытые пленочной оболочкой, 150 мг (банка) 60 х 1 (пачка картонная);
2. таблетки, покрытые пленочной оболочкой, 300 мг (контурная ячейковая упаковка) 10 х 3 (пачка картонная);
3. таблетки, покрытые пленочной оболочкой, 300 мг (контурная ячейковая упаковка) 10 х 3 (пачка картонная).</t>
  </si>
  <si>
    <t>1. ЛП-001541;
2. ЛП-004775;
3. ЛП-№(001309)-(РГ-RU).</t>
  </si>
  <si>
    <t>1. 60
2. 30
3. 30</t>
  </si>
  <si>
    <t>0873400003924000344</t>
  </si>
  <si>
    <t>https://zakupki.gov.ru/epz/order/notice/ea20/view/common-info.html?regNumber=0873400003924000344</t>
  </si>
  <si>
    <t>0873400003924000344-0001</t>
  </si>
  <si>
    <t xml:space="preserve">Алемтузумаб, концентрат для приготовления раствора для инфузий 10 мг/мл </t>
  </si>
  <si>
    <t>1.концентрат для приготовления раствора для инфузий, 10 мг/мл (флакон) 1.2 мл х 1 (пачка картонная);
2. концентрат для приготовления раствора для инфузий, 10 мг/мл (флакон) 1.2 мл х 1 (пачка картонная).</t>
  </si>
  <si>
    <t>1.ЛП-003714;
2.ЛП-003714.</t>
  </si>
  <si>
    <t>1.1.2;
2.1.2.</t>
  </si>
  <si>
    <t>0873400003924000345</t>
  </si>
  <si>
    <t>https://zakupki.gov.ru/epz/order/notice/ea20/view/common-info.html?regNumber=0873400003924000345</t>
  </si>
  <si>
    <t>0873400003924000346</t>
  </si>
  <si>
    <t>https://zakupki.gov.ru/epz/order/notice/ea20/view/common-info.html?regNumber=0873400003924000346</t>
  </si>
  <si>
    <t>0873400003924000346-0001</t>
  </si>
  <si>
    <t xml:space="preserve">Левофлоксацин, капсулы и/или таблетки, покрытые пленочной оболочкой 500 мг </t>
  </si>
  <si>
    <t>1. Левофлоксацин 
2. Левофлоксацин-АКОС
3. Левофлоксацин</t>
  </si>
  <si>
    <t>1.таблетки, покрытые пленочной оболочкой 500 мг (контурная ячейковая упаковка) 10 х 1 (пачка картонная);
2.таблетки, покрытые пленочной оболочкой, 500 мг (контурная ячейковая упаковка) 10 х 1 (пачка картонная);
3.таблетки, покрытые пленочной оболочкой, 500 мг (контурная ячейковая упаковка) 10 х 2 (пачка картонная).</t>
  </si>
  <si>
    <t>0873400003924000347</t>
  </si>
  <si>
    <t>https://zakupki.gov.ru/epz/order/notice/ea20/view/common-info.html?regNumber=0873400003924000347</t>
  </si>
  <si>
    <t>0873400003924000347-0001</t>
  </si>
  <si>
    <t xml:space="preserve">Зидовудин, таблетки, покрытые пленочной оболочкой и/или капсулы, 300 мг </t>
  </si>
  <si>
    <t>Азимитем</t>
  </si>
  <si>
    <t>таблетки, покрытые пленочной оболочкой, 300 мг (контурная ячейковая упаковка) 10 х 6 (пачка картонная)</t>
  </si>
  <si>
    <t>ЛП-№(000701)-(РГ-RU)</t>
  </si>
  <si>
    <t>0873400003924000348</t>
  </si>
  <si>
    <t>https://zakupki.gov.ru/epz/order/notice/ea20/view/common-info.html?regNumber=0873400003924000348</t>
  </si>
  <si>
    <t>0873400003924000348-0001</t>
  </si>
  <si>
    <t>ООО "Мартфарм"</t>
  </si>
  <si>
    <t xml:space="preserve">Моксифлоксацин, раствор для инфузий, 1,6 мг/мл </t>
  </si>
  <si>
    <t>1. МОКСИВАНСД;
2. Моксифлоксацин;
3. Моксифлоксацин;
4. Моксифлоксацин;
5. Моксифлоксацин.</t>
  </si>
  <si>
    <t>1.раствор для инфузий, 1.6 мг/мл (бутылка) 250 мл х 1 (пачка картонная);
2.раствор для инфузий, 1.6 мг/мл (контейнер) 250 мл х 1 (пачка картонная);
3.раствор для инфузий, 1.6 мг/мл (бутылка)
250 мл х 15 (ящик картонный) (для стационаров);
4.раствор для инфузий, 1.6 мг/мл (бутылка)
250 мл х 28 (коробка картонная) (для стационаров);
5.раствор для инфузий, 1.6 мг/мл (бутылка)
250 мл х 1 (ящик картонный) (для стационаров).</t>
  </si>
  <si>
    <t>1. ЛП-007063;
2. ЛП-004587;
3. ЛП-№(002021)-(РГ-RU);
4. ЛП-№(002106)-(РГ-RU);
5. ЛП-004225.</t>
  </si>
  <si>
    <t>1. 250;
2. 250;
3. 3 750;
4. 7 000;
5. 250.</t>
  </si>
  <si>
    <t>0873400003924000349</t>
  </si>
  <si>
    <t>https://zakupki.gov.ru/epz/order/notice/ea20/view/common-info.html?regNumber=0873400003924000349</t>
  </si>
  <si>
    <t>0873400003924000349-0001</t>
  </si>
  <si>
    <t>концентрат для приготовления раствора для инфузий, 10 мг/мл (флакон) 1,2 мл х 1 (пачка картонная)</t>
  </si>
  <si>
    <t>0873400003924000350</t>
  </si>
  <si>
    <t>https://zakupki.gov.ru/epz/order/notice/ea20/view/common-info.html?regNumber=0873400003924000350</t>
  </si>
  <si>
    <t>0873400003924000351</t>
  </si>
  <si>
    <t>https://zakupki.gov.ru/epz/order/notice/ea20/view/common-info.html?regNumber=0873400003924000351</t>
  </si>
  <si>
    <t>0873400003924000352</t>
  </si>
  <si>
    <t>https://zakupki.gov.ru/epz/order/notice/ea20/view/common-info.html?regNumber=0873400003924000352</t>
  </si>
  <si>
    <t>0873400003924000352_358372</t>
  </si>
  <si>
    <t>Воретиген непарвовек, концентрат и растворитель для приготовления раствора для субретинального введения, 5x10^12 векторных геномов/мл</t>
  </si>
  <si>
    <t>Лукстурна®</t>
  </si>
  <si>
    <t>концентрат и растворитель для приготовления раствора для субретинального введения, 5x1012 векторных геномов/мл [концентрат (флакон) 0.5 мл х 1 + растворитель (флакон) 1.7 мл х 2] х 1 (пакет)</t>
  </si>
  <si>
    <t>ЛП-№(000712)-(РГ-RU)</t>
  </si>
  <si>
    <t>0873400003924000353</t>
  </si>
  <si>
    <t>https://zakupki.gov.ru/epz/order/notice/ea20/view/common-info.html?regNumber=0873400003924000353</t>
  </si>
  <si>
    <t>0873400003924000353_358372</t>
  </si>
  <si>
    <t>Ланаделумаб, раствор для подкожного введения, 150 мг/мл</t>
  </si>
  <si>
    <t>раствор для подкожного введения, 150 мг/мл (предварительно заполненный шприц) 2.0 мл х 1 
(пачка картонная)</t>
  </si>
  <si>
    <t>0873400003924000354</t>
  </si>
  <si>
    <t>https://zakupki.gov.ru/epz/order/notice/ea20/view/common-info.html?regNumber=0873400003924000354</t>
  </si>
  <si>
    <t>0873400003924000354_358372</t>
  </si>
  <si>
    <t>Эверолимус, таблетки диспергируемые, 5 мг в рамках реализации постановления Правительства Российской Федерации от 6 апреля 2021 года № 545</t>
  </si>
  <si>
    <t>0873400003924000355</t>
  </si>
  <si>
    <t>https://zakupki.gov.ru/epz/order/notice/ea20/view/common-info.html?regNumber=0873400003924000355</t>
  </si>
  <si>
    <t>0873400003924000355_358372</t>
  </si>
  <si>
    <t>0873400003924000356</t>
  </si>
  <si>
    <t>https://zakupki.gov.ru/epz/order/notice/ea20/view/common-info.html?regNumber=0873400003924000356</t>
  </si>
  <si>
    <t>0873400003924000356_358372</t>
  </si>
  <si>
    <t>0873400003924000357</t>
  </si>
  <si>
    <t>https://zakupki.gov.ru/epz/order/notice/ea20/view/common-info.html?regNumber=0873400003924000357</t>
  </si>
  <si>
    <t>0873400003924000357_358372</t>
  </si>
  <si>
    <t>ООО "ФАРМРУ"</t>
  </si>
  <si>
    <t xml:space="preserve"> Карглумовая кислота, таблетки диспергируемые, 200 мг</t>
  </si>
  <si>
    <t>1.Карглумовая кислота Вэймейд;
2.Карбаглю.</t>
  </si>
  <si>
    <t>1. таблетки диспергируемые, 200 мг (флакон) 60 х 1 (пачка картонная);
2. таблетки диспергируемые, 200 мг (флакон) 60 х 1 (пачка картонная).</t>
  </si>
  <si>
    <t>1. ЛП-№(002565)-(РГ-RU);
2. ЛП-008186.</t>
  </si>
  <si>
    <t>Индия, Франция</t>
  </si>
  <si>
    <t>0873400003924000358</t>
  </si>
  <si>
    <t>https://zakupki.gov.ru/epz/order/notice/ea20/view/common-info.html?regNumber=0873400003924000358</t>
  </si>
  <si>
    <t>0873400003924000358_358372</t>
  </si>
  <si>
    <t>Канакинумаб, раствор для подкожного введения, 150 мг/мл</t>
  </si>
  <si>
    <t>0873400003924000359</t>
  </si>
  <si>
    <t>https://zakupki.gov.ru/epz/order/notice/ea20/view/common-info.html?regNumber=0873400003924000359</t>
  </si>
  <si>
    <t>0873400003924000359-0001</t>
  </si>
  <si>
    <t>1. Протионамид;
2. Протионамид.</t>
  </si>
  <si>
    <t>1. таблетки, покрытые пленочной оболочкой, 250 мг (контурная ячейковая упаковка) 25 х 2 (пачка картонная);
2. таблетки, покрытые пленочной оболочкой, 250 мг (банка) 50 (для стационаров).</t>
  </si>
  <si>
    <t>1. ЛП-002338.
2. ЛСР-006794/09;</t>
  </si>
  <si>
    <t>0873400003924000360</t>
  </si>
  <si>
    <t>https://zakupki.gov.ru/epz/order/notice/ea20/view/common-info.html?regNumber=0873400003924000360</t>
  </si>
  <si>
    <t>0873400003924000360-0001</t>
  </si>
  <si>
    <t>Линезолид, таблетки, покрытые пленочной оболочкой, 400 мг</t>
  </si>
  <si>
    <t>1. Линезолид;
2. Линезолид;
3. Линезолид.</t>
  </si>
  <si>
    <t>1.таблетки, покрытые пленочной оболочкой, 
200 мг (блистер) 10 х 1 (пачка картонная);
2. таблетки, покрытые пленочной оболочкой, 
400 мг (контурная ячейковая упаковка) 10 х 1 (пачка картонная);
3.таблетки, покрытые пленочной оболочкой, 
400 мг (блистер) 10 х 1 (пачка картонная).</t>
  </si>
  <si>
    <t>1. ЛП-003285;
2. ЛП-004973;
3. ЛП-003285.</t>
  </si>
  <si>
    <t>0873400003924000361</t>
  </si>
  <si>
    <t>https://zakupki.gov.ru/epz/order/notice/ea20/view/common-info.html?regNumber=0873400003924000361</t>
  </si>
  <si>
    <t>0873400003924000361-0001</t>
  </si>
  <si>
    <t xml:space="preserve"> Лопинавир+Ритонавир, таблетки, покрытые пленочной оболочкой, 200 мг + 50 мг</t>
  </si>
  <si>
    <t>Калидавир®</t>
  </si>
  <si>
    <t>таблетки, покрытые пленочной оболочкой, 200 мг+50 мг (банка) 120 х 1 (пачка картонная)</t>
  </si>
  <si>
    <t>ЛП-№(000748)-(РГ-RU)</t>
  </si>
  <si>
    <t>0873400003924000362</t>
  </si>
  <si>
    <t>https://zakupki.gov.ru/epz/order/notice/ea20/view/common-info.html?regNumber=0873400003924000362</t>
  </si>
  <si>
    <t>0873400003924000362-0001</t>
  </si>
  <si>
    <t>Протионамид</t>
  </si>
  <si>
    <t>таблетки, покрытые пленочной оболочкой, 250 мг (банка) 50 (для стационаров)</t>
  </si>
  <si>
    <t>ЛСР-006794/09</t>
  </si>
  <si>
    <t>0873400003924000363</t>
  </si>
  <si>
    <t>https://zakupki.gov.ru/epz/order/notice/ea20/view/common-info.html?regNumber=0873400003924000363</t>
  </si>
  <si>
    <t>0873400003924000363-0001</t>
  </si>
  <si>
    <t>Ралтегравир, таблетки жевательные, 25 мг, Ралтегравир, таблетки жевательные, 100 мг, Невирапин, суспензия для приема внутрь, 10 мг/мл</t>
  </si>
  <si>
    <t>1. Исентресс®
2. Исентресс®
3. Вирамун®</t>
  </si>
  <si>
    <t>1. таблетки жевательные, 25 мг (флакон) 60 х 1 (пачка картонная);
2. таблетки жевательные, 100 мг (флакон) 60 х 1 (пачка картонная);
3. [суспензия для приема внутрь, 50 мг/5мл (флакон) 240 мл х 1 + (шприц мерный) х 1 + (крышка) х 1] х 1 (пачка картонная).</t>
  </si>
  <si>
    <t>1. №ЛП-002927
2. №ЛП-002927
3. №П N011661/01</t>
  </si>
  <si>
    <t>1. шт.;
2. шт.;
3. мл.</t>
  </si>
  <si>
    <t>1. 60;
2. 60;
3. 240.</t>
  </si>
  <si>
    <t>0873400003924000364</t>
  </si>
  <si>
    <t>https://zakupki.gov.ru/epz/order/notice/ea20/view/common-info.html?regNumber=0873400003924000364</t>
  </si>
  <si>
    <t>0873400003924000364-0001</t>
  </si>
  <si>
    <t>Амиктобин</t>
  </si>
  <si>
    <t>таблетки кишечнорастворимые, покрытые пленочной оболочкой, 1000 мг (банка) 500 х 1 (коробка картонная) (для стационаров)</t>
  </si>
  <si>
    <t>ЛП-№(000721)-(РГ-RU)</t>
  </si>
  <si>
    <t>0873400003924000367</t>
  </si>
  <si>
    <t>https://zakupki.gov.ru/epz/order/notice/ea20/view/common-info.html?regNumber=0873400003924000367</t>
  </si>
  <si>
    <t>0873400003924000367_358372</t>
  </si>
  <si>
    <t xml:space="preserve">Себелипаза альфа, концентрат для приготовления раствора для инфузий, 2 мг/мл </t>
  </si>
  <si>
    <t>Канума®</t>
  </si>
  <si>
    <t>концентрат для приготовления раствора для инфузий, 2 мг/мл (флакон) 10 мл х 1 (пачка картонная)</t>
  </si>
  <si>
    <t>ЛП-004513</t>
  </si>
  <si>
    <t>0873400003924000368</t>
  </si>
  <si>
    <t>https://zakupki.gov.ru/epz/order/notice/ea20/view/common-info.html?regNumber=0873400003924000368</t>
  </si>
  <si>
    <t>0873400003924000368_358372</t>
  </si>
  <si>
    <t>0873400003924000369</t>
  </si>
  <si>
    <t>https://zakupki.gov.ru/epz/order/notice/ea20/view/common-info.html?regNumber=0873400003924000369</t>
  </si>
  <si>
    <t>0873400003924000370</t>
  </si>
  <si>
    <t>https://zakupki.gov.ru/epz/order/notice/ea20/view/common-info.html?regNumber=0873400003924000370</t>
  </si>
  <si>
    <t>0873400003924000370-0001</t>
  </si>
  <si>
    <t>1. Натрия пара-аминосалицилат;
2. ПАСК;
3. Амиктобин;
4. Натрия пара-аминосалицилат;
5. НАТРИЯ ПАРА-АМИНОСАЛИЦИЛАТ.</t>
  </si>
  <si>
    <t>1. таблетки кишечнорастворимые, покрытые пленочной оболочкой, 1000 мг (банка) 500 х 1 (пачка картонная) (для стационаров);
2. таблетки кишечнорастворимые, покрытые пленочной оболочкой, 1 г (банка) 500 х 1 (коробка картонная);
3. таблетки кишечнорастворимые, покрытые пленочной оболочкой, 1000 мг (банка) 500 х 1 (коробка картонная) (для стационаров);
4. таблетки кишечнорастворимые, покрытые пленочной оболочкой, (банка) 100 х 1 (пачка картонная) (для стационаров);
5. таблетки кишечнорастворимые, покрытые пленочной оболочкой, 1000 мг (банка) 500 х 1 (пачка картонная) (для стационаров).</t>
  </si>
  <si>
    <t>1. ЛП-№(001964)-(РГ-RU);
2. P N003659/01;
3. ЛП-№(000721)-(РГ-RU);
4. ЛП-005786;
5. ЛП-007300.</t>
  </si>
  <si>
    <t>1. 500;
2. 500;
3. 500;
4. 100;
5. 500.</t>
  </si>
  <si>
    <t>0873400003924000371</t>
  </si>
  <si>
    <t>https://zakupki.gov.ru/epz/order/notice/ea20/view/common-info.html?regNumber=0873400003924000371</t>
  </si>
  <si>
    <t>0873400003924000371-0001</t>
  </si>
  <si>
    <t xml:space="preserve">Циклосерин, капсулы, 250 мг </t>
  </si>
  <si>
    <t>1. Циклосерин;
2. Кансамин;
3. Циклосерин;
4. Циклосерин;
5. Циклосерин;
6. Циклосерин-Эдвансд.</t>
  </si>
  <si>
    <t>1. капсулы, 250 мг (контурная ячейковая упаковка) 10 х 10 (пачка картонная);
2. капсулы, 250 мг (банка) 100 х 1 (пачка картонная);
3. капсулы, 250 мг (банка) 100 х 1 (пачка картонная);
4. капсулы, 250 мг (контурная безъячейковая упаковка);
5. капсулы, 250 мг (блистер) 10 х 10 (пачка картонная);
6. капсулы, 250 мг (банка) 100 х 1 (пачка картонная).</t>
  </si>
  <si>
    <t>1. ЛП-004747;
2. ЛП-№(003131)-(РГ-RU);
3. ЛП-006146;
4. ЛП-006518;
5. ЛП-000921;
6. ЛП-007998.</t>
  </si>
  <si>
    <t>0873400003924000372</t>
  </si>
  <si>
    <t>https://zakupki.gov.ru/epz/order/notice/ea20/view/common-info.html?regNumber=0873400003924000372</t>
  </si>
  <si>
    <t>0873400003924000372-0001</t>
  </si>
  <si>
    <t>ООО "С.П.ИНКОМЕД"</t>
  </si>
  <si>
    <t xml:space="preserve">Линезолид, таблетки, покрытые пленочной оболочкой, 300 мг </t>
  </si>
  <si>
    <t>ЛИНЕЗОЛИД</t>
  </si>
  <si>
    <t>таблетки, покрытые пленочной оболочкой, 300 мг (контурная ячейковая упаковка) 10 х 1 (пачка картонная)</t>
  </si>
  <si>
    <t>ЛП-007777</t>
  </si>
  <si>
    <t>0873400003924000373</t>
  </si>
  <si>
    <t>https://zakupki.gov.ru/epz/order/notice/ea20/view/common-info.html?regNumber=0873400003924000373</t>
  </si>
  <si>
    <t>0873400003924000373-0001</t>
  </si>
  <si>
    <t>Линезолид</t>
  </si>
  <si>
    <t>таблетки, покрытые пленочной оболочкой, 600 мг (контурная ячейковая упаковка) 10 х 1 (пачка картонная)</t>
  </si>
  <si>
    <t>ЛП-003277</t>
  </si>
  <si>
    <t>0873400003924000374</t>
  </si>
  <si>
    <t>https://zakupki.gov.ru/epz/order/notice/ea20/view/common-info.html?regNumber=0873400003924000374</t>
  </si>
  <si>
    <t>0873400003924000374-0001</t>
  </si>
  <si>
    <t>1. Линезолид
2. Линезолид
3. Линезолид Канон
4. Линезолид-Эдвансд
5. ЛИНЕЗОЛИД
6. Линезолид-Эдвансд
7. ЛИНЕЗОЛИД
8. Линезолид
9. Линезолид
10. Линезолид
11. Линеген®
12. ЛИНЕЗОЛИД
13. Амизолид</t>
  </si>
  <si>
    <t>1. таблетки, покрытые пленочной оболочкой, 600 мг (банка) 10 х 1 (пачка картонная)
2. таблетки, покрытые пленочной оболочкой, 600 мг (контурная ячейковая упаковка) 10 х 1 (пачка картонная)
3. таблетки, покрытые пленочной оболочкой, 600 мг (контурная ячейковая упаковка) 10 х 1 (пачка картонная)
4. таблетки, покрытые пленочной оболочкой, 600 мг (блистер) 10 х 1 (пачка картонная)
5. таблетки, покрытые пленочной оболочкой, 300 мг (флакон) 40 х 1 (пачка картонная)
6. таблетки, покрытые пленочной оболочкой, 300 мг (блистер) 10 х 1 (пачка картонная)
7. таблетки, покрытые пленочной оболочкой, 600 мг (флакон) 20 х 1 (пачка картонная)
8. таблетки, покрытые пленочной оболочкой, 600 мг (контурная ячейковая упаковка) 5 х 2 (пачка картонная)
9. таблетки, покрытые пленочной оболочкой, 600 мг (контурная ячейковая упаковка) 10 х 1 (пачка картонная)
10. таблетки, покрытые пленочной оболочкой, 600 мг (контурная ячейковая упаковка) 10 х 1 (пачка картонная)
11. таблетки, покрытые пленочной оболочкой, 600 мг (блистер) 10 х 1 (пачка картонная)
12. таблетки, покрытые пленочной оболочкой, 300 мг (контурная ячейковая упаковка) 10 х 1 (пачка картонная)
13.  таблетки, покрытые пленочной оболочкой, 600 мг (контурная ячейковая упаковка) 10 х 1 (пачка картонная)</t>
  </si>
  <si>
    <t>1. ЛП-005632
2. ЛП-008544
3. ЛП-004087
4. ЛП-006791
5. ЛП-005494
6. ЛП-006791
7. ЛП-005494
8. ЛП-005497
9. ЛП-004973
10. ЛП-005407
11. ЛП-003968
12. ЛП-006668
13. ЛП-№(001051)-(РГ-RU)</t>
  </si>
  <si>
    <t>1. 10
2. 10
3. 10
4. 10
5. 40
6. 10
7. 20
8. 10
9. 10
10. 10
11. 10
12. 10
13. 10</t>
  </si>
  <si>
    <t>0873400003924000375</t>
  </si>
  <si>
    <t>https://zakupki.gov.ru/epz/order/notice/ea20/view/common-info.html?regNumber=0873400003924000375</t>
  </si>
  <si>
    <t>0873400003924000375_358372</t>
  </si>
  <si>
    <t>0873400003924000376</t>
  </si>
  <si>
    <t>https://zakupki.gov.ru/epz/order/notice/ea20/view/common-info.html?regNumber=0873400003924000376</t>
  </si>
  <si>
    <t>0873400003924000376-0001</t>
  </si>
  <si>
    <t>0873400003924000377</t>
  </si>
  <si>
    <t>https://zakupki.gov.ru/epz/order/notice/ea20/view/common-info.html?regNumber=0873400003924000377</t>
  </si>
  <si>
    <t>0873400003924000377-0001</t>
  </si>
  <si>
    <t xml:space="preserve">Левофлоксацин, капсулы и/или таблетки, покрытые пленочной оболочкой, 500 мг </t>
  </si>
  <si>
    <t>1.таблетки, покрытые пленочной оболочкой 250 мг (контурная ячейковая упаковка) 10 х 1 (пачка картонная);
2.таблетки, покрытые пленочной оболочкой, 500 мг (контурная ячейковая упаковка) 5 х 2 (пачка картонная);
3.таблетки, покрытые пленочной оболочкой, 500 мг (контурная ячейковая упаковка) 10 х 2 (пачка картонная).</t>
  </si>
  <si>
    <t>0873400003924000378</t>
  </si>
  <si>
    <t>https://zakupki.gov.ru/epz/order/notice/ea20/view/common-info.html?regNumber=0873400003924000378</t>
  </si>
  <si>
    <t>0873400003924000378-0001</t>
  </si>
  <si>
    <t>Амизолид</t>
  </si>
  <si>
    <t>таблетки, покрытые пленочной оболочкой, 200 мг (контурная ячейковая упаковка) 10 х 1 (пачка картонная)</t>
  </si>
  <si>
    <t>ЛП-№(001051)-(РГ-RU)</t>
  </si>
  <si>
    <t>0873400003924000379</t>
  </si>
  <si>
    <t>https://zakupki.gov.ru/epz/order/notice/ea20/view/common-info.html?regNumber=0873400003924000379</t>
  </si>
  <si>
    <t>0873400003924000379-0001</t>
  </si>
  <si>
    <t>ДИССЕМИЛ</t>
  </si>
  <si>
    <t>таблетки, покрытые пленочной оболочкой, 14 мг (контурная ячейковая упаковка) 14 х 2 (пачка картонная)</t>
  </si>
  <si>
    <t>ЛП-007758</t>
  </si>
  <si>
    <t>0873400003924000380</t>
  </si>
  <si>
    <t>https://zakupki.gov.ru/epz/order/notice/ea20/view/common-info.html?regNumber=0873400003924000380</t>
  </si>
  <si>
    <t>0873400003924000380-0001</t>
  </si>
  <si>
    <t xml:space="preserve">Такролимус, капсулы, 1 мг </t>
  </si>
  <si>
    <t>1. Такролимус;
2. Такролимус-ЛОК-БЕТА;
3. Прилуксид</t>
  </si>
  <si>
    <t>1. капсулы, 1.0 мг (флакон) 50 х 1 (пачка картонная);
2. капсулы, 1 мг (контурная ячейковая упаковка) 10 х 3 (пачка картонная);
3. капсулы, 1 мг (контурная ячейковая упаковка) 10 х 5 (пачка картонная).</t>
  </si>
  <si>
    <t>1. ЛП-003770;
2. ЛП-004160;
3. ЛП-№(001087)-(РГ-RU).</t>
  </si>
  <si>
    <t>1. 50;
2. 30;
3. 50.</t>
  </si>
  <si>
    <t>0873400003924000381</t>
  </si>
  <si>
    <t>https://zakupki.gov.ru/epz/order/notice/ea20/view/common-info.html?regNumber=0873400003924000381</t>
  </si>
  <si>
    <t>Абакавир, таблетки покрытые пленочной оболочкой, 600 мг, Дарунавир, таблетки, покрытые пленочной оболочкой, 800 мг, Абакавир, раствор для приема внутрь, 20 мг/мл, Ламивудин, раствор для приема внутрь, 10 мг/мл, Зидовудин, раствор для приема внутрь, 10 мг/мл</t>
  </si>
  <si>
    <t>0873400003924000382</t>
  </si>
  <si>
    <t>https://zakupki.gov.ru/epz/order/notice/ea20/view/common-info.html?regNumber=0873400003924000382</t>
  </si>
  <si>
    <t>0873400003924000382-0001</t>
  </si>
  <si>
    <t xml:space="preserve"> Линезолид, таблетки, покрытые пленочной оболочкой, 200 мг</t>
  </si>
  <si>
    <t>1. Линезолид;
2. ЛИНЕЗОЛИД.</t>
  </si>
  <si>
    <t>1. таблетки, покрытые пленочной оболочкой 200 мг (контурная ячейковая упаковка) 10 х 1 (пачка картонная);
2. таблетки, покрытые пленочной оболочкой 200 мг (контурная ячейковая упаковка) 10 х 1 (пачка картонная).</t>
  </si>
  <si>
    <t>1. ЛП-005497;
2. ЛП-006668.</t>
  </si>
  <si>
    <t>0873400003924000383</t>
  </si>
  <si>
    <t>https://zakupki.gov.ru/epz/order/notice/ea20/view/common-info.html?regNumber=0873400003924000383</t>
  </si>
  <si>
    <t>0873400003924000383_358372</t>
  </si>
  <si>
    <t>ТРАНСЛАРНА ®</t>
  </si>
  <si>
    <t>порошок для приема внутрь, 125 мг (пакетик-саше) 500 мг х 30 (пачка картонная)</t>
  </si>
  <si>
    <t>ЛП-006596</t>
  </si>
  <si>
    <t>0873400003924000384</t>
  </si>
  <si>
    <t>https://zakupki.gov.ru/epz/order/notice/ea20/view/common-info.html?regNumber=0873400003924000384</t>
  </si>
  <si>
    <t>0873400003924000385</t>
  </si>
  <si>
    <t>https://zakupki.gov.ru/epz/order/notice/ea20/view/common-info.html?regNumber=0873400003924000385</t>
  </si>
  <si>
    <t>0873400003924000385-0001</t>
  </si>
  <si>
    <t>ЛП-№(002738)-(РГ-RU)</t>
  </si>
  <si>
    <t>0873400003924000386</t>
  </si>
  <si>
    <t>https://zakupki.gov.ru/epz/order/notice/ea20/view/common-info.html?regNumber=0873400003924000386</t>
  </si>
  <si>
    <t>0873400003924000386-0001</t>
  </si>
  <si>
    <t>1.  ВПРИВ®;
2.  ВПРИВ®.</t>
  </si>
  <si>
    <t>1. лиофилизат для приготовления раствора для инфузий, 400 ЕД (флакон) х 1 (пачка картонная);
2. лиофилизат для приготовления раствора для инфузий, 400 ЕД (флакон) х 1 (пачка картонная).</t>
  </si>
  <si>
    <t>1.  ЛП-001975;
2.  ЛП-№(002738)-(РГ-RU).</t>
  </si>
  <si>
    <t>0873400003924000387</t>
  </si>
  <si>
    <t>https://zakupki.gov.ru/epz/order/notice/ea20/view/common-info.html?regNumber=0873400003924000387</t>
  </si>
  <si>
    <t>0873400003924000387-0001</t>
  </si>
  <si>
    <t>Вакцина для профилактики полиомиелита 
(инактивированная)</t>
  </si>
  <si>
    <t>ПолиовакСин (Вакцина полиомиелитная культуральная очищенная концентрированная инактивированная жидкая из аттенуированных штаммов Сэбина)</t>
  </si>
  <si>
    <t>раствор для внутримышечного введения, 0.5 мл/доза (флакон) 1 доза (0.5 мл) х 10 (пачка картонная)</t>
  </si>
  <si>
    <t>ЛП-007478</t>
  </si>
  <si>
    <t>0873400003924000388</t>
  </si>
  <si>
    <t>https://zakupki.gov.ru/epz/order/notice/ea20/view/common-info.html?regNumber=0873400003924000388</t>
  </si>
  <si>
    <t>0873400003924000388_358372</t>
  </si>
  <si>
    <t>0873400003924000389</t>
  </si>
  <si>
    <t>https://zakupki.gov.ru/epz/order/notice/ea20/view/common-info.html?regNumber=0873400003924000389</t>
  </si>
  <si>
    <t>Вакцина для профилактики полиомиелита (пероральная), раствор для приема внутрь, 0,2 мл/доза</t>
  </si>
  <si>
    <t>0873400003924000390</t>
  </si>
  <si>
    <t>https://zakupki.gov.ru/epz/order/notice/ea20/view/common-info.html?regNumber=0873400003924000390</t>
  </si>
  <si>
    <t>0873400003924000390_358372</t>
  </si>
  <si>
    <t>0873400003924000391</t>
  </si>
  <si>
    <t>https://zakupki.gov.ru/epz/order/notice/ea20/view/common-info.html?regNumber=0873400003924000391</t>
  </si>
  <si>
    <t>Вакцина для профилактики вирусного гепатита В, дифтерии и столбняка, суспензия для 
внутримышечного введения, 0.5 мл/доза</t>
  </si>
  <si>
    <t>0873400003924000392</t>
  </si>
  <si>
    <t>https://zakupki.gov.ru/epz/order/notice/ea20/view/common-info.html?regNumber=0873400003924000392</t>
  </si>
  <si>
    <t>Аминосалициловая кислота, раствор для 
инфузий, 30 мг/мл, и/или лиофилизат для 
приготовления раствора для инфузий, 13,49 г</t>
  </si>
  <si>
    <t>0873400003924000393</t>
  </si>
  <si>
    <t>https://zakupki.gov.ru/epz/order/notice/ea20/view/common-info.html?regNumber=0873400003924000393</t>
  </si>
  <si>
    <t>0873400003924000393-0001</t>
  </si>
  <si>
    <t xml:space="preserve"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и/или гранулы, покрытые оболочкой, для приема внутрь </t>
  </si>
  <si>
    <t>1. Амиктобин
2. Натрия пара-аминосалицилат
3. ПАСК-Акри</t>
  </si>
  <si>
    <t>1. таблетки кишечнорастворимые, 
покрытые пленочной оболочкой, 
1000 мг (банка) 500 х 1 (коробка картонная) (для стационаров);
2. таблетки кишечнорастворимые, 
покрытые пленочной оболочкой, 
1000 мг (банка) 100 х 1 (пачка картонная);
3. таблетки кишечнорастворимые, 
покрытые пленочной оболочкой, 
1000 мг (пакет) 500 х 1 (контейнер) (для стационаров).</t>
  </si>
  <si>
    <t>1.ЛП-№(000721)-(РГ-RU)
2.ЛС-000229
3.ЛП-№(000966)-(РГ-RU)</t>
  </si>
  <si>
    <t>1.500
2.100
3.500</t>
  </si>
  <si>
    <t>0873400003924000394</t>
  </si>
  <si>
    <t>https://zakupki.gov.ru/epz/order/notice/ea20/view/common-info.html?regNumber=0873400003924000394</t>
  </si>
  <si>
    <t>0873400003924000395</t>
  </si>
  <si>
    <t>https://zakupki.gov.ru/epz/order/notice/ea20/view/common-info.html?regNumber=0873400003924000395</t>
  </si>
  <si>
    <t>0873400003924000395_358372</t>
  </si>
  <si>
    <t>Глекапревир + Пибрентасвир, гранулы, покрытые оболочкой, 50 мг+20 мг</t>
  </si>
  <si>
    <t>гранулы, покрытые оболочкой, для детей, 50 мг+20 мг (саше) х 28 (пачка картонная)</t>
  </si>
  <si>
    <t>0873400003924000396</t>
  </si>
  <si>
    <t>1688 ЗК</t>
  </si>
  <si>
    <t>https://zakupki.gov.ru/epz/order/notice/ea20/view/common-info.html?regNumber=0873400003924000396</t>
  </si>
  <si>
    <t>Анатоксин дифтерийно-столбнячный, суспензия для внутримышечного введения</t>
  </si>
  <si>
    <t>0873400003924000397</t>
  </si>
  <si>
    <t>https://zakupki.gov.ru/epz/order/notice/ea20/view/common-info.html?regNumber=0873400003924000397</t>
  </si>
  <si>
    <t>0873400003924000398</t>
  </si>
  <si>
    <t>https://zakupki.gov.ru/epz/order/notice/ea20/view/common-info.html?regNumber=0873400003924000398</t>
  </si>
  <si>
    <t>0873400003924000399</t>
  </si>
  <si>
    <t>https://zakupki.gov.ru/epz/order/notice/ea20/view/common-info.html?regNumber=0873400003924000399</t>
  </si>
  <si>
    <t>0873400003924000400</t>
  </si>
  <si>
    <t>https://zakupki.gov.ru/epz/order/notice/ea20/view/common-info.html?regNumber=0873400003924000400</t>
  </si>
  <si>
    <t>0873400003924000400-0001</t>
  </si>
  <si>
    <t>ООО "Еврогрупп-мед"</t>
  </si>
  <si>
    <t>Амикацин</t>
  </si>
  <si>
    <t>порошок для приготовления раствора для внутривенного и внутримышечного введения, 500 мг (флакон) х 50 (коробка картонная) (для стационаров)</t>
  </si>
  <si>
    <t>ЛП-№(000967)-(РГ-RU)</t>
  </si>
  <si>
    <t>0873400003924000401</t>
  </si>
  <si>
    <t>https://zakupki.gov.ru/epz/order/notice/ea20/view/common-info.html?regNumber=0873400003924000401</t>
  </si>
  <si>
    <t>0873400003924000401-0001</t>
  </si>
  <si>
    <t>порошок для приготовления раствора для внутривенного и внутримышечного введения, 1000 мг (флакон) х 50 (коробка картонная) (для стационаров)</t>
  </si>
  <si>
    <t>ЛП-№(000925)-(РГ-RU)</t>
  </si>
  <si>
    <t>0873400003924000402</t>
  </si>
  <si>
    <t>https://zakupki.gov.ru/epz/order/notice/ea20/view/common-info.html?regNumber=0873400003924000402</t>
  </si>
  <si>
    <t xml:space="preserve"> Велпатасвир + Софосбувир, таблетки, покрытые пленочной оболочкой, 100 мг + 400 мг</t>
  </si>
  <si>
    <t>0873400003924000404</t>
  </si>
  <si>
    <t>https://zakupki.gov.ru/epz/order/notice/ea20/view/common-info.html?regNumber=0873400003924000404</t>
  </si>
  <si>
    <t>0873400003924000405</t>
  </si>
  <si>
    <t>https://zakupki.gov.ru/epz/order/notice/ea20/view/common-info.html?regNumber=0873400003924000405</t>
  </si>
  <si>
    <t>Глекапревир+Пибрентасвир, таблетки, покрытые пленочной оболочкой, 100 мг+40 мг</t>
  </si>
  <si>
    <t>0873400003924000406</t>
  </si>
  <si>
    <t>https://zakupki.gov.ru/epz/order/notice/ea20/view/common-info.html?regNumber=0873400003924000406</t>
  </si>
  <si>
    <t>0873400003924000406-0001</t>
  </si>
  <si>
    <t>1. Амикацин;
2. Амикацин.</t>
  </si>
  <si>
    <t>1. порошок для приготовления раствора для внутривенного и внутримышечного введения 500 мг (флакон) х 50 (коробка картонная) (для стационаров);
2. порошок для приготовления раствора для внутривенного и внутримышечного введения 500 мг (флакон) х 1 (пачка картонная).</t>
  </si>
  <si>
    <t>1. ЛП-№(000967)-(РГ-RU)
2. ЛС-000772</t>
  </si>
  <si>
    <t>1. 25;
2. 0,5.</t>
  </si>
  <si>
    <t>0873400003924000407</t>
  </si>
  <si>
    <t>0873400003924000408</t>
  </si>
  <si>
    <t>0873400003924000409</t>
  </si>
  <si>
    <t>0873400003924000410</t>
  </si>
  <si>
    <t>0873400003924000411</t>
  </si>
  <si>
    <t>0873400003924000412</t>
  </si>
  <si>
    <t>0873400003924000413</t>
  </si>
  <si>
    <t>0873400003924000414</t>
  </si>
  <si>
    <t>0873400003924000415</t>
  </si>
  <si>
    <t>0873400003924000416</t>
  </si>
  <si>
    <t>0873400003924000417</t>
  </si>
  <si>
    <t>0873400003924000418</t>
  </si>
  <si>
    <t>Себелипаза альфа, концентрат для 
приготовления раствора для инфузий, 2 мг/мл</t>
  </si>
  <si>
    <t>0873400003924000419</t>
  </si>
  <si>
    <t>0873400003924000420</t>
  </si>
  <si>
    <t>0873400003924000421</t>
  </si>
  <si>
    <t>0873400003924000422</t>
  </si>
  <si>
    <t>0873400003924000423</t>
  </si>
  <si>
    <t xml:space="preserve">Анатоксин дифтерийно-столбнячный, суспензия для внутримышечного введения </t>
  </si>
  <si>
    <t>0873400003924000424</t>
  </si>
  <si>
    <t>0873400003924000425</t>
  </si>
  <si>
    <t>0873400003924000426</t>
  </si>
  <si>
    <t xml:space="preserve">Иксазомиб, капсулы, 3 мг </t>
  </si>
  <si>
    <t>0873400003924000427</t>
  </si>
  <si>
    <t>0873400003924000428</t>
  </si>
  <si>
    <t>Мороктоког альфа, лиофилизат для 
приготовления раствора для внутривенного 
введения, 1000 МЕ</t>
  </si>
  <si>
    <t>0873400003924000429</t>
  </si>
  <si>
    <t>0873400003924000430</t>
  </si>
  <si>
    <t>0873400003924000431</t>
  </si>
  <si>
    <t>Доравирин + Ламивудин + Тенофовир, 
таблетки, покрытые пленочной оболочкой, 
100 мг + 300 мг + 245 мг</t>
  </si>
  <si>
    <t>0873400003924000432</t>
  </si>
  <si>
    <t>Фосфазид, таблетки и/или таблетки, 
покрытые пленочной оболочкой, 200 мг</t>
  </si>
  <si>
    <t>0873400003924000433</t>
  </si>
  <si>
    <t>0873400003924000434</t>
  </si>
  <si>
    <t>Кобицистат + Тенофовира алафенамид + 
Элвитегравир + Эмтрицитабин, таблетки, 
покрытые пленочной оболочкой, 150 мг + 10 
мг + 150 мг + 200 мг</t>
  </si>
  <si>
    <t>0873400003924000435</t>
  </si>
  <si>
    <t>0873400003924000436</t>
  </si>
  <si>
    <t>0873400003924000437</t>
  </si>
  <si>
    <t>Биктегравир + Тенофовир алафенамид + 
Эмтрицитабин, таблетки покрытые 
пленочной оболочкой, 50 мг+25 мг+200 мг</t>
  </si>
  <si>
    <t>0873400003924000438</t>
  </si>
  <si>
    <t>0873400003924000439</t>
  </si>
  <si>
    <t>0873400003924000440</t>
  </si>
  <si>
    <t>0873400003924000441</t>
  </si>
  <si>
    <t>0873400003924000442</t>
  </si>
  <si>
    <t>0873400003924000443</t>
  </si>
  <si>
    <t>Мороктоког альфа, лиофилизат для 
приготовления раствора для внутривенного 
введения, 2000 МЕ</t>
  </si>
  <si>
    <t>0873400003924000444</t>
  </si>
  <si>
    <t>0873400003924000445</t>
  </si>
  <si>
    <t>0873400003924000446</t>
  </si>
  <si>
    <t>0873400003924000447</t>
  </si>
  <si>
    <t>0873400003924000448</t>
  </si>
  <si>
    <t>0873400003924000452</t>
  </si>
  <si>
    <t>0873400003924000453</t>
  </si>
  <si>
    <t>0873400003924000454</t>
  </si>
  <si>
    <t>0873400003924000455</t>
  </si>
  <si>
    <t>0873400003924000456</t>
  </si>
  <si>
    <t>0873400003924000457</t>
  </si>
  <si>
    <t>Мороктоког альфа, лиофилизат для 
приготовления раствора для внутривенного 
введения, 500 МЕ</t>
  </si>
  <si>
    <t>0873400003924000458</t>
  </si>
  <si>
    <t>0873400003924000459</t>
  </si>
  <si>
    <t>0873400003924000460</t>
  </si>
  <si>
    <t>Алглюкозидаза альфа, лиофилизат для 
приготовления концентрата для 
приготовления раствора для инфузий, 50 мг</t>
  </si>
  <si>
    <t>0873400003924000461</t>
  </si>
  <si>
    <t>0873400003924000462</t>
  </si>
  <si>
    <t>0873400003924000463</t>
  </si>
  <si>
    <t>0873400003924000464</t>
  </si>
  <si>
    <t>0873400003924000465</t>
  </si>
  <si>
    <t>0873400003924000466</t>
  </si>
  <si>
    <t>0873400003924000467</t>
  </si>
  <si>
    <t>Ритуксимаб, раствор для подкожного 
введения 1400 мг/11,7 мл и/или 1600 мг/13,4 
мл</t>
  </si>
  <si>
    <t>0873400003924000468</t>
  </si>
  <si>
    <t>Ритуксимаб, концентрат для приготовления 
раствора для инфузий, 10 мг/мл, 50 мл</t>
  </si>
  <si>
    <t>0873400003924000469</t>
  </si>
  <si>
    <t>Ритуксимаб, концентрат для приготовления 
раствора для инфузий 10 мг/мл, 10 мл</t>
  </si>
  <si>
    <t>0873400003924000470</t>
  </si>
  <si>
    <t>0873400003924000471</t>
  </si>
  <si>
    <t>0873400003924000472</t>
  </si>
  <si>
    <t>0873400003924000473</t>
  </si>
  <si>
    <t>Эмицизумаб, раствор для подкожного 
введения, 150 мг/мл, 0,4 мл</t>
  </si>
  <si>
    <t>0873400003924000474</t>
  </si>
  <si>
    <t>0873400003924000475</t>
  </si>
  <si>
    <t>0873400003924000476</t>
  </si>
  <si>
    <t>0873400003924000477</t>
  </si>
  <si>
    <t>0873400003924000478</t>
  </si>
  <si>
    <t>0873400003924000479</t>
  </si>
  <si>
    <t>Флударабин, таблетки покрытые пленочной 
оболочкой, 10 мг</t>
  </si>
  <si>
    <t>0873400003924000480</t>
  </si>
  <si>
    <t>0873400003924000481</t>
  </si>
  <si>
    <t>0873400003924000482</t>
  </si>
  <si>
    <t>Зидовудин, таблетки, покрытые пленочной 
оболочкой и/или капсулы, 300 мг</t>
  </si>
  <si>
    <t>0873400003924000483</t>
  </si>
  <si>
    <t>Рилпивирин+Тенофовир+Эмтрицитабин, 
таблетки, покрытые пленочной оболочкой, 25 
мг+300 мг+200 мг</t>
  </si>
  <si>
    <t>0873400003924000484</t>
  </si>
  <si>
    <t>Онасемноген абепарвовек, раствор для 
инфузий, 2x10^13 вектор-геномов/мл</t>
  </si>
  <si>
    <t>0873400003924000485</t>
  </si>
  <si>
    <t>0873400003924000486</t>
  </si>
  <si>
    <t>0873400003924000487</t>
  </si>
  <si>
    <t>0873400003924000488</t>
  </si>
  <si>
    <t>Нусинерсен, раствор для интратекального 
введения, 2,4 мг/мл</t>
  </si>
  <si>
    <t>0873400003924000489</t>
  </si>
  <si>
    <t>Аталурен, порошок для приема внутрь, 250 
мг</t>
  </si>
  <si>
    <t>0873400003924000490</t>
  </si>
  <si>
    <t>0873400003924000491</t>
  </si>
  <si>
    <t>Флударабин, лиофилизат для приготовления 
раствора для внутривенного введения, 50 мг
и/или концентрат для приготовления 
раствора для внутривенного введения, 25 
мг/мл</t>
  </si>
  <si>
    <t>0873400003924000492</t>
  </si>
  <si>
    <t>0873400003924000493</t>
  </si>
  <si>
    <t>0873400003924000494</t>
  </si>
  <si>
    <t>0873400003924000495</t>
  </si>
  <si>
    <t>0873400003924000496</t>
  </si>
  <si>
    <t>Бортезомиб, лиофилизат для приготовления 
раствора для внутривенного и подкожного 
введения, 2,5 мг и/или 3,0 мг и/или 3,5 мг</t>
  </si>
  <si>
    <t>0873400003924000497</t>
  </si>
  <si>
    <t>0873400003924000498</t>
  </si>
  <si>
    <t>0873400003924000499</t>
  </si>
  <si>
    <t>0873400003924000500</t>
  </si>
  <si>
    <t>0873400003924000501</t>
  </si>
  <si>
    <t>0873400003924000502</t>
  </si>
  <si>
    <t xml:space="preserve">Деламанид, таблетки, покрытые пленочной 
оболочкой 50 мг </t>
  </si>
  <si>
    <t>0873400003924000503</t>
  </si>
  <si>
    <t>0873400003924000504</t>
  </si>
  <si>
    <t>Асфотаза альфа, раствор для подкожного 
введения, 40 мг/мл, 0,7 мл</t>
  </si>
  <si>
    <t>0873400003924000505</t>
  </si>
  <si>
    <t xml:space="preserve">Динутуксимаб бета, концентрат для 
приготовления раствора для инфузий, 4,5 
мг/мл </t>
  </si>
  <si>
    <t>0873400003924000506</t>
  </si>
  <si>
    <t>0873400003924000507</t>
  </si>
  <si>
    <t>0873400003924000508</t>
  </si>
  <si>
    <t xml:space="preserve">Моксифлоксацин, таблетки, покрытые 
пленочной оболочкой, 400 мг </t>
  </si>
  <si>
    <t>0873400003924000509</t>
  </si>
  <si>
    <t>0873400003924000510</t>
  </si>
  <si>
    <t xml:space="preserve">Симоктоког альфа (фактор свертывания 
крови VIII человеческий рекомбинантный), 
лиофилизат для приготовления раствора для 
внутривенного введения, 500 МЕ </t>
  </si>
  <si>
    <t>0873400003924000511</t>
  </si>
  <si>
    <t>0873400003924000512</t>
  </si>
  <si>
    <t>0873400003924000513</t>
  </si>
  <si>
    <t>0873400003924000514</t>
  </si>
  <si>
    <t>0873400003924000515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</si>
</sst>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9" xfId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4" fillId="0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7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324" Type="http://schemas.openxmlformats.org/officeDocument/2006/relationships/hyperlink" Target="https://zakupki.gov.ru/epz/order/notice/ea20/view/common-info.html?regNumber=0873400003924000135" TargetMode="External"/><Relationship Id="rId531" Type="http://schemas.openxmlformats.org/officeDocument/2006/relationships/hyperlink" Target="https://zakupki.gov.ru/epz/order/notice/ea20/view/common-info.html?regNumber=0873400003924000358" TargetMode="External"/><Relationship Id="rId170" Type="http://schemas.openxmlformats.org/officeDocument/2006/relationships/hyperlink" Target="https://zakupki.gov.ru/epz/order/notice/ea20/view/common-info.html?regNumber=0873400003923000721" TargetMode="External"/><Relationship Id="rId268" Type="http://schemas.openxmlformats.org/officeDocument/2006/relationships/hyperlink" Target="https://zakupki.gov.ru/epz/order/notice/ea20/view/common-info.html?regNumber=0873400003924000078" TargetMode="External"/><Relationship Id="rId475" Type="http://schemas.openxmlformats.org/officeDocument/2006/relationships/hyperlink" Target="https://zakupki.gov.ru/epz/order/notice/ea20/view/common-info.html?regNumber=0873400003924000309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128" Type="http://schemas.openxmlformats.org/officeDocument/2006/relationships/hyperlink" Target="https://zakupki.gov.ru/epz/order/notice/ea20/view/common-info.html?regNumber=0873400003923000672" TargetMode="External"/><Relationship Id="rId335" Type="http://schemas.openxmlformats.org/officeDocument/2006/relationships/hyperlink" Target="https://zakupki.gov.ru/epz/order/notice/ea20/view/common-info.html?regNumber=0873400003924000148" TargetMode="External"/><Relationship Id="rId542" Type="http://schemas.openxmlformats.org/officeDocument/2006/relationships/hyperlink" Target="https://zakupki.gov.ru/epz/order/notice/ea20/view/common-info.html?regNumber=0873400003924000373" TargetMode="External"/><Relationship Id="rId181" Type="http://schemas.openxmlformats.org/officeDocument/2006/relationships/hyperlink" Target="https://zakupki.gov.ru/epz/order/notice/ea20/view/common-info.html?regNumber=0873400003923000732" TargetMode="External"/><Relationship Id="rId402" Type="http://schemas.openxmlformats.org/officeDocument/2006/relationships/hyperlink" Target="https://zakupki.gov.ru/epz/order/notice/ea20/view/common-info.html?regNumber=0873400003924000216" TargetMode="External"/><Relationship Id="rId279" Type="http://schemas.openxmlformats.org/officeDocument/2006/relationships/hyperlink" Target="https://zakupki.gov.ru/epz/order/notice/ea20/view/common-info.html?regNumber=0873400003924000089" TargetMode="External"/><Relationship Id="rId486" Type="http://schemas.openxmlformats.org/officeDocument/2006/relationships/hyperlink" Target="https://zakupki.gov.ru/epz/order/notice/ea20/view/common-info.html?regNumber=0873400003924000325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139" Type="http://schemas.openxmlformats.org/officeDocument/2006/relationships/hyperlink" Target="https://zakupki.gov.ru/epz/order/notice/ea20/view/common-info.html?regNumber=0873400003923000685" TargetMode="External"/><Relationship Id="rId346" Type="http://schemas.openxmlformats.org/officeDocument/2006/relationships/hyperlink" Target="https://zakupki.gov.ru/epz/order/notice/ea20/view/common-info.html?regNumber=0873400003924000159" TargetMode="External"/><Relationship Id="rId553" Type="http://schemas.openxmlformats.org/officeDocument/2006/relationships/hyperlink" Target="https://zakupki.gov.ru/epz/order/notice/ea20/view/common-info.html?regNumber=0873400003924000384" TargetMode="External"/><Relationship Id="rId192" Type="http://schemas.openxmlformats.org/officeDocument/2006/relationships/hyperlink" Target="https://zakupki.gov.ru/epz/order/notice/ea20/view/common-info.html?regNumber=0873400003924000002" TargetMode="External"/><Relationship Id="rId206" Type="http://schemas.openxmlformats.org/officeDocument/2006/relationships/hyperlink" Target="https://zakupki.gov.ru/epz/order/notice/ea20/view/common-info.html?regNumber=0873400003924000016" TargetMode="External"/><Relationship Id="rId413" Type="http://schemas.openxmlformats.org/officeDocument/2006/relationships/hyperlink" Target="https://zakupki.gov.ru/epz/order/notice/ea20/view/common-info.html?regNumber=0873400003924000228" TargetMode="External"/><Relationship Id="rId497" Type="http://schemas.openxmlformats.org/officeDocument/2006/relationships/hyperlink" Target="https://zakupki.gov.ru/epz/order/notice/ea20/view/common-info.html?regNumber=0873400003924000336" TargetMode="External"/><Relationship Id="rId357" Type="http://schemas.openxmlformats.org/officeDocument/2006/relationships/hyperlink" Target="https://zakupki.gov.ru/epz/order/notice/ea20/view/common-info.html?regNumber=0873400003924000170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217" Type="http://schemas.openxmlformats.org/officeDocument/2006/relationships/hyperlink" Target="https://zakupki.gov.ru/epz/order/notice/ea20/view/common-info.html?regNumber=0873400003924000027" TargetMode="External"/><Relationship Id="rId564" Type="http://schemas.openxmlformats.org/officeDocument/2006/relationships/hyperlink" Target="https://zakupki.gov.ru/epz/order/notice/ea20/view/common-info.html?regNumber=0873400003924000395" TargetMode="External"/><Relationship Id="rId424" Type="http://schemas.openxmlformats.org/officeDocument/2006/relationships/hyperlink" Target="https://zakupki.gov.ru/epz/order/notice/ea20/view/common-info.html?regNumber=0873400003924000240" TargetMode="External"/><Relationship Id="rId270" Type="http://schemas.openxmlformats.org/officeDocument/2006/relationships/hyperlink" Target="https://zakupki.gov.ru/epz/order/notice/ea20/view/common-info.html?regNumber=0873400003924000080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130" Type="http://schemas.openxmlformats.org/officeDocument/2006/relationships/hyperlink" Target="https://zakupki.gov.ru/epz/order/notice/ea20/view/common-info.html?regNumber=0873400003923000675" TargetMode="External"/><Relationship Id="rId368" Type="http://schemas.openxmlformats.org/officeDocument/2006/relationships/hyperlink" Target="https://zakupki.gov.ru/epz/order/notice/ea20/view/common-info.html?regNumber=0873400003924000181" TargetMode="External"/><Relationship Id="rId228" Type="http://schemas.openxmlformats.org/officeDocument/2006/relationships/hyperlink" Target="https://zakupki.gov.ru/epz/order/notice/ea20/view/common-info.html?regNumber=0873400003924000037" TargetMode="External"/><Relationship Id="rId435" Type="http://schemas.openxmlformats.org/officeDocument/2006/relationships/hyperlink" Target="https://zakupki.gov.ru/epz/order/notice/ea20/view/common-info.html?regNumber=0873400003924000265" TargetMode="External"/><Relationship Id="rId281" Type="http://schemas.openxmlformats.org/officeDocument/2006/relationships/hyperlink" Target="https://zakupki.gov.ru/epz/order/notice/ea20/view/common-info.html?regNumber=0873400003924000091" TargetMode="External"/><Relationship Id="rId337" Type="http://schemas.openxmlformats.org/officeDocument/2006/relationships/hyperlink" Target="https://zakupki.gov.ru/epz/order/notice/ea20/view/common-info.html?regNumber=0873400003924000150" TargetMode="External"/><Relationship Id="rId502" Type="http://schemas.openxmlformats.org/officeDocument/2006/relationships/hyperlink" Target="https://zakupki.gov.ru/epz/order/notice/ea20/view/common-info.html?regNumber=0873400003924000341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141" Type="http://schemas.openxmlformats.org/officeDocument/2006/relationships/hyperlink" Target="https://zakupki.gov.ru/epz/order/notice/ea20/view/common-info.html?regNumber=0873400003923000687" TargetMode="External"/><Relationship Id="rId379" Type="http://schemas.openxmlformats.org/officeDocument/2006/relationships/hyperlink" Target="https://zakupki.gov.ru/epz/order/notice/ea20/view/common-info.html?regNumber=0873400003924000192" TargetMode="External"/><Relationship Id="rId544" Type="http://schemas.openxmlformats.org/officeDocument/2006/relationships/hyperlink" Target="https://zakupki.gov.ru/epz/order/notice/ea20/view/common-info.html?regNumber=0873400003924000375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183" Type="http://schemas.openxmlformats.org/officeDocument/2006/relationships/hyperlink" Target="https://zakupki.gov.ru/epz/order/notice/ea20/view/common-info.html?regNumber=0873400003923000734" TargetMode="External"/><Relationship Id="rId239" Type="http://schemas.openxmlformats.org/officeDocument/2006/relationships/hyperlink" Target="https://zakupki.gov.ru/epz/order/notice/ea20/view/common-info.html?regNumber=0873400003924000048" TargetMode="External"/><Relationship Id="rId390" Type="http://schemas.openxmlformats.org/officeDocument/2006/relationships/hyperlink" Target="https://zakupki.gov.ru/epz/order/notice/ea20/view/common-info.html?regNumber=0873400003924000203" TargetMode="External"/><Relationship Id="rId404" Type="http://schemas.openxmlformats.org/officeDocument/2006/relationships/hyperlink" Target="https://zakupki.gov.ru/epz/order/notice/ea20/view/common-info.html?regNumber=0873400003924000218" TargetMode="External"/><Relationship Id="rId446" Type="http://schemas.openxmlformats.org/officeDocument/2006/relationships/hyperlink" Target="https://zakupki.gov.ru/epz/order/notice/ea20/view/common-info.html?regNumber=0873400003924000276" TargetMode="External"/><Relationship Id="rId250" Type="http://schemas.openxmlformats.org/officeDocument/2006/relationships/hyperlink" Target="https://zakupki.gov.ru/epz/order/notice/ea20/view/common-info.html?regNumber=0873400003924000060" TargetMode="External"/><Relationship Id="rId292" Type="http://schemas.openxmlformats.org/officeDocument/2006/relationships/hyperlink" Target="https://zakupki.gov.ru/epz/order/notice/ea20/view/common-info.html?regNumber=0873400003924000102" TargetMode="External"/><Relationship Id="rId306" Type="http://schemas.openxmlformats.org/officeDocument/2006/relationships/hyperlink" Target="https://zakupki.gov.ru/epz/order/notice/ea20/view/common-info.html?regNumber=0873400003924000116" TargetMode="External"/><Relationship Id="rId488" Type="http://schemas.openxmlformats.org/officeDocument/2006/relationships/hyperlink" Target="https://zakupki.gov.ru/epz/order/notice/ea20/view/common-info.html?regNumber=0873400003924000327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348" Type="http://schemas.openxmlformats.org/officeDocument/2006/relationships/hyperlink" Target="https://zakupki.gov.ru/epz/order/notice/ea20/view/common-info.html?regNumber=0873400003924000161" TargetMode="External"/><Relationship Id="rId513" Type="http://schemas.openxmlformats.org/officeDocument/2006/relationships/hyperlink" Target="https://zakupki.gov.ru/epz/order/notice/ea20/view/common-info.html?regNumber=0873400003924000254" TargetMode="External"/><Relationship Id="rId555" Type="http://schemas.openxmlformats.org/officeDocument/2006/relationships/hyperlink" Target="https://zakupki.gov.ru/epz/order/notice/ea20/view/common-info.html?regNumber=0873400003924000386" TargetMode="External"/><Relationship Id="rId152" Type="http://schemas.openxmlformats.org/officeDocument/2006/relationships/hyperlink" Target="https://zakupki.gov.ru/epz/order/notice/ea20/view/common-info.html?regNumber=0873400003923000698" TargetMode="External"/><Relationship Id="rId194" Type="http://schemas.openxmlformats.org/officeDocument/2006/relationships/hyperlink" Target="https://zakupki.gov.ru/epz/order/notice/ea20/view/common-info.html?regNumber=0873400003924000004" TargetMode="External"/><Relationship Id="rId208" Type="http://schemas.openxmlformats.org/officeDocument/2006/relationships/hyperlink" Target="https://zakupki.gov.ru/epz/order/notice/ea20/view/common-info.html?regNumber=0873400003924000018" TargetMode="External"/><Relationship Id="rId415" Type="http://schemas.openxmlformats.org/officeDocument/2006/relationships/hyperlink" Target="https://zakupki.gov.ru/epz/order/notice/ea20/view/common-info.html?regNumber=0873400003924000230" TargetMode="External"/><Relationship Id="rId457" Type="http://schemas.openxmlformats.org/officeDocument/2006/relationships/hyperlink" Target="https://zakupki.gov.ru/epz/order/notice/ea20/view/common-info.html?regNumber=0873400003924000287" TargetMode="External"/><Relationship Id="rId261" Type="http://schemas.openxmlformats.org/officeDocument/2006/relationships/hyperlink" Target="https://zakupki.gov.ru/epz/order/notice/ea20/view/common-info.html?regNumber=0873400003924000071" TargetMode="External"/><Relationship Id="rId499" Type="http://schemas.openxmlformats.org/officeDocument/2006/relationships/hyperlink" Target="https://zakupki.gov.ru/epz/order/notice/ea20/view/common-info.html?regNumber=0873400003924000338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317" Type="http://schemas.openxmlformats.org/officeDocument/2006/relationships/hyperlink" Target="https://zakupki.gov.ru/epz/order/notice/ea20/view/common-info.html?regNumber=0873400003924000128" TargetMode="External"/><Relationship Id="rId359" Type="http://schemas.openxmlformats.org/officeDocument/2006/relationships/hyperlink" Target="https://zakupki.gov.ru/epz/order/notice/ea20/view/common-info.html?regNumber=0873400003924000172" TargetMode="External"/><Relationship Id="rId524" Type="http://schemas.openxmlformats.org/officeDocument/2006/relationships/hyperlink" Target="https://zakupki.gov.ru/epz/order/notice/ea20/view/common-info.html?regNumber=0873400003924000351" TargetMode="External"/><Relationship Id="rId566" Type="http://schemas.openxmlformats.org/officeDocument/2006/relationships/hyperlink" Target="https://zakupki.gov.ru/epz/order/notice/ea20/view/common-info.html?regNumber=0873400003924000397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21" Type="http://schemas.openxmlformats.org/officeDocument/2006/relationships/hyperlink" Target="https://zakupki.gov.ru/epz/order/notice/ea20/view/common-info.html?regNumber=0873400003923000665" TargetMode="External"/><Relationship Id="rId163" Type="http://schemas.openxmlformats.org/officeDocument/2006/relationships/hyperlink" Target="https://zakupki.gov.ru/epz/order/notice/ea20/view/common-info.html?regNumber=0873400003923000710" TargetMode="External"/><Relationship Id="rId219" Type="http://schemas.openxmlformats.org/officeDocument/2006/relationships/hyperlink" Target="https://zakupki.gov.ru/epz/order/notice/ea20/view/common-info.html?regNumber=0873400003924000029" TargetMode="External"/><Relationship Id="rId370" Type="http://schemas.openxmlformats.org/officeDocument/2006/relationships/hyperlink" Target="https://zakupki.gov.ru/epz/order/notice/ea20/view/common-info.html?regNumber=0873400003924000183" TargetMode="External"/><Relationship Id="rId426" Type="http://schemas.openxmlformats.org/officeDocument/2006/relationships/hyperlink" Target="https://zakupki.gov.ru/epz/order/notice/ea20/view/common-info.html?regNumber=0873400003924000256" TargetMode="External"/><Relationship Id="rId230" Type="http://schemas.openxmlformats.org/officeDocument/2006/relationships/hyperlink" Target="https://zakupki.gov.ru/epz/order/notice/ea20/view/common-info.html?regNumber=0873400003924000039" TargetMode="External"/><Relationship Id="rId468" Type="http://schemas.openxmlformats.org/officeDocument/2006/relationships/hyperlink" Target="https://zakupki.gov.ru/epz/order/notice/ea20/view/common-info.html?regNumber=0873400003924000299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272" Type="http://schemas.openxmlformats.org/officeDocument/2006/relationships/hyperlink" Target="https://zakupki.gov.ru/epz/order/notice/ea20/view/common-info.html?regNumber=0873400003924000082" TargetMode="External"/><Relationship Id="rId328" Type="http://schemas.openxmlformats.org/officeDocument/2006/relationships/hyperlink" Target="https://zakupki.gov.ru/epz/order/notice/ea20/view/common-info.html?regNumber=0873400003924000139" TargetMode="External"/><Relationship Id="rId535" Type="http://schemas.openxmlformats.org/officeDocument/2006/relationships/hyperlink" Target="https://zakupki.gov.ru/epz/order/notice/ea20/view/common-info.html?regNumber=0873400003924000364" TargetMode="External"/><Relationship Id="rId132" Type="http://schemas.openxmlformats.org/officeDocument/2006/relationships/hyperlink" Target="https://zakupki.gov.ru/epz/order/notice/ea20/view/common-info.html?regNumber=0873400003923000677" TargetMode="External"/><Relationship Id="rId174" Type="http://schemas.openxmlformats.org/officeDocument/2006/relationships/hyperlink" Target="https://zakupki.gov.ru/epz/order/notice/ea20/view/common-info.html?regNumber=0873400003923000725" TargetMode="External"/><Relationship Id="rId381" Type="http://schemas.openxmlformats.org/officeDocument/2006/relationships/hyperlink" Target="https://zakupki.gov.ru/epz/order/notice/ea20/view/common-info.html?regNumber=0873400003924000194" TargetMode="External"/><Relationship Id="rId241" Type="http://schemas.openxmlformats.org/officeDocument/2006/relationships/hyperlink" Target="https://zakupki.gov.ru/epz/order/notice/ea20/view/common-info.html?regNumber=0873400003924000050" TargetMode="External"/><Relationship Id="rId437" Type="http://schemas.openxmlformats.org/officeDocument/2006/relationships/hyperlink" Target="https://zakupki.gov.ru/epz/order/notice/ea20/view/common-info.html?regNumber=0873400003924000267" TargetMode="External"/><Relationship Id="rId479" Type="http://schemas.openxmlformats.org/officeDocument/2006/relationships/hyperlink" Target="https://zakupki.gov.ru/epz/order/notice/ea20/view/common-info.html?regNumber=0873400003924000314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283" Type="http://schemas.openxmlformats.org/officeDocument/2006/relationships/hyperlink" Target="https://zakupki.gov.ru/epz/order/notice/ea20/view/common-info.html?regNumber=0873400003924000093" TargetMode="External"/><Relationship Id="rId339" Type="http://schemas.openxmlformats.org/officeDocument/2006/relationships/hyperlink" Target="https://zakupki.gov.ru/epz/order/notice/ea20/view/common-info.html?regNumber=0873400003924000152" TargetMode="External"/><Relationship Id="rId490" Type="http://schemas.openxmlformats.org/officeDocument/2006/relationships/hyperlink" Target="https://zakupki.gov.ru/epz/order/notice/ea20/view/common-info.html?regNumber=0873400003924000329" TargetMode="External"/><Relationship Id="rId504" Type="http://schemas.openxmlformats.org/officeDocument/2006/relationships/hyperlink" Target="https://zakupki.gov.ru/epz/order/notice/ea20/view/common-info.html?regNumber=0873400003924000343" TargetMode="External"/><Relationship Id="rId546" Type="http://schemas.openxmlformats.org/officeDocument/2006/relationships/hyperlink" Target="https://zakupki.gov.ru/epz/order/notice/ea20/view/common-info.html?regNumber=0873400003924000377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43" Type="http://schemas.openxmlformats.org/officeDocument/2006/relationships/hyperlink" Target="https://zakupki.gov.ru/epz/order/notice/ea20/view/common-info.html?regNumber=0873400003923000689" TargetMode="External"/><Relationship Id="rId185" Type="http://schemas.openxmlformats.org/officeDocument/2006/relationships/hyperlink" Target="https://zakupki.gov.ru/epz/order/notice/ea20/view/common-info.html?regNumber=0873400003923000736" TargetMode="External"/><Relationship Id="rId350" Type="http://schemas.openxmlformats.org/officeDocument/2006/relationships/hyperlink" Target="https://zakupki.gov.ru/epz/order/notice/ea20/view/common-info.html?regNumber=0873400003924000163" TargetMode="External"/><Relationship Id="rId406" Type="http://schemas.openxmlformats.org/officeDocument/2006/relationships/hyperlink" Target="https://zakupki.gov.ru/epz/order/notice/ea20/view/common-info.html?regNumber=0873400003924000220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210" Type="http://schemas.openxmlformats.org/officeDocument/2006/relationships/hyperlink" Target="https://zakupki.gov.ru/epz/order/notice/ea20/view/common-info.html?regNumber=0873400003924000020" TargetMode="External"/><Relationship Id="rId392" Type="http://schemas.openxmlformats.org/officeDocument/2006/relationships/hyperlink" Target="https://zakupki.gov.ru/epz/order/notice/ea20/view/common-info.html?regNumber=0873400003924000205" TargetMode="External"/><Relationship Id="rId448" Type="http://schemas.openxmlformats.org/officeDocument/2006/relationships/hyperlink" Target="https://zakupki.gov.ru/epz/order/notice/ea20/view/common-info.html?regNumber=0873400003924000278" TargetMode="External"/><Relationship Id="rId252" Type="http://schemas.openxmlformats.org/officeDocument/2006/relationships/hyperlink" Target="https://zakupki.gov.ru/epz/order/notice/ea20/view/common-info.html?regNumber=0873400003924000062" TargetMode="External"/><Relationship Id="rId294" Type="http://schemas.openxmlformats.org/officeDocument/2006/relationships/hyperlink" Target="https://zakupki.gov.ru/epz/order/notice/ea20/view/common-info.html?regNumber=0873400003924000104" TargetMode="External"/><Relationship Id="rId308" Type="http://schemas.openxmlformats.org/officeDocument/2006/relationships/hyperlink" Target="https://zakupki.gov.ru/epz/order/notice/ea20/view/common-info.html?regNumber=0873400003924000118" TargetMode="External"/><Relationship Id="rId515" Type="http://schemas.openxmlformats.org/officeDocument/2006/relationships/hyperlink" Target="https://zakupki.gov.ru/epz/order/notice/ea20/view/common-info.html?regNumber=0873400003924000252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12" Type="http://schemas.openxmlformats.org/officeDocument/2006/relationships/hyperlink" Target="https://zakupki.gov.ru/epz/order/notice/ea20/view/common-info.html?regNumber=0873400003923000647" TargetMode="External"/><Relationship Id="rId154" Type="http://schemas.openxmlformats.org/officeDocument/2006/relationships/hyperlink" Target="https://zakupki.gov.ru/epz/order/notice/ea20/view/common-info.html?regNumber=0873400003923000700" TargetMode="External"/><Relationship Id="rId361" Type="http://schemas.openxmlformats.org/officeDocument/2006/relationships/hyperlink" Target="https://zakupki.gov.ru/epz/order/notice/ea20/view/common-info.html?regNumber=0873400003924000174" TargetMode="External"/><Relationship Id="rId557" Type="http://schemas.openxmlformats.org/officeDocument/2006/relationships/hyperlink" Target="https://zakupki.gov.ru/epz/order/notice/ea20/view/common-info.html?regNumber=0873400003924000388" TargetMode="External"/><Relationship Id="rId196" Type="http://schemas.openxmlformats.org/officeDocument/2006/relationships/hyperlink" Target="https://zakupki.gov.ru/epz/order/notice/ea20/view/common-info.html?regNumber=0873400003924000006" TargetMode="External"/><Relationship Id="rId417" Type="http://schemas.openxmlformats.org/officeDocument/2006/relationships/hyperlink" Target="https://zakupki.gov.ru/epz/order/notice/ea20/view/common-info.html?regNumber=0873400003924000232" TargetMode="External"/><Relationship Id="rId459" Type="http://schemas.openxmlformats.org/officeDocument/2006/relationships/hyperlink" Target="https://zakupki.gov.ru/epz/order/notice/ea20/view/common-info.html?regNumber=0873400003924000289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221" Type="http://schemas.openxmlformats.org/officeDocument/2006/relationships/hyperlink" Target="https://zakupki.gov.ru/epz/order/notice/ea20/view/common-info.html?regNumber=0873400003924000031" TargetMode="External"/><Relationship Id="rId263" Type="http://schemas.openxmlformats.org/officeDocument/2006/relationships/hyperlink" Target="https://zakupki.gov.ru/epz/order/notice/ea20/view/common-info.html?regNumber=0873400003924000073" TargetMode="External"/><Relationship Id="rId319" Type="http://schemas.openxmlformats.org/officeDocument/2006/relationships/hyperlink" Target="https://zakupki.gov.ru/epz/order/notice/ea20/view/common-info.html?regNumber=0873400003924000130" TargetMode="External"/><Relationship Id="rId470" Type="http://schemas.openxmlformats.org/officeDocument/2006/relationships/hyperlink" Target="https://zakupki.gov.ru/epz/order/notice/ea20/view/common-info.html?regNumber=0873400003924000304" TargetMode="External"/><Relationship Id="rId526" Type="http://schemas.openxmlformats.org/officeDocument/2006/relationships/hyperlink" Target="https://zakupki.gov.ru/epz/order/notice/ea20/view/common-info.html?regNumber=0873400003924000353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123" Type="http://schemas.openxmlformats.org/officeDocument/2006/relationships/hyperlink" Target="https://zakupki.gov.ru/epz/order/notice/ea20/view/common-info.html?regNumber=0873400003923000667" TargetMode="External"/><Relationship Id="rId330" Type="http://schemas.openxmlformats.org/officeDocument/2006/relationships/hyperlink" Target="https://zakupki.gov.ru/epz/order/notice/ea20/view/common-info.html?regNumber=0873400003924000142" TargetMode="External"/><Relationship Id="rId568" Type="http://schemas.openxmlformats.org/officeDocument/2006/relationships/hyperlink" Target="https://zakupki.gov.ru/epz/order/notice/ea20/view/common-info.html?regNumber=0873400003924000399" TargetMode="External"/><Relationship Id="rId165" Type="http://schemas.openxmlformats.org/officeDocument/2006/relationships/hyperlink" Target="https://zakupki.gov.ru/epz/order/notice/ea20/view/common-info.html?regNumber=0873400003923000712" TargetMode="External"/><Relationship Id="rId372" Type="http://schemas.openxmlformats.org/officeDocument/2006/relationships/hyperlink" Target="https://zakupki.gov.ru/epz/order/notice/ea20/view/common-info.html?regNumber=0873400003924000185" TargetMode="External"/><Relationship Id="rId428" Type="http://schemas.openxmlformats.org/officeDocument/2006/relationships/hyperlink" Target="https://zakupki.gov.ru/epz/order/notice/ea20/view/common-info.html?regNumber=0873400003924000258" TargetMode="External"/><Relationship Id="rId232" Type="http://schemas.openxmlformats.org/officeDocument/2006/relationships/hyperlink" Target="https://zakupki.gov.ru/epz/order/notice/ea20/view/common-info.html?regNumber=0873400003924000041" TargetMode="External"/><Relationship Id="rId274" Type="http://schemas.openxmlformats.org/officeDocument/2006/relationships/hyperlink" Target="https://zakupki.gov.ru/epz/order/notice/ea20/view/common-info.html?regNumber=0873400003924000084" TargetMode="External"/><Relationship Id="rId481" Type="http://schemas.openxmlformats.org/officeDocument/2006/relationships/hyperlink" Target="https://zakupki.gov.ru/epz/order/notice/ea20/view/common-info.html?regNumber=0873400003924000320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34" Type="http://schemas.openxmlformats.org/officeDocument/2006/relationships/hyperlink" Target="https://zakupki.gov.ru/epz/order/notice/ea20/view/common-info.html?regNumber=0873400003923000679" TargetMode="External"/><Relationship Id="rId537" Type="http://schemas.openxmlformats.org/officeDocument/2006/relationships/hyperlink" Target="https://zakupki.gov.ru/epz/order/notice/ea20/view/common-info.html?regNumber=0873400003924000368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76" Type="http://schemas.openxmlformats.org/officeDocument/2006/relationships/hyperlink" Target="https://zakupki.gov.ru/epz/order/notice/ea20/view/common-info.html?regNumber=0873400003923000727" TargetMode="External"/><Relationship Id="rId341" Type="http://schemas.openxmlformats.org/officeDocument/2006/relationships/hyperlink" Target="https://zakupki.gov.ru/epz/order/notice/ea20/view/common-info.html?regNumber=0873400003924000154" TargetMode="External"/><Relationship Id="rId383" Type="http://schemas.openxmlformats.org/officeDocument/2006/relationships/hyperlink" Target="https://zakupki.gov.ru/epz/order/notice/ea20/view/common-info.html?regNumber=0873400003924000196" TargetMode="External"/><Relationship Id="rId439" Type="http://schemas.openxmlformats.org/officeDocument/2006/relationships/hyperlink" Target="https://zakupki.gov.ru/epz/order/notice/ea20/view/common-info.html?regNumber=0873400003924000269" TargetMode="External"/><Relationship Id="rId201" Type="http://schemas.openxmlformats.org/officeDocument/2006/relationships/hyperlink" Target="https://zakupki.gov.ru/epz/order/notice/ea20/view/common-info.html?regNumber=0873400003924000011" TargetMode="External"/><Relationship Id="rId243" Type="http://schemas.openxmlformats.org/officeDocument/2006/relationships/hyperlink" Target="https://zakupki.gov.ru/epz/order/notice/ea20/view/common-info.html?regNumber=0873400003924000052" TargetMode="External"/><Relationship Id="rId285" Type="http://schemas.openxmlformats.org/officeDocument/2006/relationships/hyperlink" Target="https://zakupki.gov.ru/epz/order/notice/ea20/view/common-info.html?regNumber=0873400003924000095" TargetMode="External"/><Relationship Id="rId450" Type="http://schemas.openxmlformats.org/officeDocument/2006/relationships/hyperlink" Target="https://zakupki.gov.ru/epz/order/notice/ea20/view/common-info.html?regNumber=0873400003924000280" TargetMode="External"/><Relationship Id="rId506" Type="http://schemas.openxmlformats.org/officeDocument/2006/relationships/hyperlink" Target="https://zakupki.gov.ru/epz/order/notice/ea20/view/common-info.html?regNumber=0873400003924000345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310" Type="http://schemas.openxmlformats.org/officeDocument/2006/relationships/hyperlink" Target="https://zakupki.gov.ru/epz/order/notice/ea20/view/common-info.html?regNumber=0873400003924000120" TargetMode="External"/><Relationship Id="rId492" Type="http://schemas.openxmlformats.org/officeDocument/2006/relationships/hyperlink" Target="https://zakupki.gov.ru/epz/order/notice/ea20/view/common-info.html?regNumber=0873400003924000331" TargetMode="External"/><Relationship Id="rId548" Type="http://schemas.openxmlformats.org/officeDocument/2006/relationships/hyperlink" Target="https://zakupki.gov.ru/epz/order/notice/ea20/view/common-info.html?regNumber=0873400003924000379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45" Type="http://schemas.openxmlformats.org/officeDocument/2006/relationships/hyperlink" Target="https://zakupki.gov.ru/epz/order/notice/ea20/view/common-info.html?regNumber=0873400003923000691" TargetMode="External"/><Relationship Id="rId187" Type="http://schemas.openxmlformats.org/officeDocument/2006/relationships/hyperlink" Target="https://zakupki.gov.ru/epz/order/notice/ea20/view/common-info.html?regNumber=0873400003923000738" TargetMode="External"/><Relationship Id="rId352" Type="http://schemas.openxmlformats.org/officeDocument/2006/relationships/hyperlink" Target="https://zakupki.gov.ru/epz/order/notice/ea20/view/common-info.html?regNumber=0873400003924000165" TargetMode="External"/><Relationship Id="rId394" Type="http://schemas.openxmlformats.org/officeDocument/2006/relationships/hyperlink" Target="https://zakupki.gov.ru/epz/order/notice/ea20/view/common-info.html?regNumber=0873400003924000207" TargetMode="External"/><Relationship Id="rId408" Type="http://schemas.openxmlformats.org/officeDocument/2006/relationships/hyperlink" Target="https://zakupki.gov.ru/epz/order/notice/ea20/view/common-info.html?regNumber=0873400003924000222" TargetMode="External"/><Relationship Id="rId212" Type="http://schemas.openxmlformats.org/officeDocument/2006/relationships/hyperlink" Target="https://zakupki.gov.ru/epz/order/notice/ea20/view/common-info.html?regNumber=0873400003924000022" TargetMode="External"/><Relationship Id="rId254" Type="http://schemas.openxmlformats.org/officeDocument/2006/relationships/hyperlink" Target="https://zakupki.gov.ru/epz/order/notice/ea20/view/common-info.html?regNumber=087340000392400006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51" TargetMode="External"/><Relationship Id="rId296" Type="http://schemas.openxmlformats.org/officeDocument/2006/relationships/hyperlink" Target="https://zakupki.gov.ru/epz/order/notice/ea20/view/common-info.html?regNumber=0873400003924000106" TargetMode="External"/><Relationship Id="rId461" Type="http://schemas.openxmlformats.org/officeDocument/2006/relationships/hyperlink" Target="https://zakupki.gov.ru/epz/order/notice/ea20/view/common-info.html?regNumber=0873400003924000291" TargetMode="External"/><Relationship Id="rId517" Type="http://schemas.openxmlformats.org/officeDocument/2006/relationships/hyperlink" Target="https://zakupki.gov.ru/epz/order/notice/ea20/view/common-info.html?regNumber=0873400003924000246" TargetMode="External"/><Relationship Id="rId559" Type="http://schemas.openxmlformats.org/officeDocument/2006/relationships/hyperlink" Target="https://zakupki.gov.ru/epz/order/notice/ea20/view/common-info.html?regNumber=0873400003924000390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156" Type="http://schemas.openxmlformats.org/officeDocument/2006/relationships/hyperlink" Target="https://zakupki.gov.ru/epz/order/notice/ea20/view/common-info.html?regNumber=0873400003923000702" TargetMode="External"/><Relationship Id="rId198" Type="http://schemas.openxmlformats.org/officeDocument/2006/relationships/hyperlink" Target="https://zakupki.gov.ru/epz/order/notice/ea20/view/common-info.html?regNumber=0873400003924000008" TargetMode="External"/><Relationship Id="rId321" Type="http://schemas.openxmlformats.org/officeDocument/2006/relationships/hyperlink" Target="https://zakupki.gov.ru/epz/order/notice/ea20/view/common-info.html?regNumber=0873400003924000132" TargetMode="External"/><Relationship Id="rId363" Type="http://schemas.openxmlformats.org/officeDocument/2006/relationships/hyperlink" Target="https://zakupki.gov.ru/epz/order/notice/ea20/view/common-info.html?regNumber=0873400003924000176" TargetMode="External"/><Relationship Id="rId419" Type="http://schemas.openxmlformats.org/officeDocument/2006/relationships/hyperlink" Target="https://zakupki.gov.ru/epz/order/notice/ea20/view/common-info.html?regNumber=0873400003924000235" TargetMode="External"/><Relationship Id="rId570" Type="http://schemas.openxmlformats.org/officeDocument/2006/relationships/hyperlink" Target="https://zakupki.gov.ru/epz/order/notice/ea20/view/common-info.html?regNumber=0873400003924000401" TargetMode="External"/><Relationship Id="rId223" Type="http://schemas.openxmlformats.org/officeDocument/2006/relationships/hyperlink" Target="https://zakupki.gov.ru/epz/order/notice/ea20/view/common-info.html?regNumber=0873400003924000033" TargetMode="External"/><Relationship Id="rId430" Type="http://schemas.openxmlformats.org/officeDocument/2006/relationships/hyperlink" Target="https://zakupki.gov.ru/epz/order/notice/ea20/view/common-info.html?regNumber=0873400003924000260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265" Type="http://schemas.openxmlformats.org/officeDocument/2006/relationships/hyperlink" Target="https://zakupki.gov.ru/epz/order/notice/ea20/view/common-info.html?regNumber=0873400003924000075" TargetMode="External"/><Relationship Id="rId472" Type="http://schemas.openxmlformats.org/officeDocument/2006/relationships/hyperlink" Target="https://zakupki.gov.ru/epz/order/notice/ea20/view/common-info.html?regNumber=0873400003924000306" TargetMode="External"/><Relationship Id="rId528" Type="http://schemas.openxmlformats.org/officeDocument/2006/relationships/hyperlink" Target="https://zakupki.gov.ru/epz/order/notice/ea20/view/common-info.html?regNumber=0873400003924000355" TargetMode="External"/><Relationship Id="rId125" Type="http://schemas.openxmlformats.org/officeDocument/2006/relationships/hyperlink" Target="https://zakupki.gov.ru/epz/order/notice/ea20/view/common-info.html?regNumber=0873400003923000669" TargetMode="External"/><Relationship Id="rId167" Type="http://schemas.openxmlformats.org/officeDocument/2006/relationships/hyperlink" Target="https://zakupki.gov.ru/epz/order/notice/ea20/view/common-info.html?regNumber=0873400003923000714" TargetMode="External"/><Relationship Id="rId332" Type="http://schemas.openxmlformats.org/officeDocument/2006/relationships/hyperlink" Target="https://zakupki.gov.ru/epz/order/notice/ea20/view/common-info.html?regNumber=0873400003924000144" TargetMode="External"/><Relationship Id="rId374" Type="http://schemas.openxmlformats.org/officeDocument/2006/relationships/hyperlink" Target="https://zakupki.gov.ru/epz/order/notice/ea20/view/common-info.html?regNumber=0873400003924000187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234" Type="http://schemas.openxmlformats.org/officeDocument/2006/relationships/hyperlink" Target="https://zakupki.gov.ru/epz/order/notice/ea20/view/common-info.html?regNumber=0873400003924000043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276" Type="http://schemas.openxmlformats.org/officeDocument/2006/relationships/hyperlink" Target="https://zakupki.gov.ru/epz/order/notice/ea20/view/common-info.html?regNumber=0873400003924000086" TargetMode="External"/><Relationship Id="rId441" Type="http://schemas.openxmlformats.org/officeDocument/2006/relationships/hyperlink" Target="https://zakupki.gov.ru/epz/order/notice/ea20/view/common-info.html?regNumber=0873400003924000271" TargetMode="External"/><Relationship Id="rId483" Type="http://schemas.openxmlformats.org/officeDocument/2006/relationships/hyperlink" Target="https://zakupki.gov.ru/epz/order/notice/ea20/view/common-info.html?regNumber=0873400003924000322" TargetMode="External"/><Relationship Id="rId539" Type="http://schemas.openxmlformats.org/officeDocument/2006/relationships/hyperlink" Target="https://zakupki.gov.ru/epz/order/notice/ea20/view/common-info.html?regNumber=0873400003924000370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136" Type="http://schemas.openxmlformats.org/officeDocument/2006/relationships/hyperlink" Target="https://zakupki.gov.ru/epz/order/notice/ea20/view/common-info.html?regNumber=0873400003923000682" TargetMode="External"/><Relationship Id="rId178" Type="http://schemas.openxmlformats.org/officeDocument/2006/relationships/hyperlink" Target="https://zakupki.gov.ru/epz/order/notice/ea20/view/common-info.html?regNumber=0873400003923000729" TargetMode="External"/><Relationship Id="rId301" Type="http://schemas.openxmlformats.org/officeDocument/2006/relationships/hyperlink" Target="https://zakupki.gov.ru/epz/order/notice/ea20/view/common-info.html?regNumber=0873400003924000111" TargetMode="External"/><Relationship Id="rId343" Type="http://schemas.openxmlformats.org/officeDocument/2006/relationships/hyperlink" Target="https://zakupki.gov.ru/epz/order/notice/ea20/view/common-info.html?regNumber=0873400003924000156" TargetMode="External"/><Relationship Id="rId550" Type="http://schemas.openxmlformats.org/officeDocument/2006/relationships/hyperlink" Target="https://zakupki.gov.ru/epz/order/notice/ea20/view/common-info.html?regNumber=0873400003924000381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203" Type="http://schemas.openxmlformats.org/officeDocument/2006/relationships/hyperlink" Target="https://zakupki.gov.ru/epz/order/notice/ea20/view/common-info.html?regNumber=0873400003924000013" TargetMode="External"/><Relationship Id="rId385" Type="http://schemas.openxmlformats.org/officeDocument/2006/relationships/hyperlink" Target="https://zakupki.gov.ru/epz/order/notice/ea20/view/common-info.html?regNumber=0873400003924000198" TargetMode="External"/><Relationship Id="rId245" Type="http://schemas.openxmlformats.org/officeDocument/2006/relationships/hyperlink" Target="https://zakupki.gov.ru/epz/order/notice/ea20/view/common-info.html?regNumber=0873400003924000054" TargetMode="External"/><Relationship Id="rId287" Type="http://schemas.openxmlformats.org/officeDocument/2006/relationships/hyperlink" Target="https://zakupki.gov.ru/epz/order/notice/ea20/view/common-info.html?regNumber=0873400003924000097" TargetMode="External"/><Relationship Id="rId410" Type="http://schemas.openxmlformats.org/officeDocument/2006/relationships/hyperlink" Target="https://zakupki.gov.ru/epz/order/notice/ea20/view/common-info.html?regNumber=0873400003924000224" TargetMode="External"/><Relationship Id="rId452" Type="http://schemas.openxmlformats.org/officeDocument/2006/relationships/hyperlink" Target="https://zakupki.gov.ru/epz/order/notice/ea20/view/common-info.html?regNumber=0873400003924000282" TargetMode="External"/><Relationship Id="rId494" Type="http://schemas.openxmlformats.org/officeDocument/2006/relationships/hyperlink" Target="https://zakupki.gov.ru/epz/order/notice/ea20/view/common-info.html?regNumber=0873400003924000333" TargetMode="External"/><Relationship Id="rId508" Type="http://schemas.openxmlformats.org/officeDocument/2006/relationships/hyperlink" Target="https://zakupki.gov.ru/epz/order/notice/ea20/view/common-info.html?regNumber=0873400003924000347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147" Type="http://schemas.openxmlformats.org/officeDocument/2006/relationships/hyperlink" Target="https://zakupki.gov.ru/epz/order/notice/ea20/view/common-info.html?regNumber=0873400003923000693" TargetMode="External"/><Relationship Id="rId312" Type="http://schemas.openxmlformats.org/officeDocument/2006/relationships/hyperlink" Target="https://zakupki.gov.ru/epz/order/notice/ea20/view/common-info.html?regNumber=0873400003924000122" TargetMode="External"/><Relationship Id="rId354" Type="http://schemas.openxmlformats.org/officeDocument/2006/relationships/hyperlink" Target="https://zakupki.gov.ru/epz/order/notice/ea20/view/common-info.html?regNumber=0873400003924000167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189" Type="http://schemas.openxmlformats.org/officeDocument/2006/relationships/hyperlink" Target="https://zakupki.gov.ru/epz/order/notice/ea20/view/common-info.html?regNumber=0873400003923000740" TargetMode="External"/><Relationship Id="rId396" Type="http://schemas.openxmlformats.org/officeDocument/2006/relationships/hyperlink" Target="https://zakupki.gov.ru/epz/order/notice/ea20/view/common-info.html?regNumber=0873400003924000209" TargetMode="External"/><Relationship Id="rId561" Type="http://schemas.openxmlformats.org/officeDocument/2006/relationships/hyperlink" Target="https://zakupki.gov.ru/epz/order/notice/ea20/view/common-info.html?regNumber=0873400003924000392" TargetMode="External"/><Relationship Id="rId214" Type="http://schemas.openxmlformats.org/officeDocument/2006/relationships/hyperlink" Target="https://zakupki.gov.ru/epz/order/notice/ea20/view/common-info.html?regNumber=0873400003924000024" TargetMode="External"/><Relationship Id="rId256" Type="http://schemas.openxmlformats.org/officeDocument/2006/relationships/hyperlink" Target="https://zakupki.gov.ru/epz/order/notice/ea20/view/common-info.html?regNumber=0873400003924000066" TargetMode="External"/><Relationship Id="rId298" Type="http://schemas.openxmlformats.org/officeDocument/2006/relationships/hyperlink" Target="https://zakupki.gov.ru/epz/order/notice/ea20/view/common-info.html?regNumber=0873400003924000108" TargetMode="External"/><Relationship Id="rId421" Type="http://schemas.openxmlformats.org/officeDocument/2006/relationships/hyperlink" Target="https://zakupki.gov.ru/epz/order/notice/ea20/view/common-info.html?regNumber=0873400003924000237" TargetMode="External"/><Relationship Id="rId463" Type="http://schemas.openxmlformats.org/officeDocument/2006/relationships/hyperlink" Target="https://zakupki.gov.ru/epz/order/notice/ea20/view/common-info.html?regNumber=0873400003924000294" TargetMode="External"/><Relationship Id="rId519" Type="http://schemas.openxmlformats.org/officeDocument/2006/relationships/hyperlink" Target="https://zakupki.gov.ru/epz/order/notice/ea20/view/common-info.html?regNumber=0873400003924000244" TargetMode="External"/><Relationship Id="rId116" Type="http://schemas.openxmlformats.org/officeDocument/2006/relationships/hyperlink" Target="https://zakupki.gov.ru/epz/order/notice/ea20/view/common-info.html?regNumber=0873400003923000656" TargetMode="External"/><Relationship Id="rId158" Type="http://schemas.openxmlformats.org/officeDocument/2006/relationships/hyperlink" Target="https://zakupki.gov.ru/epz/order/notice/ea20/view/common-info.html?regNumber=0873400003923000704" TargetMode="External"/><Relationship Id="rId323" Type="http://schemas.openxmlformats.org/officeDocument/2006/relationships/hyperlink" Target="https://zakupki.gov.ru/epz/order/notice/ea20/view/common-info.html?regNumber=0873400003924000134" TargetMode="External"/><Relationship Id="rId530" Type="http://schemas.openxmlformats.org/officeDocument/2006/relationships/hyperlink" Target="https://zakupki.gov.ru/epz/order/notice/ea20/view/common-info.html?regNumber=0873400003924000357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365" Type="http://schemas.openxmlformats.org/officeDocument/2006/relationships/hyperlink" Target="https://zakupki.gov.ru/epz/order/notice/ea20/view/common-info.html?regNumber=0873400003924000178" TargetMode="External"/><Relationship Id="rId572" Type="http://schemas.openxmlformats.org/officeDocument/2006/relationships/hyperlink" Target="https://zakupki.gov.ru/epz/order/notice/ea20/view/common-info.html?regNumber=0873400003924000404" TargetMode="External"/><Relationship Id="rId225" Type="http://schemas.openxmlformats.org/officeDocument/2006/relationships/hyperlink" Target="https://zakupki.gov.ru/epz/order/notice/ea20/view/common-info.html?regNumber=0873400003924000035" TargetMode="External"/><Relationship Id="rId267" Type="http://schemas.openxmlformats.org/officeDocument/2006/relationships/hyperlink" Target="https://zakupki.gov.ru/epz/order/notice/ea20/view/common-info.html?regNumber=0873400003924000077" TargetMode="External"/><Relationship Id="rId432" Type="http://schemas.openxmlformats.org/officeDocument/2006/relationships/hyperlink" Target="https://zakupki.gov.ru/epz/order/notice/ea20/view/common-info.html?regNumber=0873400003924000262" TargetMode="External"/><Relationship Id="rId474" Type="http://schemas.openxmlformats.org/officeDocument/2006/relationships/hyperlink" Target="https://zakupki.gov.ru/epz/order/notice/ea20/view/common-info.html?regNumber=0873400003924000308" TargetMode="External"/><Relationship Id="rId127" Type="http://schemas.openxmlformats.org/officeDocument/2006/relationships/hyperlink" Target="https://zakupki.gov.ru/epz/order/notice/ea20/view/common-info.html?regNumber=0873400003923000671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169" Type="http://schemas.openxmlformats.org/officeDocument/2006/relationships/hyperlink" Target="https://zakupki.gov.ru/epz/order/notice/ea20/view/common-info.html?regNumber=0873400003923000717" TargetMode="External"/><Relationship Id="rId334" Type="http://schemas.openxmlformats.org/officeDocument/2006/relationships/hyperlink" Target="https://zakupki.gov.ru/epz/order/notice/ea20/view/common-info.html?regNumber=0873400003924000146" TargetMode="External"/><Relationship Id="rId376" Type="http://schemas.openxmlformats.org/officeDocument/2006/relationships/hyperlink" Target="https://zakupki.gov.ru/epz/order/notice/ea20/view/common-info.html?regNumber=0873400003924000189" TargetMode="External"/><Relationship Id="rId541" Type="http://schemas.openxmlformats.org/officeDocument/2006/relationships/hyperlink" Target="https://zakupki.gov.ru/epz/order/notice/ea20/view/common-info.html?regNumber=0873400003924000372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180" Type="http://schemas.openxmlformats.org/officeDocument/2006/relationships/hyperlink" Target="https://zakupki.gov.ru/epz/order/notice/ea20/view/common-info.html?regNumber=0873400003923000731" TargetMode="External"/><Relationship Id="rId236" Type="http://schemas.openxmlformats.org/officeDocument/2006/relationships/hyperlink" Target="https://zakupki.gov.ru/epz/order/notice/ea20/view/common-info.html?regNumber=0873400003924000045" TargetMode="External"/><Relationship Id="rId278" Type="http://schemas.openxmlformats.org/officeDocument/2006/relationships/hyperlink" Target="https://zakupki.gov.ru/epz/order/notice/ea20/view/common-info.html?regNumber=0873400003924000088" TargetMode="External"/><Relationship Id="rId401" Type="http://schemas.openxmlformats.org/officeDocument/2006/relationships/hyperlink" Target="https://zakupki.gov.ru/epz/order/notice/ea20/view/common-info.html?regNumber=0873400003924000215" TargetMode="External"/><Relationship Id="rId443" Type="http://schemas.openxmlformats.org/officeDocument/2006/relationships/hyperlink" Target="https://zakupki.gov.ru/epz/order/notice/ea20/view/common-info.html?regNumber=0873400003924000273" TargetMode="External"/><Relationship Id="rId303" Type="http://schemas.openxmlformats.org/officeDocument/2006/relationships/hyperlink" Target="https://zakupki.gov.ru/epz/order/notice/ea20/view/common-info.html?regNumber=0873400003924000113" TargetMode="External"/><Relationship Id="rId485" Type="http://schemas.openxmlformats.org/officeDocument/2006/relationships/hyperlink" Target="https://zakupki.gov.ru/epz/order/notice/ea20/view/common-info.html?regNumber=0873400003924000324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4" TargetMode="External"/><Relationship Id="rId345" Type="http://schemas.openxmlformats.org/officeDocument/2006/relationships/hyperlink" Target="https://zakupki.gov.ru/epz/order/notice/ea20/view/common-info.html?regNumber=0873400003924000158" TargetMode="External"/><Relationship Id="rId387" Type="http://schemas.openxmlformats.org/officeDocument/2006/relationships/hyperlink" Target="https://zakupki.gov.ru/epz/order/notice/ea20/view/common-info.html?regNumber=0873400003924000200" TargetMode="External"/><Relationship Id="rId510" Type="http://schemas.openxmlformats.org/officeDocument/2006/relationships/hyperlink" Target="https://zakupki.gov.ru/epz/order/notice/ea20/view/common-info.html?regNumber=0873400003924000349" TargetMode="External"/><Relationship Id="rId552" Type="http://schemas.openxmlformats.org/officeDocument/2006/relationships/hyperlink" Target="https://zakupki.gov.ru/epz/order/notice/ea20/view/common-info.html?regNumber=0873400003924000383" TargetMode="External"/><Relationship Id="rId191" Type="http://schemas.openxmlformats.org/officeDocument/2006/relationships/hyperlink" Target="https://zakupki.gov.ru/epz/order/notice/ea20/view/common-info.html?regNumber=0873400003923000742" TargetMode="External"/><Relationship Id="rId205" Type="http://schemas.openxmlformats.org/officeDocument/2006/relationships/hyperlink" Target="https://zakupki.gov.ru/epz/order/notice/ea20/view/common-info.html?regNumber=0873400003924000015" TargetMode="External"/><Relationship Id="rId247" Type="http://schemas.openxmlformats.org/officeDocument/2006/relationships/hyperlink" Target="https://zakupki.gov.ru/epz/order/notice/ea20/view/common-info.html?regNumber=0873400003924000057" TargetMode="External"/><Relationship Id="rId412" Type="http://schemas.openxmlformats.org/officeDocument/2006/relationships/hyperlink" Target="https://zakupki.gov.ru/epz/order/notice/ea20/view/common-info.html?regNumber=0873400003924000227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289" Type="http://schemas.openxmlformats.org/officeDocument/2006/relationships/hyperlink" Target="https://zakupki.gov.ru/epz/order/notice/ea20/view/common-info.html?regNumber=0873400003924000099" TargetMode="External"/><Relationship Id="rId454" Type="http://schemas.openxmlformats.org/officeDocument/2006/relationships/hyperlink" Target="https://zakupki.gov.ru/epz/order/notice/ea20/view/common-info.html?regNumber=0873400003924000284" TargetMode="External"/><Relationship Id="rId496" Type="http://schemas.openxmlformats.org/officeDocument/2006/relationships/hyperlink" Target="https://zakupki.gov.ru/epz/order/notice/ea20/view/common-info.html?regNumber=0873400003924000335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149" Type="http://schemas.openxmlformats.org/officeDocument/2006/relationships/hyperlink" Target="https://zakupki.gov.ru/epz/order/notice/ea20/view/common-info.html?regNumber=0873400003923000695" TargetMode="External"/><Relationship Id="rId314" Type="http://schemas.openxmlformats.org/officeDocument/2006/relationships/hyperlink" Target="https://zakupki.gov.ru/epz/order/notice/ea20/view/common-info.html?regNumber=0873400003924000125" TargetMode="External"/><Relationship Id="rId356" Type="http://schemas.openxmlformats.org/officeDocument/2006/relationships/hyperlink" Target="https://zakupki.gov.ru/epz/order/notice/ea20/view/common-info.html?regNumber=0873400003924000169" TargetMode="External"/><Relationship Id="rId398" Type="http://schemas.openxmlformats.org/officeDocument/2006/relationships/hyperlink" Target="https://zakupki.gov.ru/epz/order/notice/ea20/view/common-info.html?regNumber=0873400003924000212" TargetMode="External"/><Relationship Id="rId521" Type="http://schemas.openxmlformats.org/officeDocument/2006/relationships/hyperlink" Target="https://zakupki.gov.ru/epz/order/notice/ea20/view/common-info.html?regNumber=0873400003924000242" TargetMode="External"/><Relationship Id="rId563" Type="http://schemas.openxmlformats.org/officeDocument/2006/relationships/hyperlink" Target="https://zakupki.gov.ru/epz/order/notice/ea20/view/common-info.html?regNumber=0873400003924000394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7" TargetMode="External"/><Relationship Id="rId216" Type="http://schemas.openxmlformats.org/officeDocument/2006/relationships/hyperlink" Target="https://zakupki.gov.ru/epz/order/notice/ea20/view/common-info.html?regNumber=0873400003924000026" TargetMode="External"/><Relationship Id="rId423" Type="http://schemas.openxmlformats.org/officeDocument/2006/relationships/hyperlink" Target="https://zakupki.gov.ru/epz/order/notice/ea20/view/common-info.html?regNumber=0873400003924000239" TargetMode="External"/><Relationship Id="rId258" Type="http://schemas.openxmlformats.org/officeDocument/2006/relationships/hyperlink" Target="https://zakupki.gov.ru/epz/order/notice/ea20/view/common-info.html?regNumber=0873400003924000068" TargetMode="External"/><Relationship Id="rId465" Type="http://schemas.openxmlformats.org/officeDocument/2006/relationships/hyperlink" Target="https://zakupki.gov.ru/epz/order/notice/ea20/view/common-info.html?regNumber=0873400003924000296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8" TargetMode="External"/><Relationship Id="rId325" Type="http://schemas.openxmlformats.org/officeDocument/2006/relationships/hyperlink" Target="https://zakupki.gov.ru/epz/order/notice/ea20/view/common-info.html?regNumber=0873400003924000136" TargetMode="External"/><Relationship Id="rId367" Type="http://schemas.openxmlformats.org/officeDocument/2006/relationships/hyperlink" Target="https://zakupki.gov.ru/epz/order/notice/ea20/view/common-info.html?regNumber=0873400003924000180" TargetMode="External"/><Relationship Id="rId532" Type="http://schemas.openxmlformats.org/officeDocument/2006/relationships/hyperlink" Target="https://zakupki.gov.ru/epz/order/notice/ea20/view/common-info.html?regNumber=0873400003924000359" TargetMode="External"/><Relationship Id="rId574" Type="http://schemas.openxmlformats.org/officeDocument/2006/relationships/hyperlink" Target="https://zakupki.gov.ru/epz/order/notice/ea20/view/common-info.html?regNumber=0873400003924000406" TargetMode="External"/><Relationship Id="rId171" Type="http://schemas.openxmlformats.org/officeDocument/2006/relationships/hyperlink" Target="https://zakupki.gov.ru/epz/order/notice/ea20/view/common-info.html?regNumber=0873400003923000722" TargetMode="External"/><Relationship Id="rId227" Type="http://schemas.openxmlformats.org/officeDocument/2006/relationships/hyperlink" Target="https://zakupki.gov.ru/epz/order/notice/ea20/view/common-info.html?regNumber=0873400003924000036" TargetMode="External"/><Relationship Id="rId269" Type="http://schemas.openxmlformats.org/officeDocument/2006/relationships/hyperlink" Target="https://zakupki.gov.ru/epz/order/notice/ea20/view/common-info.html?regNumber=0873400003924000079" TargetMode="External"/><Relationship Id="rId434" Type="http://schemas.openxmlformats.org/officeDocument/2006/relationships/hyperlink" Target="https://zakupki.gov.ru/epz/order/notice/ea20/view/common-info.html?regNumber=0873400003924000264" TargetMode="External"/><Relationship Id="rId476" Type="http://schemas.openxmlformats.org/officeDocument/2006/relationships/hyperlink" Target="https://zakupki.gov.ru/epz/order/notice/ea20/view/common-info.html?regNumber=0873400003924000310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29" Type="http://schemas.openxmlformats.org/officeDocument/2006/relationships/hyperlink" Target="https://zakupki.gov.ru/epz/order/notice/ea20/view/common-info.html?regNumber=0873400003923000673" TargetMode="External"/><Relationship Id="rId280" Type="http://schemas.openxmlformats.org/officeDocument/2006/relationships/hyperlink" Target="https://zakupki.gov.ru/epz/order/notice/ea20/view/common-info.html?regNumber=0873400003924000090" TargetMode="External"/><Relationship Id="rId336" Type="http://schemas.openxmlformats.org/officeDocument/2006/relationships/hyperlink" Target="https://zakupki.gov.ru/epz/order/notice/ea20/view/common-info.html?regNumber=0873400003924000149" TargetMode="External"/><Relationship Id="rId501" Type="http://schemas.openxmlformats.org/officeDocument/2006/relationships/hyperlink" Target="https://zakupki.gov.ru/epz/order/notice/ea20/view/common-info.html?regNumber=0873400003924000340" TargetMode="External"/><Relationship Id="rId543" Type="http://schemas.openxmlformats.org/officeDocument/2006/relationships/hyperlink" Target="https://zakupki.gov.ru/epz/order/notice/ea20/view/common-info.html?regNumber=0873400003924000374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140" Type="http://schemas.openxmlformats.org/officeDocument/2006/relationships/hyperlink" Target="https://zakupki.gov.ru/epz/order/notice/ea20/view/common-info.html?regNumber=0873400003923000686" TargetMode="External"/><Relationship Id="rId182" Type="http://schemas.openxmlformats.org/officeDocument/2006/relationships/hyperlink" Target="https://zakupki.gov.ru/epz/order/notice/ea20/view/common-info.html?regNumber=0873400003923000733" TargetMode="External"/><Relationship Id="rId378" Type="http://schemas.openxmlformats.org/officeDocument/2006/relationships/hyperlink" Target="https://zakupki.gov.ru/epz/order/notice/ea20/view/common-info.html?regNumber=0873400003924000191" TargetMode="External"/><Relationship Id="rId403" Type="http://schemas.openxmlformats.org/officeDocument/2006/relationships/hyperlink" Target="https://zakupki.gov.ru/epz/order/notice/ea20/view/common-info.html?regNumber=0873400003924000217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8" Type="http://schemas.openxmlformats.org/officeDocument/2006/relationships/hyperlink" Target="https://zakupki.gov.ru/epz/order/notice/ea20/view/common-info.html?regNumber=0873400003924000047" TargetMode="External"/><Relationship Id="rId445" Type="http://schemas.openxmlformats.org/officeDocument/2006/relationships/hyperlink" Target="https://zakupki.gov.ru/epz/order/notice/ea20/view/common-info.html?regNumber=0873400003924000275" TargetMode="External"/><Relationship Id="rId487" Type="http://schemas.openxmlformats.org/officeDocument/2006/relationships/hyperlink" Target="https://zakupki.gov.ru/epz/order/notice/ea20/view/common-info.html?regNumber=0873400003924000326" TargetMode="External"/><Relationship Id="rId291" Type="http://schemas.openxmlformats.org/officeDocument/2006/relationships/hyperlink" Target="https://zakupki.gov.ru/epz/order/notice/ea20/view/common-info.html?regNumber=0873400003924000101" TargetMode="External"/><Relationship Id="rId305" Type="http://schemas.openxmlformats.org/officeDocument/2006/relationships/hyperlink" Target="https://zakupki.gov.ru/epz/order/notice/ea20/view/common-info.html?regNumber=0873400003924000115" TargetMode="External"/><Relationship Id="rId347" Type="http://schemas.openxmlformats.org/officeDocument/2006/relationships/hyperlink" Target="https://zakupki.gov.ru/epz/order/notice/ea20/view/common-info.html?regNumber=0873400003924000160" TargetMode="External"/><Relationship Id="rId512" Type="http://schemas.openxmlformats.org/officeDocument/2006/relationships/hyperlink" Target="https://zakupki.gov.ru/epz/order/notice/ea20/view/common-info.html?regNumber=0873400003924000255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51" Type="http://schemas.openxmlformats.org/officeDocument/2006/relationships/hyperlink" Target="https://zakupki.gov.ru/epz/order/notice/ea20/view/common-info.html?regNumber=0873400003923000697" TargetMode="External"/><Relationship Id="rId389" Type="http://schemas.openxmlformats.org/officeDocument/2006/relationships/hyperlink" Target="https://zakupki.gov.ru/epz/order/notice/ea20/view/common-info.html?regNumber=0873400003924000202" TargetMode="External"/><Relationship Id="rId554" Type="http://schemas.openxmlformats.org/officeDocument/2006/relationships/hyperlink" Target="https://zakupki.gov.ru/epz/order/notice/ea20/view/common-info.html?regNumber=0873400003924000385" TargetMode="External"/><Relationship Id="rId193" Type="http://schemas.openxmlformats.org/officeDocument/2006/relationships/hyperlink" Target="https://zakupki.gov.ru/epz/order/notice/ea20/view/common-info.html?regNumber=0873400003924000003" TargetMode="External"/><Relationship Id="rId207" Type="http://schemas.openxmlformats.org/officeDocument/2006/relationships/hyperlink" Target="https://zakupki.gov.ru/epz/order/notice/ea20/view/common-info.html?regNumber=0873400003924000017" TargetMode="External"/><Relationship Id="rId249" Type="http://schemas.openxmlformats.org/officeDocument/2006/relationships/hyperlink" Target="https://zakupki.gov.ru/epz/order/notice/ea20/view/common-info.html?regNumber=0873400003924000059" TargetMode="External"/><Relationship Id="rId414" Type="http://schemas.openxmlformats.org/officeDocument/2006/relationships/hyperlink" Target="https://zakupki.gov.ru/epz/order/notice/ea20/view/common-info.html?regNumber=0873400003924000229" TargetMode="External"/><Relationship Id="rId456" Type="http://schemas.openxmlformats.org/officeDocument/2006/relationships/hyperlink" Target="https://zakupki.gov.ru/epz/order/notice/ea20/view/common-info.html?regNumber=0873400003924000286" TargetMode="External"/><Relationship Id="rId498" Type="http://schemas.openxmlformats.org/officeDocument/2006/relationships/hyperlink" Target="https://zakupki.gov.ru/epz/order/notice/ea20/view/common-info.html?regNumber=0873400003924000337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260" Type="http://schemas.openxmlformats.org/officeDocument/2006/relationships/hyperlink" Target="https://zakupki.gov.ru/epz/order/notice/ea20/view/common-info.html?regNumber=0873400003924000070" TargetMode="External"/><Relationship Id="rId316" Type="http://schemas.openxmlformats.org/officeDocument/2006/relationships/hyperlink" Target="https://zakupki.gov.ru/epz/order/notice/ea20/view/common-info.html?regNumber=0873400003924000127" TargetMode="External"/><Relationship Id="rId523" Type="http://schemas.openxmlformats.org/officeDocument/2006/relationships/hyperlink" Target="https://zakupki.gov.ru/epz/order/notice/ea20/view/common-info.html?regNumber=0873400003924000363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20" Type="http://schemas.openxmlformats.org/officeDocument/2006/relationships/hyperlink" Target="https://zakupki.gov.ru/epz/order/notice/ea20/view/common-info.html?regNumber=0873400003923000664" TargetMode="External"/><Relationship Id="rId358" Type="http://schemas.openxmlformats.org/officeDocument/2006/relationships/hyperlink" Target="https://zakupki.gov.ru/epz/order/notice/ea20/view/common-info.html?regNumber=0873400003924000171" TargetMode="External"/><Relationship Id="rId565" Type="http://schemas.openxmlformats.org/officeDocument/2006/relationships/hyperlink" Target="https://zakupki.gov.ru/epz/order/notice/ea20/view/common-info.html?regNumber=0873400003924000396" TargetMode="External"/><Relationship Id="rId162" Type="http://schemas.openxmlformats.org/officeDocument/2006/relationships/hyperlink" Target="https://zakupki.gov.ru/epz/order/notice/ea20/view/common-info.html?regNumber=0873400003923000709" TargetMode="External"/><Relationship Id="rId218" Type="http://schemas.openxmlformats.org/officeDocument/2006/relationships/hyperlink" Target="https://zakupki.gov.ru/epz/order/notice/ea20/view/common-info.html?regNumber=0873400003924000028" TargetMode="External"/><Relationship Id="rId425" Type="http://schemas.openxmlformats.org/officeDocument/2006/relationships/hyperlink" Target="https://zakupki.gov.ru/epz/order/notice/ea20/view/common-info.html?regNumber=0873400003924000241" TargetMode="External"/><Relationship Id="rId467" Type="http://schemas.openxmlformats.org/officeDocument/2006/relationships/hyperlink" Target="https://zakupki.gov.ru/epz/order/notice/ea20/view/common-info.html?regNumber=0873400003924000298" TargetMode="External"/><Relationship Id="rId271" Type="http://schemas.openxmlformats.org/officeDocument/2006/relationships/hyperlink" Target="https://zakupki.gov.ru/epz/order/notice/ea20/view/common-info.html?regNumber=0873400003924000081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131" Type="http://schemas.openxmlformats.org/officeDocument/2006/relationships/hyperlink" Target="https://zakupki.gov.ru/epz/order/notice/ea20/view/common-info.html?regNumber=0873400003923000676" TargetMode="External"/><Relationship Id="rId327" Type="http://schemas.openxmlformats.org/officeDocument/2006/relationships/hyperlink" Target="https://zakupki.gov.ru/epz/order/notice/ea20/view/common-info.html?regNumber=0873400003924000138" TargetMode="External"/><Relationship Id="rId369" Type="http://schemas.openxmlformats.org/officeDocument/2006/relationships/hyperlink" Target="https://zakupki.gov.ru/epz/order/notice/ea20/view/common-info.html?regNumber=0873400003924000182" TargetMode="External"/><Relationship Id="rId534" Type="http://schemas.openxmlformats.org/officeDocument/2006/relationships/hyperlink" Target="https://zakupki.gov.ru/epz/order/notice/ea20/view/common-info.html?regNumber=0873400003924000362" TargetMode="External"/><Relationship Id="rId173" Type="http://schemas.openxmlformats.org/officeDocument/2006/relationships/hyperlink" Target="https://zakupki.gov.ru/epz/order/notice/ea20/view/common-info.html?regNumber=0873400003923000724" TargetMode="External"/><Relationship Id="rId229" Type="http://schemas.openxmlformats.org/officeDocument/2006/relationships/hyperlink" Target="https://zakupki.gov.ru/epz/order/notice/ea20/view/common-info.html?regNumber=0873400003924000038" TargetMode="External"/><Relationship Id="rId380" Type="http://schemas.openxmlformats.org/officeDocument/2006/relationships/hyperlink" Target="https://zakupki.gov.ru/epz/order/notice/ea20/view/common-info.html?regNumber=0873400003924000193" TargetMode="External"/><Relationship Id="rId436" Type="http://schemas.openxmlformats.org/officeDocument/2006/relationships/hyperlink" Target="https://zakupki.gov.ru/epz/order/notice/ea20/view/common-info.html?regNumber=0873400003924000266" TargetMode="External"/><Relationship Id="rId240" Type="http://schemas.openxmlformats.org/officeDocument/2006/relationships/hyperlink" Target="https://zakupki.gov.ru/epz/order/notice/ea20/view/common-info.html?regNumber=0873400003924000049" TargetMode="External"/><Relationship Id="rId478" Type="http://schemas.openxmlformats.org/officeDocument/2006/relationships/hyperlink" Target="https://zakupki.gov.ru/epz/order/notice/ea20/view/common-info.html?regNumber=0873400003924000313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282" Type="http://schemas.openxmlformats.org/officeDocument/2006/relationships/hyperlink" Target="https://zakupki.gov.ru/epz/order/notice/ea20/view/common-info.html?regNumber=0873400003924000092" TargetMode="External"/><Relationship Id="rId338" Type="http://schemas.openxmlformats.org/officeDocument/2006/relationships/hyperlink" Target="https://zakupki.gov.ru/epz/order/notice/ea20/view/common-info.html?regNumber=0873400003924000151" TargetMode="External"/><Relationship Id="rId503" Type="http://schemas.openxmlformats.org/officeDocument/2006/relationships/hyperlink" Target="https://zakupki.gov.ru/epz/order/notice/ea20/view/common-info.html?regNumber=0873400003924000342" TargetMode="External"/><Relationship Id="rId545" Type="http://schemas.openxmlformats.org/officeDocument/2006/relationships/hyperlink" Target="https://zakupki.gov.ru/epz/order/notice/ea20/view/common-info.html?regNumber=0873400003924000376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142" Type="http://schemas.openxmlformats.org/officeDocument/2006/relationships/hyperlink" Target="https://zakupki.gov.ru/epz/order/notice/ea20/view/common-info.html?regNumber=0873400003923000688" TargetMode="External"/><Relationship Id="rId184" Type="http://schemas.openxmlformats.org/officeDocument/2006/relationships/hyperlink" Target="https://zakupki.gov.ru/epz/order/notice/ea20/view/common-info.html?regNumber=0873400003923000735" TargetMode="External"/><Relationship Id="rId391" Type="http://schemas.openxmlformats.org/officeDocument/2006/relationships/hyperlink" Target="https://zakupki.gov.ru/epz/order/notice/ea20/view/common-info.html?regNumber=0873400003924000204" TargetMode="External"/><Relationship Id="rId405" Type="http://schemas.openxmlformats.org/officeDocument/2006/relationships/hyperlink" Target="https://zakupki.gov.ru/epz/order/notice/ea20/view/common-info.html?regNumber=0873400003924000219" TargetMode="External"/><Relationship Id="rId447" Type="http://schemas.openxmlformats.org/officeDocument/2006/relationships/hyperlink" Target="https://zakupki.gov.ru/epz/order/notice/ea20/view/common-info.html?regNumber=0873400003924000277" TargetMode="External"/><Relationship Id="rId251" Type="http://schemas.openxmlformats.org/officeDocument/2006/relationships/hyperlink" Target="https://zakupki.gov.ru/epz/order/notice/ea20/view/common-info.html?regNumber=0873400003924000061" TargetMode="External"/><Relationship Id="rId489" Type="http://schemas.openxmlformats.org/officeDocument/2006/relationships/hyperlink" Target="https://zakupki.gov.ru/epz/order/notice/ea20/view/common-info.html?regNumber=0873400003924000328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293" Type="http://schemas.openxmlformats.org/officeDocument/2006/relationships/hyperlink" Target="https://zakupki.gov.ru/epz/order/notice/ea20/view/common-info.html?regNumber=0873400003924000103" TargetMode="External"/><Relationship Id="rId307" Type="http://schemas.openxmlformats.org/officeDocument/2006/relationships/hyperlink" Target="https://zakupki.gov.ru/epz/order/notice/ea20/view/common-info.html?regNumber=0873400003924000117" TargetMode="External"/><Relationship Id="rId349" Type="http://schemas.openxmlformats.org/officeDocument/2006/relationships/hyperlink" Target="https://zakupki.gov.ru/epz/order/notice/ea20/view/common-info.html?regNumber=0873400003924000162" TargetMode="External"/><Relationship Id="rId514" Type="http://schemas.openxmlformats.org/officeDocument/2006/relationships/hyperlink" Target="https://zakupki.gov.ru/epz/order/notice/ea20/view/common-info.html?regNumber=0873400003924000253" TargetMode="External"/><Relationship Id="rId556" Type="http://schemas.openxmlformats.org/officeDocument/2006/relationships/hyperlink" Target="https://zakupki.gov.ru/epz/order/notice/ea20/view/common-info.html?regNumber=0873400003924000387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53" Type="http://schemas.openxmlformats.org/officeDocument/2006/relationships/hyperlink" Target="https://zakupki.gov.ru/epz/order/notice/ea20/view/common-info.html?regNumber=0873400003923000699" TargetMode="External"/><Relationship Id="rId195" Type="http://schemas.openxmlformats.org/officeDocument/2006/relationships/hyperlink" Target="https://zakupki.gov.ru/epz/order/notice/ea20/view/common-info.html?regNumber=0873400003924000005" TargetMode="External"/><Relationship Id="rId209" Type="http://schemas.openxmlformats.org/officeDocument/2006/relationships/hyperlink" Target="https://zakupki.gov.ru/epz/order/notice/ea20/view/common-info.html?regNumber=0873400003924000019" TargetMode="External"/><Relationship Id="rId360" Type="http://schemas.openxmlformats.org/officeDocument/2006/relationships/hyperlink" Target="https://zakupki.gov.ru/epz/order/notice/ea20/view/common-info.html?regNumber=0873400003924000173" TargetMode="External"/><Relationship Id="rId416" Type="http://schemas.openxmlformats.org/officeDocument/2006/relationships/hyperlink" Target="https://zakupki.gov.ru/epz/order/notice/ea20/view/common-info.html?regNumber=0873400003924000231" TargetMode="External"/><Relationship Id="rId220" Type="http://schemas.openxmlformats.org/officeDocument/2006/relationships/hyperlink" Target="https://zakupki.gov.ru/epz/order/notice/ea20/view/common-info.html?regNumber=087340000392400030" TargetMode="External"/><Relationship Id="rId458" Type="http://schemas.openxmlformats.org/officeDocument/2006/relationships/hyperlink" Target="https://zakupki.gov.ru/epz/order/notice/ea20/view/common-info.html?regNumber=0873400003924000288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262" Type="http://schemas.openxmlformats.org/officeDocument/2006/relationships/hyperlink" Target="https://zakupki.gov.ru/epz/order/notice/ea20/view/common-info.html?regNumber=0873400003924000072" TargetMode="External"/><Relationship Id="rId318" Type="http://schemas.openxmlformats.org/officeDocument/2006/relationships/hyperlink" Target="https://zakupki.gov.ru/epz/order/notice/ea20/view/common-info.html?regNumber=0873400003924000129" TargetMode="External"/><Relationship Id="rId525" Type="http://schemas.openxmlformats.org/officeDocument/2006/relationships/hyperlink" Target="https://zakupki.gov.ru/epz/order/notice/ea20/view/common-info.html?regNumber=0873400003924000352" TargetMode="External"/><Relationship Id="rId567" Type="http://schemas.openxmlformats.org/officeDocument/2006/relationships/hyperlink" Target="https://zakupki.gov.ru/epz/order/notice/ea20/view/common-info.html?regNumber=0873400003924000398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22" Type="http://schemas.openxmlformats.org/officeDocument/2006/relationships/hyperlink" Target="https://zakupki.gov.ru/epz/order/notice/ea20/view/common-info.html?regNumber=0873400003923000666" TargetMode="External"/><Relationship Id="rId164" Type="http://schemas.openxmlformats.org/officeDocument/2006/relationships/hyperlink" Target="https://zakupki.gov.ru/epz/order/notice/ea20/view/common-info.html?regNumber=0873400003923000711" TargetMode="External"/><Relationship Id="rId371" Type="http://schemas.openxmlformats.org/officeDocument/2006/relationships/hyperlink" Target="https://zakupki.gov.ru/epz/order/notice/ea20/view/common-info.html?regNumber=0873400003924000184" TargetMode="External"/><Relationship Id="rId427" Type="http://schemas.openxmlformats.org/officeDocument/2006/relationships/hyperlink" Target="https://zakupki.gov.ru/epz/order/notice/ea20/view/common-info.html?regNumber=0873400003924000257" TargetMode="External"/><Relationship Id="rId469" Type="http://schemas.openxmlformats.org/officeDocument/2006/relationships/hyperlink" Target="https://zakupki.gov.ru/epz/order/notice/ea20/view/common-info.html?regNumber=0873400003924000303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231" Type="http://schemas.openxmlformats.org/officeDocument/2006/relationships/hyperlink" Target="https://zakupki.gov.ru/epz/order/notice/ea20/view/common-info.html?regNumber=0873400003924000040" TargetMode="External"/><Relationship Id="rId273" Type="http://schemas.openxmlformats.org/officeDocument/2006/relationships/hyperlink" Target="https://zakupki.gov.ru/epz/order/notice/ea20/view/common-info.html?regNumber=0873400003924000083" TargetMode="External"/><Relationship Id="rId329" Type="http://schemas.openxmlformats.org/officeDocument/2006/relationships/hyperlink" Target="https://zakupki.gov.ru/epz/order/notice/ea20/view/common-info.html?regNumber=0873400003924000140" TargetMode="External"/><Relationship Id="rId480" Type="http://schemas.openxmlformats.org/officeDocument/2006/relationships/hyperlink" Target="https://zakupki.gov.ru/epz/order/notice/ea20/view/common-info.html?regNumber=0873400003924000317" TargetMode="External"/><Relationship Id="rId536" Type="http://schemas.openxmlformats.org/officeDocument/2006/relationships/hyperlink" Target="https://zakupki.gov.ru/epz/order/notice/ea20/view/common-info.html?regNumber=0873400003924000367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133" Type="http://schemas.openxmlformats.org/officeDocument/2006/relationships/hyperlink" Target="https://zakupki.gov.ru/epz/order/notice/ea20/view/common-info.html?regNumber=0873400003923000678" TargetMode="External"/><Relationship Id="rId175" Type="http://schemas.openxmlformats.org/officeDocument/2006/relationships/hyperlink" Target="https://zakupki.gov.ru/epz/order/notice/ea20/view/common-info.html?regNumber=0873400003923000726" TargetMode="External"/><Relationship Id="rId340" Type="http://schemas.openxmlformats.org/officeDocument/2006/relationships/hyperlink" Target="https://zakupki.gov.ru/epz/order/notice/ea20/view/common-info.html?regNumber=0873400003924000153" TargetMode="External"/><Relationship Id="rId200" Type="http://schemas.openxmlformats.org/officeDocument/2006/relationships/hyperlink" Target="https://zakupki.gov.ru/epz/order/notice/ea20/view/common-info.html?regNumber=0873400003924000010" TargetMode="External"/><Relationship Id="rId382" Type="http://schemas.openxmlformats.org/officeDocument/2006/relationships/hyperlink" Target="https://zakupki.gov.ru/epz/order/notice/ea20/view/common-info.html?regNumber=0873400003924000195" TargetMode="External"/><Relationship Id="rId438" Type="http://schemas.openxmlformats.org/officeDocument/2006/relationships/hyperlink" Target="https://zakupki.gov.ru/epz/order/notice/ea20/view/common-info.html?regNumber=0873400003924000268" TargetMode="External"/><Relationship Id="rId242" Type="http://schemas.openxmlformats.org/officeDocument/2006/relationships/hyperlink" Target="https://zakupki.gov.ru/epz/order/notice/ea20/view/common-info.html?regNumber=0873400003924000050" TargetMode="External"/><Relationship Id="rId284" Type="http://schemas.openxmlformats.org/officeDocument/2006/relationships/hyperlink" Target="https://zakupki.gov.ru/epz/order/notice/ea20/view/common-info.html?regNumber=0873400003924000094" TargetMode="External"/><Relationship Id="rId491" Type="http://schemas.openxmlformats.org/officeDocument/2006/relationships/hyperlink" Target="https://zakupki.gov.ru/epz/order/notice/ea20/view/common-info.html?regNumber=0873400003924000330" TargetMode="External"/><Relationship Id="rId505" Type="http://schemas.openxmlformats.org/officeDocument/2006/relationships/hyperlink" Target="https://zakupki.gov.ru/epz/order/notice/ea20/view/common-info.html?regNumber=0873400003924000344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44" Type="http://schemas.openxmlformats.org/officeDocument/2006/relationships/hyperlink" Target="https://zakupki.gov.ru/epz/order/notice/ea20/view/common-info.html?regNumber=0873400003923000690" TargetMode="External"/><Relationship Id="rId547" Type="http://schemas.openxmlformats.org/officeDocument/2006/relationships/hyperlink" Target="https://zakupki.gov.ru/epz/order/notice/ea20/view/common-info.html?regNumber=0873400003924000378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86" Type="http://schemas.openxmlformats.org/officeDocument/2006/relationships/hyperlink" Target="https://zakupki.gov.ru/epz/order/notice/ea20/view/common-info.html?regNumber=0873400003923000737" TargetMode="External"/><Relationship Id="rId351" Type="http://schemas.openxmlformats.org/officeDocument/2006/relationships/hyperlink" Target="https://zakupki.gov.ru/epz/order/notice/ea20/view/common-info.html?regNumber=0873400003924000164" TargetMode="External"/><Relationship Id="rId393" Type="http://schemas.openxmlformats.org/officeDocument/2006/relationships/hyperlink" Target="https://zakupki.gov.ru/epz/order/notice/ea20/view/common-info.html?regNumber=0873400003924000206" TargetMode="External"/><Relationship Id="rId407" Type="http://schemas.openxmlformats.org/officeDocument/2006/relationships/hyperlink" Target="https://zakupki.gov.ru/epz/order/notice/ea20/view/common-info.html?regNumber=0873400003924000221" TargetMode="External"/><Relationship Id="rId449" Type="http://schemas.openxmlformats.org/officeDocument/2006/relationships/hyperlink" Target="https://zakupki.gov.ru/epz/order/notice/ea20/view/common-info.html?regNumber=0873400003924000279" TargetMode="External"/><Relationship Id="rId211" Type="http://schemas.openxmlformats.org/officeDocument/2006/relationships/hyperlink" Target="https://zakupki.gov.ru/epz/order/notice/ea20/view/common-info.html?regNumber=0873400003924000021" TargetMode="External"/><Relationship Id="rId253" Type="http://schemas.openxmlformats.org/officeDocument/2006/relationships/hyperlink" Target="https://zakupki.gov.ru/epz/order/notice/ea20/view/common-info.html?regNumber=0873400003924000063" TargetMode="External"/><Relationship Id="rId295" Type="http://schemas.openxmlformats.org/officeDocument/2006/relationships/hyperlink" Target="https://zakupki.gov.ru/epz/order/notice/ea20/view/common-info.html?regNumber=0873400003924000105" TargetMode="External"/><Relationship Id="rId309" Type="http://schemas.openxmlformats.org/officeDocument/2006/relationships/hyperlink" Target="https://zakupki.gov.ru/epz/order/notice/ea20/view/common-info.html?regNumber=0873400003924000119" TargetMode="External"/><Relationship Id="rId460" Type="http://schemas.openxmlformats.org/officeDocument/2006/relationships/hyperlink" Target="https://zakupki.gov.ru/epz/order/notice/ea20/view/common-info.html?regNumber=0873400003924000290" TargetMode="External"/><Relationship Id="rId516" Type="http://schemas.openxmlformats.org/officeDocument/2006/relationships/hyperlink" Target="https://zakupki.gov.ru/epz/order/notice/ea20/view/common-info.html?regNumber=0873400003924000247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113" Type="http://schemas.openxmlformats.org/officeDocument/2006/relationships/hyperlink" Target="https://zakupki.gov.ru/epz/order/notice/ea20/view/common-info.html?regNumber=0873400003923000648" TargetMode="External"/><Relationship Id="rId320" Type="http://schemas.openxmlformats.org/officeDocument/2006/relationships/hyperlink" Target="https://zakupki.gov.ru/epz/order/notice/ea20/view/common-info.html?regNumber=0873400003924000131" TargetMode="External"/><Relationship Id="rId558" Type="http://schemas.openxmlformats.org/officeDocument/2006/relationships/hyperlink" Target="https://zakupki.gov.ru/epz/order/notice/ea20/view/common-info.html?regNumber=0873400003924000389" TargetMode="External"/><Relationship Id="rId155" Type="http://schemas.openxmlformats.org/officeDocument/2006/relationships/hyperlink" Target="https://zakupki.gov.ru/epz/order/notice/ea20/view/common-info.html?regNumber=0873400003923000701" TargetMode="External"/><Relationship Id="rId197" Type="http://schemas.openxmlformats.org/officeDocument/2006/relationships/hyperlink" Target="https://zakupki.gov.ru/epz/order/notice/ea20/view/common-info.html?regNumber=0873400003924000007" TargetMode="External"/><Relationship Id="rId362" Type="http://schemas.openxmlformats.org/officeDocument/2006/relationships/hyperlink" Target="https://zakupki.gov.ru/epz/order/notice/ea20/view/common-info.html?regNumber=0873400003924000175" TargetMode="External"/><Relationship Id="rId418" Type="http://schemas.openxmlformats.org/officeDocument/2006/relationships/hyperlink" Target="https://zakupki.gov.ru/epz/order/notice/ea20/view/common-info.html?regNumber=0873400003924000234" TargetMode="External"/><Relationship Id="rId222" Type="http://schemas.openxmlformats.org/officeDocument/2006/relationships/hyperlink" Target="https://zakupki.gov.ru/epz/order/notice/ea20/view/common-info.html?regNumber=0873400003924000032" TargetMode="External"/><Relationship Id="rId264" Type="http://schemas.openxmlformats.org/officeDocument/2006/relationships/hyperlink" Target="https://zakupki.gov.ru/epz/order/notice/ea20/view/common-info.html?regNumber=0873400003924000074" TargetMode="External"/><Relationship Id="rId471" Type="http://schemas.openxmlformats.org/officeDocument/2006/relationships/hyperlink" Target="https://zakupki.gov.ru/epz/order/notice/ea20/view/common-info.html?regNumber=0873400003924000305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24" Type="http://schemas.openxmlformats.org/officeDocument/2006/relationships/hyperlink" Target="https://zakupki.gov.ru/epz/order/notice/ea20/view/common-info.html?regNumber=0873400003923000668" TargetMode="External"/><Relationship Id="rId527" Type="http://schemas.openxmlformats.org/officeDocument/2006/relationships/hyperlink" Target="https://zakupki.gov.ru/epz/order/notice/ea20/view/common-info.html?regNumber=0873400003924000354" TargetMode="External"/><Relationship Id="rId569" Type="http://schemas.openxmlformats.org/officeDocument/2006/relationships/hyperlink" Target="https://zakupki.gov.ru/epz/order/notice/ea20/view/common-info.html?regNumber=0873400003924000400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166" Type="http://schemas.openxmlformats.org/officeDocument/2006/relationships/hyperlink" Target="https://zakupki.gov.ru/epz/order/notice/ea20/view/common-info.html?regNumber=0873400003923000713" TargetMode="External"/><Relationship Id="rId331" Type="http://schemas.openxmlformats.org/officeDocument/2006/relationships/hyperlink" Target="https://zakupki.gov.ru/epz/order/notice/ea20/view/common-info.html?regNumber=0873400003924000143" TargetMode="External"/><Relationship Id="rId373" Type="http://schemas.openxmlformats.org/officeDocument/2006/relationships/hyperlink" Target="https://zakupki.gov.ru/epz/order/notice/ea20/view/common-info.html?regNumber=0873400003924000186" TargetMode="External"/><Relationship Id="rId429" Type="http://schemas.openxmlformats.org/officeDocument/2006/relationships/hyperlink" Target="https://zakupki.gov.ru/epz/order/notice/ea20/view/common-info.html?regNumber=0873400003924000259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33" Type="http://schemas.openxmlformats.org/officeDocument/2006/relationships/hyperlink" Target="https://zakupki.gov.ru/epz/order/notice/ea20/view/common-info.html?regNumber=0873400003924000042" TargetMode="External"/><Relationship Id="rId440" Type="http://schemas.openxmlformats.org/officeDocument/2006/relationships/hyperlink" Target="https://zakupki.gov.ru/epz/order/notice/ea20/view/common-info.html?regNumber=0873400003924000270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275" Type="http://schemas.openxmlformats.org/officeDocument/2006/relationships/hyperlink" Target="https://zakupki.gov.ru/epz/order/notice/ea20/view/common-info.html?regNumber=0873400003924000085" TargetMode="External"/><Relationship Id="rId300" Type="http://schemas.openxmlformats.org/officeDocument/2006/relationships/hyperlink" Target="https://zakupki.gov.ru/epz/order/notice/ea20/view/common-info.html?regNumber=0873400003924000110" TargetMode="External"/><Relationship Id="rId482" Type="http://schemas.openxmlformats.org/officeDocument/2006/relationships/hyperlink" Target="https://zakupki.gov.ru/epz/order/notice/ea20/view/common-info.html?regNumber=0873400003924000321" TargetMode="External"/><Relationship Id="rId538" Type="http://schemas.openxmlformats.org/officeDocument/2006/relationships/hyperlink" Target="https://zakupki.gov.ru/epz/order/notice/ea20/view/common-info.html?regNumber=0873400003924000369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81" TargetMode="External"/><Relationship Id="rId177" Type="http://schemas.openxmlformats.org/officeDocument/2006/relationships/hyperlink" Target="https://zakupki.gov.ru/epz/order/notice/ea20/view/common-info.html?regNumber=0873400003923000728" TargetMode="External"/><Relationship Id="rId342" Type="http://schemas.openxmlformats.org/officeDocument/2006/relationships/hyperlink" Target="https://zakupki.gov.ru/epz/order/notice/ea20/view/common-info.html?regNumber=0873400003924000155" TargetMode="External"/><Relationship Id="rId384" Type="http://schemas.openxmlformats.org/officeDocument/2006/relationships/hyperlink" Target="https://zakupki.gov.ru/epz/order/notice/ea20/view/common-info.html?regNumber=0873400003924000197" TargetMode="External"/><Relationship Id="rId202" Type="http://schemas.openxmlformats.org/officeDocument/2006/relationships/hyperlink" Target="https://zakupki.gov.ru/epz/order/notice/ea20/view/common-info.html?regNumber=0873400003924000012" TargetMode="External"/><Relationship Id="rId244" Type="http://schemas.openxmlformats.org/officeDocument/2006/relationships/hyperlink" Target="https://zakupki.gov.ru/epz/order/notice/ea20/view/common-info.html?regNumber=0873400003924000053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286" Type="http://schemas.openxmlformats.org/officeDocument/2006/relationships/hyperlink" Target="https://zakupki.gov.ru/epz/order/notice/ea20/view/common-info.html?regNumber=0873400003924000096" TargetMode="External"/><Relationship Id="rId451" Type="http://schemas.openxmlformats.org/officeDocument/2006/relationships/hyperlink" Target="https://zakupki.gov.ru/epz/order/notice/ea20/view/common-info.html?regNumber=0873400003924000281" TargetMode="External"/><Relationship Id="rId493" Type="http://schemas.openxmlformats.org/officeDocument/2006/relationships/hyperlink" Target="https://zakupki.gov.ru/epz/order/notice/ea20/view/common-info.html?regNumber=0873400003924000332" TargetMode="External"/><Relationship Id="rId507" Type="http://schemas.openxmlformats.org/officeDocument/2006/relationships/hyperlink" Target="https://zakupki.gov.ru/epz/order/notice/ea20/view/common-info.html?regNumber=0873400003924000346" TargetMode="External"/><Relationship Id="rId549" Type="http://schemas.openxmlformats.org/officeDocument/2006/relationships/hyperlink" Target="https://zakupki.gov.ru/epz/order/notice/ea20/view/common-info.html?regNumber=0873400003924000380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46" Type="http://schemas.openxmlformats.org/officeDocument/2006/relationships/hyperlink" Target="https://zakupki.gov.ru/epz/order/notice/ea20/view/common-info.html?regNumber=0873400003923000692" TargetMode="External"/><Relationship Id="rId188" Type="http://schemas.openxmlformats.org/officeDocument/2006/relationships/hyperlink" Target="https://zakupki.gov.ru/epz/order/notice/ea20/view/common-info.html?regNumber=0873400003923000739" TargetMode="External"/><Relationship Id="rId311" Type="http://schemas.openxmlformats.org/officeDocument/2006/relationships/hyperlink" Target="https://zakupki.gov.ru/epz/order/notice/ea20/view/common-info.html?regNumber=0873400003924000121" TargetMode="External"/><Relationship Id="rId353" Type="http://schemas.openxmlformats.org/officeDocument/2006/relationships/hyperlink" Target="https://zakupki.gov.ru/epz/order/notice/ea20/view/common-info.html?regNumber=0873400003924000166" TargetMode="External"/><Relationship Id="rId395" Type="http://schemas.openxmlformats.org/officeDocument/2006/relationships/hyperlink" Target="https://zakupki.gov.ru/epz/order/notice/ea20/view/common-info.html?regNumber=0873400003924000208" TargetMode="External"/><Relationship Id="rId409" Type="http://schemas.openxmlformats.org/officeDocument/2006/relationships/hyperlink" Target="https://zakupki.gov.ru/epz/order/notice/ea20/view/common-info.html?regNumber=0873400003924000223" TargetMode="External"/><Relationship Id="rId560" Type="http://schemas.openxmlformats.org/officeDocument/2006/relationships/hyperlink" Target="https://zakupki.gov.ru/epz/order/notice/ea20/view/common-info.html?regNumber=0873400003924000391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213" Type="http://schemas.openxmlformats.org/officeDocument/2006/relationships/hyperlink" Target="https://zakupki.gov.ru/epz/order/notice/ea20/view/common-info.html?regNumber=0873400003924000023" TargetMode="External"/><Relationship Id="rId420" Type="http://schemas.openxmlformats.org/officeDocument/2006/relationships/hyperlink" Target="https://zakupki.gov.ru/epz/order/notice/ea20/view/common-info.html?regNumber=0873400003924000236" TargetMode="External"/><Relationship Id="rId255" Type="http://schemas.openxmlformats.org/officeDocument/2006/relationships/hyperlink" Target="https://zakupki.gov.ru/epz/order/notice/ea20/view/common-info.html?regNumber=0873400003924000065" TargetMode="External"/><Relationship Id="rId297" Type="http://schemas.openxmlformats.org/officeDocument/2006/relationships/hyperlink" Target="https://zakupki.gov.ru/epz/order/notice/ea20/view/common-info.html?regNumber=0873400003924000107" TargetMode="External"/><Relationship Id="rId462" Type="http://schemas.openxmlformats.org/officeDocument/2006/relationships/hyperlink" Target="https://zakupki.gov.ru/epz/order/notice/ea20/view/common-info.html?regNumber=0873400003924000293" TargetMode="External"/><Relationship Id="rId518" Type="http://schemas.openxmlformats.org/officeDocument/2006/relationships/hyperlink" Target="https://zakupki.gov.ru/epz/order/notice/ea20/view/common-info.html?regNumber=0873400003924000245" TargetMode="External"/><Relationship Id="rId115" Type="http://schemas.openxmlformats.org/officeDocument/2006/relationships/hyperlink" Target="https://zakupki.gov.ru/epz/order/notice/ea20/view/common-info.html?regNumber=0873400003923000652" TargetMode="External"/><Relationship Id="rId157" Type="http://schemas.openxmlformats.org/officeDocument/2006/relationships/hyperlink" Target="https://zakupki.gov.ru/epz/order/notice/ea20/view/common-info.html?regNumber=0873400003923000703" TargetMode="External"/><Relationship Id="rId322" Type="http://schemas.openxmlformats.org/officeDocument/2006/relationships/hyperlink" Target="https://zakupki.gov.ru/epz/order/notice/ea20/view/common-info.html?regNumber=0873400003924000133" TargetMode="External"/><Relationship Id="rId364" Type="http://schemas.openxmlformats.org/officeDocument/2006/relationships/hyperlink" Target="https://zakupki.gov.ru/epz/order/notice/ea20/view/common-info.html?regNumber=0873400003924000177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199" Type="http://schemas.openxmlformats.org/officeDocument/2006/relationships/hyperlink" Target="https://zakupki.gov.ru/epz/order/notice/ea20/view/common-info.html?regNumber=0873400003924000009" TargetMode="External"/><Relationship Id="rId571" Type="http://schemas.openxmlformats.org/officeDocument/2006/relationships/hyperlink" Target="https://zakupki.gov.ru/epz/order/notice/ea20/view/common-info.html?regNumber=0873400003924000402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224" Type="http://schemas.openxmlformats.org/officeDocument/2006/relationships/hyperlink" Target="https://zakupki.gov.ru/epz/order/notice/ea20/view/common-info.html?regNumber=0873400003924000034" TargetMode="External"/><Relationship Id="rId266" Type="http://schemas.openxmlformats.org/officeDocument/2006/relationships/hyperlink" Target="https://zakupki.gov.ru/epz/order/notice/ea20/view/common-info.html?regNumber=0873400003924000076" TargetMode="External"/><Relationship Id="rId431" Type="http://schemas.openxmlformats.org/officeDocument/2006/relationships/hyperlink" Target="https://zakupki.gov.ru/epz/order/notice/ea20/view/common-info.html?regNumber=0873400003924000261" TargetMode="External"/><Relationship Id="rId473" Type="http://schemas.openxmlformats.org/officeDocument/2006/relationships/hyperlink" Target="https://zakupki.gov.ru/epz/order/notice/ea20/view/common-info.html?regNumber=0873400003924000307" TargetMode="External"/><Relationship Id="rId529" Type="http://schemas.openxmlformats.org/officeDocument/2006/relationships/hyperlink" Target="https://zakupki.gov.ru/epz/order/notice/ea20/view/common-info.html?regNumber=0873400003924000356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126" Type="http://schemas.openxmlformats.org/officeDocument/2006/relationships/hyperlink" Target="https://zakupki.gov.ru/epz/order/notice/ea20/view/common-info.html?regNumber=0873400003923000670" TargetMode="External"/><Relationship Id="rId168" Type="http://schemas.openxmlformats.org/officeDocument/2006/relationships/hyperlink" Target="https://zakupki.gov.ru/epz/order/notice/ea20/view/common-info.html?regNumber=0873400003923000715" TargetMode="External"/><Relationship Id="rId333" Type="http://schemas.openxmlformats.org/officeDocument/2006/relationships/hyperlink" Target="https://zakupki.gov.ru/epz/order/notice/ea20/view/common-info.html?regNumber=0873400003924000145" TargetMode="External"/><Relationship Id="rId540" Type="http://schemas.openxmlformats.org/officeDocument/2006/relationships/hyperlink" Target="https://zakupki.gov.ru/epz/order/notice/ea20/view/common-info.html?regNumber=0873400003924000371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375" Type="http://schemas.openxmlformats.org/officeDocument/2006/relationships/hyperlink" Target="https://zakupki.gov.ru/epz/order/notice/ea20/view/common-info.html?regNumber=0873400003924000188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35" Type="http://schemas.openxmlformats.org/officeDocument/2006/relationships/hyperlink" Target="https://zakupki.gov.ru/epz/order/notice/ea20/view/common-info.html?regNumber=0873400003924000044" TargetMode="External"/><Relationship Id="rId277" Type="http://schemas.openxmlformats.org/officeDocument/2006/relationships/hyperlink" Target="https://zakupki.gov.ru/epz/order/notice/ea20/view/common-info.html?regNumber=0873400003924000087" TargetMode="External"/><Relationship Id="rId400" Type="http://schemas.openxmlformats.org/officeDocument/2006/relationships/hyperlink" Target="https://zakupki.gov.ru/epz/order/notice/ea20/view/common-info.html?regNumber=0873400003924000214" TargetMode="External"/><Relationship Id="rId442" Type="http://schemas.openxmlformats.org/officeDocument/2006/relationships/hyperlink" Target="https://zakupki.gov.ru/epz/order/notice/ea20/view/common-info.html?regNumber=0873400003924000272" TargetMode="External"/><Relationship Id="rId484" Type="http://schemas.openxmlformats.org/officeDocument/2006/relationships/hyperlink" Target="https://zakupki.gov.ru/epz/order/notice/ea20/view/common-info.html?regNumber=0873400003924000323" TargetMode="External"/><Relationship Id="rId137" Type="http://schemas.openxmlformats.org/officeDocument/2006/relationships/hyperlink" Target="https://zakupki.gov.ru/epz/order/notice/ea20/view/common-info.html?regNumber=0873400003923000683" TargetMode="External"/><Relationship Id="rId302" Type="http://schemas.openxmlformats.org/officeDocument/2006/relationships/hyperlink" Target="https://zakupki.gov.ru/epz/order/notice/ea20/view/common-info.html?regNumber=0873400003924000112" TargetMode="External"/><Relationship Id="rId344" Type="http://schemas.openxmlformats.org/officeDocument/2006/relationships/hyperlink" Target="https://zakupki.gov.ru/epz/order/notice/ea20/view/common-info.html?regNumber=0873400003924000157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179" Type="http://schemas.openxmlformats.org/officeDocument/2006/relationships/hyperlink" Target="https://zakupki.gov.ru/epz/order/notice/ea20/view/common-info.html?regNumber=0873400003923000730" TargetMode="External"/><Relationship Id="rId386" Type="http://schemas.openxmlformats.org/officeDocument/2006/relationships/hyperlink" Target="https://zakupki.gov.ru/epz/order/notice/ea20/view/common-info.html?regNumber=0873400003924000199" TargetMode="External"/><Relationship Id="rId551" Type="http://schemas.openxmlformats.org/officeDocument/2006/relationships/hyperlink" Target="https://zakupki.gov.ru/epz/order/notice/ea20/view/common-info.html?regNumber=0873400003924000382" TargetMode="External"/><Relationship Id="rId190" Type="http://schemas.openxmlformats.org/officeDocument/2006/relationships/hyperlink" Target="https://zakupki.gov.ru/epz/order/notice/ea20/view/common-info.html?regNumber=0873400003923000741" TargetMode="External"/><Relationship Id="rId204" Type="http://schemas.openxmlformats.org/officeDocument/2006/relationships/hyperlink" Target="https://zakupki.gov.ru/epz/order/notice/ea20/view/common-info.html?regNumber=0873400003924000014" TargetMode="External"/><Relationship Id="rId246" Type="http://schemas.openxmlformats.org/officeDocument/2006/relationships/hyperlink" Target="https://zakupki.gov.ru/epz/order/notice/ea20/view/common-info.html?regNumber=0873400003924000055" TargetMode="External"/><Relationship Id="rId288" Type="http://schemas.openxmlformats.org/officeDocument/2006/relationships/hyperlink" Target="https://zakupki.gov.ru/epz/order/notice/ea20/view/common-info.html?regNumber=0873400003924000098" TargetMode="External"/><Relationship Id="rId411" Type="http://schemas.openxmlformats.org/officeDocument/2006/relationships/hyperlink" Target="https://zakupki.gov.ru/epz/order/notice/ea20/view/common-info.html?regNumber=0873400003924000225" TargetMode="External"/><Relationship Id="rId453" Type="http://schemas.openxmlformats.org/officeDocument/2006/relationships/hyperlink" Target="https://zakupki.gov.ru/epz/order/notice/ea20/view/common-info.html?regNumber=0873400003924000283" TargetMode="External"/><Relationship Id="rId509" Type="http://schemas.openxmlformats.org/officeDocument/2006/relationships/hyperlink" Target="https://zakupki.gov.ru/epz/order/notice/ea20/view/common-info.html?regNumber=0873400003924000348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313" Type="http://schemas.openxmlformats.org/officeDocument/2006/relationships/hyperlink" Target="https://zakupki.gov.ru/epz/order/notice/ea20/view/common-info.html?regNumber=0873400003924000123" TargetMode="External"/><Relationship Id="rId495" Type="http://schemas.openxmlformats.org/officeDocument/2006/relationships/hyperlink" Target="https://zakupki.gov.ru/epz/order/notice/ea20/view/common-info.html?regNumber=0873400003924000334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148" Type="http://schemas.openxmlformats.org/officeDocument/2006/relationships/hyperlink" Target="https://zakupki.gov.ru/epz/order/notice/ea20/view/common-info.html?regNumber=0873400003923000694" TargetMode="External"/><Relationship Id="rId355" Type="http://schemas.openxmlformats.org/officeDocument/2006/relationships/hyperlink" Target="https://zakupki.gov.ru/epz/order/notice/ea20/view/common-info.html?regNumber=0873400003924000168" TargetMode="External"/><Relationship Id="rId397" Type="http://schemas.openxmlformats.org/officeDocument/2006/relationships/hyperlink" Target="https://zakupki.gov.ru/epz/order/notice/ea20/view/common-info.html?regNumber=0873400003924000211" TargetMode="External"/><Relationship Id="rId520" Type="http://schemas.openxmlformats.org/officeDocument/2006/relationships/hyperlink" Target="https://zakupki.gov.ru/epz/order/notice/ea20/view/common-info.html?regNumber=0873400003924000243" TargetMode="External"/><Relationship Id="rId562" Type="http://schemas.openxmlformats.org/officeDocument/2006/relationships/hyperlink" Target="https://zakupki.gov.ru/epz/order/notice/ea20/view/common-info.html?regNumber=0873400003924000393" TargetMode="External"/><Relationship Id="rId215" Type="http://schemas.openxmlformats.org/officeDocument/2006/relationships/hyperlink" Target="https://zakupki.gov.ru/epz/order/notice/ea20/view/common-info.html?regNumber=0873400003924000025" TargetMode="External"/><Relationship Id="rId257" Type="http://schemas.openxmlformats.org/officeDocument/2006/relationships/hyperlink" Target="https://zakupki.gov.ru/epz/order/notice/ea20/view/common-info.html?regNumber=0873400003924000067" TargetMode="External"/><Relationship Id="rId422" Type="http://schemas.openxmlformats.org/officeDocument/2006/relationships/hyperlink" Target="https://zakupki.gov.ru/epz/order/notice/ea20/view/common-info.html?regNumber=0873400003924000238" TargetMode="External"/><Relationship Id="rId464" Type="http://schemas.openxmlformats.org/officeDocument/2006/relationships/hyperlink" Target="https://zakupki.gov.ru/epz/order/notice/ea20/view/common-info.html?regNumber=0873400003924000295" TargetMode="External"/><Relationship Id="rId299" Type="http://schemas.openxmlformats.org/officeDocument/2006/relationships/hyperlink" Target="https://zakupki.gov.ru/epz/order/notice/ea20/view/common-info.html?regNumber=0873400003924000109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159" Type="http://schemas.openxmlformats.org/officeDocument/2006/relationships/hyperlink" Target="https://zakupki.gov.ru/epz/order/notice/ea20/view/common-info.html?regNumber=0873400003923000705" TargetMode="External"/><Relationship Id="rId366" Type="http://schemas.openxmlformats.org/officeDocument/2006/relationships/hyperlink" Target="https://zakupki.gov.ru/epz/order/notice/ea20/view/common-info.html?regNumber=0873400003924000179" TargetMode="External"/><Relationship Id="rId573" Type="http://schemas.openxmlformats.org/officeDocument/2006/relationships/hyperlink" Target="https://zakupki.gov.ru/epz/order/notice/ea20/view/common-info.html?regNumber=0873400003924000405" TargetMode="External"/><Relationship Id="rId226" Type="http://schemas.openxmlformats.org/officeDocument/2006/relationships/hyperlink" Target="https://zakupki.gov.ru/epz/order/notice/ea20/view/common-info.html?regNumber=0873400003924000056" TargetMode="External"/><Relationship Id="rId433" Type="http://schemas.openxmlformats.org/officeDocument/2006/relationships/hyperlink" Target="https://zakupki.gov.ru/epz/order/notice/ea20/view/common-info.html?regNumber=0873400003924000263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377" Type="http://schemas.openxmlformats.org/officeDocument/2006/relationships/hyperlink" Target="https://zakupki.gov.ru/epz/order/notice/ea20/view/common-info.html?regNumber=0873400003924000190" TargetMode="External"/><Relationship Id="rId500" Type="http://schemas.openxmlformats.org/officeDocument/2006/relationships/hyperlink" Target="https://zakupki.gov.ru/epz/order/notice/ea20/view/common-info.html?regNumber=0873400003924000339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237" Type="http://schemas.openxmlformats.org/officeDocument/2006/relationships/hyperlink" Target="https://zakupki.gov.ru/epz/order/notice/ea20/view/common-info.html?regNumber=0873400003924000046" TargetMode="External"/><Relationship Id="rId444" Type="http://schemas.openxmlformats.org/officeDocument/2006/relationships/hyperlink" Target="https://zakupki.gov.ru/epz/order/notice/ea20/view/common-info.html?regNumber=0873400003924000274" TargetMode="External"/><Relationship Id="rId290" Type="http://schemas.openxmlformats.org/officeDocument/2006/relationships/hyperlink" Target="https://zakupki.gov.ru/epz/order/notice/ea20/view/common-info.html?regNumber=0873400003924000100" TargetMode="External"/><Relationship Id="rId304" Type="http://schemas.openxmlformats.org/officeDocument/2006/relationships/hyperlink" Target="https://zakupki.gov.ru/epz/order/notice/ea20/view/common-info.html?regNumber=0873400003924000114" TargetMode="External"/><Relationship Id="rId388" Type="http://schemas.openxmlformats.org/officeDocument/2006/relationships/hyperlink" Target="https://zakupki.gov.ru/epz/order/notice/ea20/view/common-info.html?regNumber=0873400003924000201" TargetMode="External"/><Relationship Id="rId511" Type="http://schemas.openxmlformats.org/officeDocument/2006/relationships/hyperlink" Target="https://zakupki.gov.ru/epz/order/notice/ea20/view/common-info.html?regNumber=0873400003924000350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6" TargetMode="External"/><Relationship Id="rId248" Type="http://schemas.openxmlformats.org/officeDocument/2006/relationships/hyperlink" Target="https://zakupki.gov.ru/epz/order/notice/ea20/view/common-info.html?regNumber=0873400003924000058" TargetMode="External"/><Relationship Id="rId455" Type="http://schemas.openxmlformats.org/officeDocument/2006/relationships/hyperlink" Target="https://zakupki.gov.ru/epz/order/notice/ea20/view/common-info.html?regNumber=0873400003924000285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315" Type="http://schemas.openxmlformats.org/officeDocument/2006/relationships/hyperlink" Target="https://zakupki.gov.ru/epz/order/notice/ea20/view/common-info.html?regNumber=0873400003924000126" TargetMode="External"/><Relationship Id="rId522" Type="http://schemas.openxmlformats.org/officeDocument/2006/relationships/hyperlink" Target="https://zakupki.gov.ru/epz/order/notice/ea20/view/common-info.html?regNumber=0873400003924000361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61" Type="http://schemas.openxmlformats.org/officeDocument/2006/relationships/hyperlink" Target="https://zakupki.gov.ru/epz/order/notice/ea20/view/common-info.html?regNumber=0873400003923000708" TargetMode="External"/><Relationship Id="rId399" Type="http://schemas.openxmlformats.org/officeDocument/2006/relationships/hyperlink" Target="https://zakupki.gov.ru/epz/order/notice/ea20/view/common-info.html?regNumber=0873400003924000213" TargetMode="External"/><Relationship Id="rId259" Type="http://schemas.openxmlformats.org/officeDocument/2006/relationships/hyperlink" Target="https://zakupki.gov.ru/epz/order/notice/ea20/view/common-info.html?regNumber=0873400003924000069" TargetMode="External"/><Relationship Id="rId466" Type="http://schemas.openxmlformats.org/officeDocument/2006/relationships/hyperlink" Target="https://zakupki.gov.ru/epz/order/notice/ea20/view/common-info.html?regNumber=0873400003924000297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63" TargetMode="External"/><Relationship Id="rId326" Type="http://schemas.openxmlformats.org/officeDocument/2006/relationships/hyperlink" Target="https://zakupki.gov.ru/epz/order/notice/ea20/view/common-info.html?regNumber=0873400003924000137" TargetMode="External"/><Relationship Id="rId533" Type="http://schemas.openxmlformats.org/officeDocument/2006/relationships/hyperlink" Target="https://zakupki.gov.ru/epz/order/notice/ea20/view/common-info.html?regNumber=0873400003924000360" TargetMode="External"/><Relationship Id="rId172" Type="http://schemas.openxmlformats.org/officeDocument/2006/relationships/hyperlink" Target="https://zakupki.gov.ru/epz/order/notice/ea20/view/common-info.html?regNumber=0873400003923000723" TargetMode="External"/><Relationship Id="rId477" Type="http://schemas.openxmlformats.org/officeDocument/2006/relationships/hyperlink" Target="https://zakupki.gov.ru/epz/order/notice/ea20/view/common-info.html?regNumber=087340000392400031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4000088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63" Type="http://schemas.openxmlformats.org/officeDocument/2006/relationships/hyperlink" Target="https://zakupki.gov.ru/epz/order/notice/ea20/view/common-info.html?regNumber=0873400003923000658" TargetMode="External"/><Relationship Id="rId84" Type="http://schemas.openxmlformats.org/officeDocument/2006/relationships/hyperlink" Target="https://zakupki.gov.ru/epz/order/notice/ea20/view/common-info.html?regNumber=0873400003923000687" TargetMode="External"/><Relationship Id="rId138" Type="http://schemas.openxmlformats.org/officeDocument/2006/relationships/hyperlink" Target="https://zakupki.gov.ru/epz/order/notice/ea20/view/common-info.html?regNumber=0873400003924000204" TargetMode="External"/><Relationship Id="rId159" Type="http://schemas.openxmlformats.org/officeDocument/2006/relationships/hyperlink" Target="https://zakupki.gov.ru/epz/order/notice/ea20/view/common-info.html?regNumber=0873400003924000242" TargetMode="External"/><Relationship Id="rId170" Type="http://schemas.openxmlformats.org/officeDocument/2006/relationships/hyperlink" Target="https://zakupki.gov.ru/epz/order/notice/ea20/view/common-info.html?regNumber=0873400003924000270" TargetMode="External"/><Relationship Id="rId191" Type="http://schemas.openxmlformats.org/officeDocument/2006/relationships/hyperlink" Target="https://zakupki.gov.ru/epz/order/notice/ea20/view/common-info.html?regNumber=0873400003924000305" TargetMode="External"/><Relationship Id="rId205" Type="http://schemas.openxmlformats.org/officeDocument/2006/relationships/hyperlink" Target="https://zakupki.gov.ru/epz/order/notice/ea20/view/common-info.html?regNumber=0873400003924000351" TargetMode="External"/><Relationship Id="rId107" Type="http://schemas.openxmlformats.org/officeDocument/2006/relationships/hyperlink" Target="https://zakupki.gov.ru/epz/order/notice/ea20/view/common-info.html?regNumber=0873400003924000073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74" Type="http://schemas.openxmlformats.org/officeDocument/2006/relationships/hyperlink" Target="https://zakupki.gov.ru/epz/order/notice/ea20/view/common-info.html?regNumber=0873400003923000673" TargetMode="External"/><Relationship Id="rId128" Type="http://schemas.openxmlformats.org/officeDocument/2006/relationships/hyperlink" Target="https://zakupki.gov.ru/epz/order/notice/ea20/view/common-info.html?regNumber=0873400003924000181" TargetMode="External"/><Relationship Id="rId149" Type="http://schemas.openxmlformats.org/officeDocument/2006/relationships/hyperlink" Target="https://zakupki.gov.ru/epz/order/notice/ea20/view/common-info.html?regNumber=0873400003924000234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95" Type="http://schemas.openxmlformats.org/officeDocument/2006/relationships/hyperlink" Target="https://zakupki.gov.ru/epz/order/notice/ea20/view/common-info.html?regNumber=0873400003923000717" TargetMode="External"/><Relationship Id="rId160" Type="http://schemas.openxmlformats.org/officeDocument/2006/relationships/hyperlink" Target="https://zakupki.gov.ru/epz/order/notice/ea20/view/common-info.html?regNumber=0873400003924000247" TargetMode="External"/><Relationship Id="rId181" Type="http://schemas.openxmlformats.org/officeDocument/2006/relationships/hyperlink" Target="https://zakupki.gov.ru/epz/order/notice/ea20/view/common-info.html?regNumber=0873400003924000287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64" Type="http://schemas.openxmlformats.org/officeDocument/2006/relationships/hyperlink" Target="https://zakupki.gov.ru/epz/order/notice/ea20/view/common-info.html?regNumber=0873400003923000663" TargetMode="External"/><Relationship Id="rId118" Type="http://schemas.openxmlformats.org/officeDocument/2006/relationships/hyperlink" Target="https://zakupki.gov.ru/epz/order/notice/ea20/view/common-info.html?regNumber=0873400003924000134" TargetMode="External"/><Relationship Id="rId139" Type="http://schemas.openxmlformats.org/officeDocument/2006/relationships/hyperlink" Target="https://zakupki.gov.ru/epz/order/notice/ea20/view/common-info.html?regNumber=0873400003924000206" TargetMode="External"/><Relationship Id="rId85" Type="http://schemas.openxmlformats.org/officeDocument/2006/relationships/hyperlink" Target="https://zakupki.gov.ru/epz/order/notice/ea20/view/common-info.html?regNumber=0873400003923000688" TargetMode="External"/><Relationship Id="rId150" Type="http://schemas.openxmlformats.org/officeDocument/2006/relationships/hyperlink" Target="https://zakupki.gov.ru/epz/order/notice/ea20/view/common-info.html?regNumber=0873400003924000236" TargetMode="External"/><Relationship Id="rId171" Type="http://schemas.openxmlformats.org/officeDocument/2006/relationships/hyperlink" Target="https://zakupki.gov.ru/epz/order/notice/ea20/view/common-info.html?regNumber=0873400003924000271" TargetMode="External"/><Relationship Id="rId192" Type="http://schemas.openxmlformats.org/officeDocument/2006/relationships/hyperlink" Target="https://zakupki.gov.ru/epz/order/notice/ea20/view/common-info.html?regNumber=0873400003924000306" TargetMode="External"/><Relationship Id="rId206" Type="http://schemas.openxmlformats.org/officeDocument/2006/relationships/hyperlink" Target="https://zakupki.gov.ru/epz/order/notice/ea20/view/common-info.html?regNumber=0873400003924000376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108" Type="http://schemas.openxmlformats.org/officeDocument/2006/relationships/hyperlink" Target="https://zakupki.gov.ru/epz/order/notice/ea20/view/common-info.html?regNumber=0873400003924000074" TargetMode="External"/><Relationship Id="rId129" Type="http://schemas.openxmlformats.org/officeDocument/2006/relationships/hyperlink" Target="https://zakupki.gov.ru/epz/order/notice/ea20/view/common-info.html?regNumber=0873400003924000183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75" Type="http://schemas.openxmlformats.org/officeDocument/2006/relationships/hyperlink" Target="https://zakupki.gov.ru/epz/order/notice/ea20/view/common-info.html?regNumber=0873400003923000675" TargetMode="External"/><Relationship Id="rId96" Type="http://schemas.openxmlformats.org/officeDocument/2006/relationships/hyperlink" Target="https://zakupki.gov.ru/epz/order/notice/ea20/view/common-info.html?regNumber=0873400003923000721" TargetMode="External"/><Relationship Id="rId140" Type="http://schemas.openxmlformats.org/officeDocument/2006/relationships/hyperlink" Target="https://zakupki.gov.ru/epz/order/notice/ea20/view/common-info.html?regNumber=0873400003924000209" TargetMode="External"/><Relationship Id="rId161" Type="http://schemas.openxmlformats.org/officeDocument/2006/relationships/hyperlink" Target="https://zakupki.gov.ru/epz/order/notice/ea20/view/common-info.html?regNumber=0873400003924000255" TargetMode="External"/><Relationship Id="rId182" Type="http://schemas.openxmlformats.org/officeDocument/2006/relationships/hyperlink" Target="https://zakupki.gov.ru/epz/order/notice/ea20/view/common-info.html?regNumber=0873400003924000288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119" Type="http://schemas.openxmlformats.org/officeDocument/2006/relationships/hyperlink" Target="https://zakupki.gov.ru/epz/order/notice/ea20/view/common-info.html?regNumber=0873400003924000138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65" Type="http://schemas.openxmlformats.org/officeDocument/2006/relationships/hyperlink" Target="https://zakupki.gov.ru/epz/order/notice/ea20/view/common-info.html?regNumber=0873400003923000664" TargetMode="External"/><Relationship Id="rId86" Type="http://schemas.openxmlformats.org/officeDocument/2006/relationships/hyperlink" Target="https://zakupki.gov.ru/epz/order/notice/ea20/view/common-info.html?regNumber=0873400003923000689" TargetMode="External"/><Relationship Id="rId130" Type="http://schemas.openxmlformats.org/officeDocument/2006/relationships/hyperlink" Target="https://zakupki.gov.ru/epz/order/notice/ea20/view/common-info.html?regNumber=0873400003924000184" TargetMode="External"/><Relationship Id="rId151" Type="http://schemas.openxmlformats.org/officeDocument/2006/relationships/hyperlink" Target="https://zakupki.gov.ru/epz/order/notice/ea20/view/common-info.html?regNumber=0873400003924000237" TargetMode="External"/><Relationship Id="rId172" Type="http://schemas.openxmlformats.org/officeDocument/2006/relationships/hyperlink" Target="https://zakupki.gov.ru/epz/order/notice/ea20/view/common-info.html?regNumber=0873400003924000272" TargetMode="External"/><Relationship Id="rId193" Type="http://schemas.openxmlformats.org/officeDocument/2006/relationships/hyperlink" Target="https://zakupki.gov.ru/epz/order/notice/ea20/view/common-info.html?regNumber=0873400003924000307" TargetMode="External"/><Relationship Id="rId207" Type="http://schemas.openxmlformats.org/officeDocument/2006/relationships/hyperlink" Target="https://zakupki.gov.ru/epz/order/notice/ea20/view/common-info.html?regNumber=0873400003924000379" TargetMode="External"/><Relationship Id="rId13" Type="http://schemas.openxmlformats.org/officeDocument/2006/relationships/hyperlink" Target="https://zakupki.gov.ru/epz/order/notice/ea20/view/common-info.html?regNumber=0873400003923000542" TargetMode="External"/><Relationship Id="rId109" Type="http://schemas.openxmlformats.org/officeDocument/2006/relationships/hyperlink" Target="https://zakupki.gov.ru/epz/order/notice/ea20/view/common-info.html?regNumber=0873400003924000076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6" Type="http://schemas.openxmlformats.org/officeDocument/2006/relationships/hyperlink" Target="https://zakupki.gov.ru/epz/order/notice/ea20/view/common-info.html?regNumber=0873400003923000676" TargetMode="External"/><Relationship Id="rId97" Type="http://schemas.openxmlformats.org/officeDocument/2006/relationships/hyperlink" Target="https://zakupki.gov.ru/epz/order/notice/ea20/view/common-info.html?regNumber=0873400003923000722" TargetMode="External"/><Relationship Id="rId120" Type="http://schemas.openxmlformats.org/officeDocument/2006/relationships/hyperlink" Target="https://zakupki.gov.ru/epz/order/notice/ea20/view/common-info.html?regNumber=0873400003924000139" TargetMode="External"/><Relationship Id="rId141" Type="http://schemas.openxmlformats.org/officeDocument/2006/relationships/hyperlink" Target="https://zakupki.gov.ru/epz/order/notice/ea20/view/common-info.html?regNumber=0873400003924000213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162" Type="http://schemas.openxmlformats.org/officeDocument/2006/relationships/hyperlink" Target="https://zakupki.gov.ru/epz/order/notice/ea20/view/common-info.html?regNumber=0873400003924000254" TargetMode="External"/><Relationship Id="rId183" Type="http://schemas.openxmlformats.org/officeDocument/2006/relationships/hyperlink" Target="https://zakupki.gov.ru/epz/order/notice/ea20/view/common-info.html?regNumber=0873400003924000290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66" Type="http://schemas.openxmlformats.org/officeDocument/2006/relationships/hyperlink" Target="https://zakupki.gov.ru/epz/order/notice/ea20/view/common-info.html?regNumber=0873400003923000665" TargetMode="External"/><Relationship Id="rId87" Type="http://schemas.openxmlformats.org/officeDocument/2006/relationships/hyperlink" Target="https://zakupki.gov.ru/epz/order/notice/ea20/view/common-info.html?regNumber=0873400003923000696" TargetMode="External"/><Relationship Id="rId110" Type="http://schemas.openxmlformats.org/officeDocument/2006/relationships/hyperlink" Target="https://zakupki.gov.ru/epz/order/notice/ea20/view/common-info.html?regNumber=0873400003924000077" TargetMode="External"/><Relationship Id="rId131" Type="http://schemas.openxmlformats.org/officeDocument/2006/relationships/hyperlink" Target="https://zakupki.gov.ru/epz/order/notice/ea20/view/common-info.html?regNumber=0873400003924000187" TargetMode="External"/><Relationship Id="rId61" Type="http://schemas.openxmlformats.org/officeDocument/2006/relationships/hyperlink" Target="https://zakupki.gov.ru/epz/order/notice/ea20/view/common-info.html?regNumber=0873400003923000648" TargetMode="External"/><Relationship Id="rId82" Type="http://schemas.openxmlformats.org/officeDocument/2006/relationships/hyperlink" Target="https://zakupki.gov.ru/epz/order/notice/ea20/view/common-info.html?regNumber=0873400003923000684" TargetMode="External"/><Relationship Id="rId152" Type="http://schemas.openxmlformats.org/officeDocument/2006/relationships/hyperlink" Target="https://zakupki.gov.ru/epz/order/notice/ea20/view/common-info.html?regNumber=0873400003924000238" TargetMode="External"/><Relationship Id="rId173" Type="http://schemas.openxmlformats.org/officeDocument/2006/relationships/hyperlink" Target="https://zakupki.gov.ru/epz/order/notice/ea20/view/common-info.html?regNumber=0873400003924000273" TargetMode="External"/><Relationship Id="rId194" Type="http://schemas.openxmlformats.org/officeDocument/2006/relationships/hyperlink" Target="https://zakupki.gov.ru/epz/order/notice/ea20/view/common-info.html?regNumber=0873400003924000308" TargetMode="External"/><Relationship Id="rId199" Type="http://schemas.openxmlformats.org/officeDocument/2006/relationships/hyperlink" Target="https://zakupki.gov.ru/epz/order/notice/ea20/view/common-info.html?regNumber=0873400003924000323" TargetMode="External"/><Relationship Id="rId203" Type="http://schemas.openxmlformats.org/officeDocument/2006/relationships/hyperlink" Target="https://zakupki.gov.ru/epz/order/notice/ea20/view/common-info.html?regNumber=0873400003924000344" TargetMode="External"/><Relationship Id="rId208" Type="http://schemas.openxmlformats.org/officeDocument/2006/relationships/hyperlink" Target="https://zakupki.gov.ru/epz/order/notice/ea20/view/common-info.html?regNumber=0873400003924000380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77" Type="http://schemas.openxmlformats.org/officeDocument/2006/relationships/hyperlink" Target="https://zakupki.gov.ru/epz/order/notice/ea20/view/common-info.html?regNumber=0873400003923000677" TargetMode="External"/><Relationship Id="rId100" Type="http://schemas.openxmlformats.org/officeDocument/2006/relationships/hyperlink" Target="https://zakupki.gov.ru/epz/order/notice/ea20/view/common-info.html?regNumber=0873400003923000725" TargetMode="External"/><Relationship Id="rId105" Type="http://schemas.openxmlformats.org/officeDocument/2006/relationships/hyperlink" Target="https://zakupki.gov.ru/epz/order/notice/ea20/view/common-info.html?regNumber=0873400003923000731" TargetMode="External"/><Relationship Id="rId126" Type="http://schemas.openxmlformats.org/officeDocument/2006/relationships/hyperlink" Target="https://zakupki.gov.ru/epz/order/notice/ea20/view/common-info.html?regNumber=0873400003924000164" TargetMode="External"/><Relationship Id="rId147" Type="http://schemas.openxmlformats.org/officeDocument/2006/relationships/hyperlink" Target="https://zakupki.gov.ru/epz/order/notice/ea20/view/common-info.html?regNumber=0873400003924000230" TargetMode="External"/><Relationship Id="rId168" Type="http://schemas.openxmlformats.org/officeDocument/2006/relationships/hyperlink" Target="https://zakupki.gov.ru/epz/order/notice/ea20/view/common-info.html?regNumber=0873400003924000268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72" Type="http://schemas.openxmlformats.org/officeDocument/2006/relationships/hyperlink" Target="https://zakupki.gov.ru/epz/order/notice/ea20/view/common-info.html?regNumber=0873400003923000671" TargetMode="External"/><Relationship Id="rId93" Type="http://schemas.openxmlformats.org/officeDocument/2006/relationships/hyperlink" Target="https://zakupki.gov.ru/epz/order/notice/ea20/view/common-info.html?regNumber=0873400003923000714" TargetMode="External"/><Relationship Id="rId98" Type="http://schemas.openxmlformats.org/officeDocument/2006/relationships/hyperlink" Target="https://zakupki.gov.ru/epz/order/notice/ea20/view/common-info.html?regNumber=0873400003923000723" TargetMode="External"/><Relationship Id="rId121" Type="http://schemas.openxmlformats.org/officeDocument/2006/relationships/hyperlink" Target="https://zakupki.gov.ru/epz/order/notice/ea20/view/common-info.html?regNumber=0873400003924000140" TargetMode="External"/><Relationship Id="rId142" Type="http://schemas.openxmlformats.org/officeDocument/2006/relationships/hyperlink" Target="https://zakupki.gov.ru/epz/order/notice/ea20/view/common-info.html?regNumber=0873400003924000216" TargetMode="External"/><Relationship Id="rId163" Type="http://schemas.openxmlformats.org/officeDocument/2006/relationships/hyperlink" Target="https://zakupki.gov.ru/epz/order/notice/ea20/view/common-info.html?regNumber=0873400003924000258" TargetMode="External"/><Relationship Id="rId184" Type="http://schemas.openxmlformats.org/officeDocument/2006/relationships/hyperlink" Target="https://zakupki.gov.ru/epz/order/notice/ea20/view/common-info.html?regNumber=0873400003924000291" TargetMode="External"/><Relationship Id="rId189" Type="http://schemas.openxmlformats.org/officeDocument/2006/relationships/hyperlink" Target="https://zakupki.gov.ru/epz/order/notice/ea20/view/common-info.html?regNumber=0873400003924000303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67" Type="http://schemas.openxmlformats.org/officeDocument/2006/relationships/hyperlink" Target="https://zakupki.gov.ru/epz/order/notice/ea20/view/common-info.html?regNumber=0873400003923000666" TargetMode="External"/><Relationship Id="rId116" Type="http://schemas.openxmlformats.org/officeDocument/2006/relationships/hyperlink" Target="https://zakupki.gov.ru/epz/order/notice/ea20/view/common-info.html?regNumber=0873400003924000087" TargetMode="External"/><Relationship Id="rId137" Type="http://schemas.openxmlformats.org/officeDocument/2006/relationships/hyperlink" Target="https://zakupki.gov.ru/epz/order/notice/ea20/view/common-info.html?regNumber=0873400003924000202" TargetMode="External"/><Relationship Id="rId158" Type="http://schemas.openxmlformats.org/officeDocument/2006/relationships/hyperlink" Target="https://zakupki.gov.ru/epz/order/notice/ea20/view/common-info.html?regNumber=0873400003924000243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62" Type="http://schemas.openxmlformats.org/officeDocument/2006/relationships/hyperlink" Target="https://zakupki.gov.ru/epz/order/notice/ea20/view/common-info.html?regNumber=0873400003923000652" TargetMode="External"/><Relationship Id="rId83" Type="http://schemas.openxmlformats.org/officeDocument/2006/relationships/hyperlink" Target="https://zakupki.gov.ru/epz/order/notice/ea20/view/common-info.html?regNumber=0873400003923000686" TargetMode="External"/><Relationship Id="rId88" Type="http://schemas.openxmlformats.org/officeDocument/2006/relationships/hyperlink" Target="https://zakupki.gov.ru/epz/order/notice/ea20/view/common-info.html?regNumber=0873400003923000697" TargetMode="External"/><Relationship Id="rId111" Type="http://schemas.openxmlformats.org/officeDocument/2006/relationships/hyperlink" Target="https://zakupki.gov.ru/epz/order/notice/ea20/view/common-info.html?regNumber=0873400003924000079" TargetMode="External"/><Relationship Id="rId132" Type="http://schemas.openxmlformats.org/officeDocument/2006/relationships/hyperlink" Target="https://zakupki.gov.ru/epz/order/notice/ea20/view/common-info.html?regNumber=0873400003924000188" TargetMode="External"/><Relationship Id="rId153" Type="http://schemas.openxmlformats.org/officeDocument/2006/relationships/hyperlink" Target="https://zakupki.gov.ru/epz/order/notice/ea20/view/common-info.html?regNumber=0873400003924000239" TargetMode="External"/><Relationship Id="rId174" Type="http://schemas.openxmlformats.org/officeDocument/2006/relationships/hyperlink" Target="https://zakupki.gov.ru/epz/order/notice/ea20/view/common-info.html?regNumber=0873400003924000274" TargetMode="External"/><Relationship Id="rId179" Type="http://schemas.openxmlformats.org/officeDocument/2006/relationships/hyperlink" Target="https://zakupki.gov.ru/epz/order/notice/ea20/view/common-info.html?regNumber=0873400003924000284" TargetMode="External"/><Relationship Id="rId195" Type="http://schemas.openxmlformats.org/officeDocument/2006/relationships/hyperlink" Target="https://zakupki.gov.ru/epz/order/notice/ea20/view/common-info.html?regNumber=0873400003924000309" TargetMode="External"/><Relationship Id="rId209" Type="http://schemas.openxmlformats.org/officeDocument/2006/relationships/hyperlink" Target="https://zakupki.gov.ru/epz/order/notice/ea20/view/common-info.html?regNumber=0873400003924000385" TargetMode="External"/><Relationship Id="rId190" Type="http://schemas.openxmlformats.org/officeDocument/2006/relationships/hyperlink" Target="https://zakupki.gov.ru/epz/order/notice/ea20/view/common-info.html?regNumber=0873400003924000304" TargetMode="External"/><Relationship Id="rId204" Type="http://schemas.openxmlformats.org/officeDocument/2006/relationships/hyperlink" Target="https://zakupki.gov.ru/epz/order/notice/ea20/view/common-info.html?regNumber=0873400003924000349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106" Type="http://schemas.openxmlformats.org/officeDocument/2006/relationships/hyperlink" Target="https://zakupki.gov.ru/epz/order/notice/ea20/view/common-info.html?regNumber=0873400003923000741" TargetMode="External"/><Relationship Id="rId127" Type="http://schemas.openxmlformats.org/officeDocument/2006/relationships/hyperlink" Target="https://zakupki.gov.ru/epz/order/notice/ea20/view/common-info.html?regNumber=0873400003924000178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73" Type="http://schemas.openxmlformats.org/officeDocument/2006/relationships/hyperlink" Target="https://zakupki.gov.ru/epz/order/notice/ea20/view/common-info.html?regNumber=0873400003923000672" TargetMode="External"/><Relationship Id="rId78" Type="http://schemas.openxmlformats.org/officeDocument/2006/relationships/hyperlink" Target="https://zakupki.gov.ru/epz/order/notice/ea20/view/common-info.html?regNumber=0873400003923000679" TargetMode="External"/><Relationship Id="rId94" Type="http://schemas.openxmlformats.org/officeDocument/2006/relationships/hyperlink" Target="https://zakupki.gov.ru/epz/order/notice/ea20/view/common-info.html?regNumber=0873400003923000715" TargetMode="External"/><Relationship Id="rId99" Type="http://schemas.openxmlformats.org/officeDocument/2006/relationships/hyperlink" Target="https://zakupki.gov.ru/epz/order/notice/ea20/view/common-info.html?regNumber=0873400003923000724" TargetMode="External"/><Relationship Id="rId101" Type="http://schemas.openxmlformats.org/officeDocument/2006/relationships/hyperlink" Target="https://zakupki.gov.ru/epz/order/notice/ea20/view/common-info.html?regNumber=0873400003923000726" TargetMode="External"/><Relationship Id="rId122" Type="http://schemas.openxmlformats.org/officeDocument/2006/relationships/hyperlink" Target="https://zakupki.gov.ru/epz/order/notice/ea20/view/common-info.html?regNumber=0873400003924000144" TargetMode="External"/><Relationship Id="rId143" Type="http://schemas.openxmlformats.org/officeDocument/2006/relationships/hyperlink" Target="https://zakupki.gov.ru/epz/order/notice/ea20/view/common-info.html?regNumber=0873400003924000217" TargetMode="External"/><Relationship Id="rId148" Type="http://schemas.openxmlformats.org/officeDocument/2006/relationships/hyperlink" Target="https://zakupki.gov.ru/epz/order/notice/ea20/view/common-info.html?regNumber=0873400003924000232" TargetMode="External"/><Relationship Id="rId164" Type="http://schemas.openxmlformats.org/officeDocument/2006/relationships/hyperlink" Target="https://zakupki.gov.ru/epz/order/notice/ea20/view/common-info.html?regNumber=0873400003924000259" TargetMode="External"/><Relationship Id="rId169" Type="http://schemas.openxmlformats.org/officeDocument/2006/relationships/hyperlink" Target="https://zakupki.gov.ru/epz/order/notice/ea20/view/common-info.html?regNumber=0873400003924000269" TargetMode="External"/><Relationship Id="rId185" Type="http://schemas.openxmlformats.org/officeDocument/2006/relationships/hyperlink" Target="https://zakupki.gov.ru/epz/order/notice/ea20/view/common-info.html?regNumber=0873400003924000296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180" Type="http://schemas.openxmlformats.org/officeDocument/2006/relationships/hyperlink" Target="https://zakupki.gov.ru/epz/order/notice/ea20/view/common-info.html?regNumber=0873400003924000286" TargetMode="External"/><Relationship Id="rId210" Type="http://schemas.openxmlformats.org/officeDocument/2006/relationships/hyperlink" Target="https://zakupki.gov.ru/epz/order/notice/ea20/view/common-info.html?regNumber=0873400003924000386" TargetMode="External"/><Relationship Id="rId26" Type="http://schemas.openxmlformats.org/officeDocument/2006/relationships/hyperlink" Target="https://zakupki.gov.ru/epz/order/notice/ea20/view/common-info.html?regNumber=0873400003923000572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68" Type="http://schemas.openxmlformats.org/officeDocument/2006/relationships/hyperlink" Target="https://zakupki.gov.ru/epz/order/notice/ea20/view/common-info.html?regNumber=0873400003923000674" TargetMode="External"/><Relationship Id="rId89" Type="http://schemas.openxmlformats.org/officeDocument/2006/relationships/hyperlink" Target="https://zakupki.gov.ru/epz/order/notice/ea20/view/common-info.html?regNumber=0873400003923000707" TargetMode="External"/><Relationship Id="rId112" Type="http://schemas.openxmlformats.org/officeDocument/2006/relationships/hyperlink" Target="https://zakupki.gov.ru/epz/order/notice/ea20/view/common-info.html?regNumber=0873400003924000080" TargetMode="External"/><Relationship Id="rId133" Type="http://schemas.openxmlformats.org/officeDocument/2006/relationships/hyperlink" Target="https://zakupki.gov.ru/epz/order/notice/ea20/view/common-info.html?regNumber=0873400003924000194" TargetMode="External"/><Relationship Id="rId154" Type="http://schemas.openxmlformats.org/officeDocument/2006/relationships/hyperlink" Target="https://zakupki.gov.ru/epz/order/notice/ea20/view/common-info.html?regNumber=0873400003924000240" TargetMode="External"/><Relationship Id="rId175" Type="http://schemas.openxmlformats.org/officeDocument/2006/relationships/hyperlink" Target="https://zakupki.gov.ru/epz/order/notice/ea20/view/common-info.html?regNumber=0873400003924000277" TargetMode="External"/><Relationship Id="rId196" Type="http://schemas.openxmlformats.org/officeDocument/2006/relationships/hyperlink" Target="https://zakupki.gov.ru/epz/order/notice/ea20/view/common-info.html?regNumber=0873400003924000310" TargetMode="External"/><Relationship Id="rId200" Type="http://schemas.openxmlformats.org/officeDocument/2006/relationships/hyperlink" Target="https://zakupki.gov.ru/epz/order/notice/ea20/view/common-info.html?regNumber=0873400003924000324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79" Type="http://schemas.openxmlformats.org/officeDocument/2006/relationships/hyperlink" Target="https://zakupki.gov.ru/epz/order/notice/ea20/view/common-info.html?regNumber=0873400003923000681" TargetMode="External"/><Relationship Id="rId102" Type="http://schemas.openxmlformats.org/officeDocument/2006/relationships/hyperlink" Target="https://zakupki.gov.ru/epz/order/notice/ea20/view/common-info.html?regNumber=0873400003923000728" TargetMode="External"/><Relationship Id="rId123" Type="http://schemas.openxmlformats.org/officeDocument/2006/relationships/hyperlink" Target="https://zakupki.gov.ru/epz/order/notice/ea20/view/common-info.html?regNumber=0873400003924000148" TargetMode="External"/><Relationship Id="rId144" Type="http://schemas.openxmlformats.org/officeDocument/2006/relationships/hyperlink" Target="https://zakupki.gov.ru/epz/order/notice/ea20/view/common-info.html?regNumber=0873400003924000227" TargetMode="External"/><Relationship Id="rId90" Type="http://schemas.openxmlformats.org/officeDocument/2006/relationships/hyperlink" Target="https://zakupki.gov.ru/epz/order/notice/ea20/view/common-info.html?regNumber=0873400003923000708" TargetMode="External"/><Relationship Id="rId165" Type="http://schemas.openxmlformats.org/officeDocument/2006/relationships/hyperlink" Target="https://zakupki.gov.ru/epz/order/notice/ea20/view/common-info.html?regNumber=0873400003924000265" TargetMode="External"/><Relationship Id="rId186" Type="http://schemas.openxmlformats.org/officeDocument/2006/relationships/hyperlink" Target="https://zakupki.gov.ru/epz/order/notice/ea20/view/common-info.html?regNumber=0873400003924000297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69" Type="http://schemas.openxmlformats.org/officeDocument/2006/relationships/hyperlink" Target="https://zakupki.gov.ru/epz/order/notice/ea20/view/common-info.html?regNumber=0873400003923000668" TargetMode="External"/><Relationship Id="rId113" Type="http://schemas.openxmlformats.org/officeDocument/2006/relationships/hyperlink" Target="https://zakupki.gov.ru/epz/order/notice/ea20/view/common-info.html?regNumber=0873400003924000081" TargetMode="External"/><Relationship Id="rId134" Type="http://schemas.openxmlformats.org/officeDocument/2006/relationships/hyperlink" Target="https://zakupki.gov.ru/epz/order/notice/ea20/view/common-info.html?regNumber=0873400003924000195" TargetMode="External"/><Relationship Id="rId80" Type="http://schemas.openxmlformats.org/officeDocument/2006/relationships/hyperlink" Target="https://zakupki.gov.ru/epz/order/notice/ea20/view/common-info.html?regNumber=0873400003923000682" TargetMode="External"/><Relationship Id="rId155" Type="http://schemas.openxmlformats.org/officeDocument/2006/relationships/hyperlink" Target="https://zakupki.gov.ru/epz/order/notice/ea20/view/common-info.html?regNumber=0873400003924000241" TargetMode="External"/><Relationship Id="rId176" Type="http://schemas.openxmlformats.org/officeDocument/2006/relationships/hyperlink" Target="https://zakupki.gov.ru/epz/order/notice/ea20/view/common-info.html?regNumber=0873400003924000278" TargetMode="External"/><Relationship Id="rId197" Type="http://schemas.openxmlformats.org/officeDocument/2006/relationships/hyperlink" Target="https://zakupki.gov.ru/epz/order/notice/ea20/view/common-info.html?regNumber=0873400003924000311" TargetMode="External"/><Relationship Id="rId201" Type="http://schemas.openxmlformats.org/officeDocument/2006/relationships/hyperlink" Target="https://zakupki.gov.ru/epz/order/notice/ea20/view/common-info.html?regNumber=0873400003924000329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103" Type="http://schemas.openxmlformats.org/officeDocument/2006/relationships/hyperlink" Target="https://zakupki.gov.ru/epz/order/notice/ea20/view/common-info.html?regNumber=0873400003923000729" TargetMode="External"/><Relationship Id="rId124" Type="http://schemas.openxmlformats.org/officeDocument/2006/relationships/hyperlink" Target="https://zakupki.gov.ru/epz/order/notice/ea20/view/common-info.html?regNumber=0873400003924000162" TargetMode="External"/><Relationship Id="rId70" Type="http://schemas.openxmlformats.org/officeDocument/2006/relationships/hyperlink" Target="https://zakupki.gov.ru/epz/order/notice/ea20/view/common-info.html?regNumber=0873400003923000669" TargetMode="External"/><Relationship Id="rId91" Type="http://schemas.openxmlformats.org/officeDocument/2006/relationships/hyperlink" Target="https://zakupki.gov.ru/epz/order/notice/ea20/view/common-info.html?regNumber=0873400003923000709" TargetMode="External"/><Relationship Id="rId145" Type="http://schemas.openxmlformats.org/officeDocument/2006/relationships/hyperlink" Target="https://zakupki.gov.ru/epz/order/notice/ea20/view/common-info.html?regNumber=0873400003924000228" TargetMode="External"/><Relationship Id="rId166" Type="http://schemas.openxmlformats.org/officeDocument/2006/relationships/hyperlink" Target="https://zakupki.gov.ru/epz/order/notice/ea20/view/common-info.html?regNumber=0873400003924000266" TargetMode="External"/><Relationship Id="rId187" Type="http://schemas.openxmlformats.org/officeDocument/2006/relationships/hyperlink" Target="https://zakupki.gov.ru/epz/order/notice/ea20/view/common-info.html?regNumber=0873400003924000298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114" Type="http://schemas.openxmlformats.org/officeDocument/2006/relationships/hyperlink" Target="https://zakupki.gov.ru/epz/order/notice/ea20/view/common-info.html?regNumber=0873400003924000082" TargetMode="External"/><Relationship Id="rId60" Type="http://schemas.openxmlformats.org/officeDocument/2006/relationships/hyperlink" Target="https://zakupki.gov.ru/epz/order/notice/ea20/view/common-info.html?regNumber=0873400003923000645" TargetMode="External"/><Relationship Id="rId81" Type="http://schemas.openxmlformats.org/officeDocument/2006/relationships/hyperlink" Target="https://zakupki.gov.ru/epz/order/notice/ea20/view/common-info.html?regNumber=0873400003923000683" TargetMode="External"/><Relationship Id="rId135" Type="http://schemas.openxmlformats.org/officeDocument/2006/relationships/hyperlink" Target="https://zakupki.gov.ru/epz/order/notice/ea20/view/common-info.html?regNumber=0873400003924000198" TargetMode="External"/><Relationship Id="rId156" Type="http://schemas.openxmlformats.org/officeDocument/2006/relationships/hyperlink" Target="https://zakupki.gov.ru/epz/order/notice/ea20/view/common-info.html?regNumber=0873400003924000245" TargetMode="External"/><Relationship Id="rId177" Type="http://schemas.openxmlformats.org/officeDocument/2006/relationships/hyperlink" Target="https://zakupki.gov.ru/epz/order/notice/ea20/view/common-info.html?regNumber=0873400003924000279" TargetMode="External"/><Relationship Id="rId198" Type="http://schemas.openxmlformats.org/officeDocument/2006/relationships/hyperlink" Target="https://zakupki.gov.ru/epz/order/notice/ea20/view/common-info.html?regNumber=0873400003924000322" TargetMode="External"/><Relationship Id="rId202" Type="http://schemas.openxmlformats.org/officeDocument/2006/relationships/hyperlink" Target="https://zakupki.gov.ru/epz/order/notice/ea20/view/common-info.html?regNumber=0873400003924000342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104" Type="http://schemas.openxmlformats.org/officeDocument/2006/relationships/hyperlink" Target="https://zakupki.gov.ru/epz/order/notice/ea20/view/common-info.html?regNumber=0873400003923000730" TargetMode="External"/><Relationship Id="rId125" Type="http://schemas.openxmlformats.org/officeDocument/2006/relationships/hyperlink" Target="https://zakupki.gov.ru/epz/order/notice/ea20/view/common-info.html?regNumber=0873400003924000163" TargetMode="External"/><Relationship Id="rId146" Type="http://schemas.openxmlformats.org/officeDocument/2006/relationships/hyperlink" Target="https://zakupki.gov.ru/epz/order/notice/ea20/view/common-info.html?regNumber=0873400003924000229" TargetMode="External"/><Relationship Id="rId167" Type="http://schemas.openxmlformats.org/officeDocument/2006/relationships/hyperlink" Target="https://zakupki.gov.ru/epz/order/notice/ea20/view/common-info.html?regNumber=0873400003924000267" TargetMode="External"/><Relationship Id="rId188" Type="http://schemas.openxmlformats.org/officeDocument/2006/relationships/hyperlink" Target="https://zakupki.gov.ru/epz/order/notice/ea20/view/common-info.html?regNumber=0873400003924000299" TargetMode="External"/><Relationship Id="rId71" Type="http://schemas.openxmlformats.org/officeDocument/2006/relationships/hyperlink" Target="https://zakupki.gov.ru/epz/order/notice/ea20/view/common-info.html?regNumber=0873400003923000670" TargetMode="External"/><Relationship Id="rId92" Type="http://schemas.openxmlformats.org/officeDocument/2006/relationships/hyperlink" Target="https://zakupki.gov.ru/epz/order/notice/ea20/view/common-info.html?regNumber=0873400003923000710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115" Type="http://schemas.openxmlformats.org/officeDocument/2006/relationships/hyperlink" Target="https://zakupki.gov.ru/epz/order/notice/ea20/view/common-info.html?regNumber=0873400003924000086" TargetMode="External"/><Relationship Id="rId136" Type="http://schemas.openxmlformats.org/officeDocument/2006/relationships/hyperlink" Target="https://zakupki.gov.ru/epz/order/notice/ea20/view/common-info.html?regNumber=0873400003924000200" TargetMode="External"/><Relationship Id="rId157" Type="http://schemas.openxmlformats.org/officeDocument/2006/relationships/hyperlink" Target="https://zakupki.gov.ru/epz/order/notice/ea20/view/common-info.html?regNumber=0873400003924000244" TargetMode="External"/><Relationship Id="rId178" Type="http://schemas.openxmlformats.org/officeDocument/2006/relationships/hyperlink" Target="https://zakupki.gov.ru/epz/order/notice/ea20/view/common-info.html?regNumber=0873400003924000280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4000006" TargetMode="External"/><Relationship Id="rId117" Type="http://schemas.openxmlformats.org/officeDocument/2006/relationships/hyperlink" Target="https://zakupki.gov.ru/epz/order/notice/ea20/view/common-info.html?regNumber=0873400003924000339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42" Type="http://schemas.openxmlformats.org/officeDocument/2006/relationships/hyperlink" Target="https://zakupki.gov.ru/epz/order/notice/ea20/view/common-info.html?regNumber=0873400003924000026" TargetMode="External"/><Relationship Id="rId47" Type="http://schemas.openxmlformats.org/officeDocument/2006/relationships/hyperlink" Target="https://zakupki.gov.ru/epz/order/notice/ea20/view/common-info.html?regNumber=0873400003924000031" TargetMode="External"/><Relationship Id="rId63" Type="http://schemas.openxmlformats.org/officeDocument/2006/relationships/hyperlink" Target="https://zakupki.gov.ru/epz/order/notice/ea20/view/common-info.html?regNumber=0873400003924000100" TargetMode="External"/><Relationship Id="rId68" Type="http://schemas.openxmlformats.org/officeDocument/2006/relationships/hyperlink" Target="https://zakupki.gov.ru/epz/order/notice/ea20/view/common-info.html?regNumber=0873400003924000111" TargetMode="External"/><Relationship Id="rId84" Type="http://schemas.openxmlformats.org/officeDocument/2006/relationships/hyperlink" Target="https://zakupki.gov.ru/epz/order/notice/ea20/view/common-info.html?regNumber=0873400003924000133" TargetMode="External"/><Relationship Id="rId89" Type="http://schemas.openxmlformats.org/officeDocument/2006/relationships/hyperlink" Target="https://zakupki.gov.ru/epz/order/notice/ea20/view/common-info.html?regNumber=0873400003924000143" TargetMode="External"/><Relationship Id="rId112" Type="http://schemas.openxmlformats.org/officeDocument/2006/relationships/hyperlink" Target="https://zakupki.gov.ru/epz/order/notice/ea20/view/common-info.html?regNumber=0873400003924000327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107" Type="http://schemas.openxmlformats.org/officeDocument/2006/relationships/hyperlink" Target="https://zakupki.gov.ru/epz/order/notice/ea20/view/common-info.html?regNumber=0873400003924000285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32" Type="http://schemas.openxmlformats.org/officeDocument/2006/relationships/hyperlink" Target="https://zakupki.gov.ru/epz/order/notice/ea20/view/common-info.html?regNumber=0873400003924000012" TargetMode="External"/><Relationship Id="rId37" Type="http://schemas.openxmlformats.org/officeDocument/2006/relationships/hyperlink" Target="https://zakupki.gov.ru/epz/order/notice/ea20/view/common-info.html?regNumber=0873400003924000021" TargetMode="External"/><Relationship Id="rId53" Type="http://schemas.openxmlformats.org/officeDocument/2006/relationships/hyperlink" Target="https://zakupki.gov.ru/epz/order/notice/ea20/view/common-info.html?regNumber=0873400003924000040" TargetMode="External"/><Relationship Id="rId58" Type="http://schemas.openxmlformats.org/officeDocument/2006/relationships/hyperlink" Target="https://zakupki.gov.ru/epz/order/notice/ea20/view/common-info.html?regNumber=0873400003924000064" TargetMode="External"/><Relationship Id="rId74" Type="http://schemas.openxmlformats.org/officeDocument/2006/relationships/hyperlink" Target="https://zakupki.gov.ru/epz/order/notice/ea20/view/common-info.html?regNumber=0873400003924000120" TargetMode="External"/><Relationship Id="rId79" Type="http://schemas.openxmlformats.org/officeDocument/2006/relationships/hyperlink" Target="https://zakupki.gov.ru/epz/order/notice/ea20/view/common-info.html?regNumber=0873400003924000128" TargetMode="External"/><Relationship Id="rId102" Type="http://schemas.openxmlformats.org/officeDocument/2006/relationships/hyperlink" Target="https://zakupki.gov.ru/epz/order/notice/ea20/view/common-info.html?regNumber=0873400003924000262" TargetMode="External"/><Relationship Id="rId123" Type="http://schemas.openxmlformats.org/officeDocument/2006/relationships/hyperlink" Target="https://zakupki.gov.ru/epz/order/notice/ea20/view/common-info.html?regNumber=0873400003924000363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90" Type="http://schemas.openxmlformats.org/officeDocument/2006/relationships/hyperlink" Target="https://zakupki.gov.ru/epz/order/notice/ea20/view/common-info.html?regNumber=0873400003924000145" TargetMode="External"/><Relationship Id="rId95" Type="http://schemas.openxmlformats.org/officeDocument/2006/relationships/hyperlink" Target="https://zakupki.gov.ru/epz/order/notice/ea20/view/common-info.html?regNumber=0873400003924000161" TargetMode="External"/><Relationship Id="rId22" Type="http://schemas.openxmlformats.org/officeDocument/2006/relationships/hyperlink" Target="https://zakupki.gov.ru/epz/order/notice/ea20/view/common-info.html?regNumber=0873400003924000002" TargetMode="External"/><Relationship Id="rId27" Type="http://schemas.openxmlformats.org/officeDocument/2006/relationships/hyperlink" Target="https://zakupki.gov.ru/epz/order/notice/ea20/view/common-info.html?regNumber=0873400003924000007" TargetMode="External"/><Relationship Id="rId43" Type="http://schemas.openxmlformats.org/officeDocument/2006/relationships/hyperlink" Target="https://zakupki.gov.ru/epz/order/notice/ea20/view/common-info.html?regNumber=0873400003924000027" TargetMode="External"/><Relationship Id="rId48" Type="http://schemas.openxmlformats.org/officeDocument/2006/relationships/hyperlink" Target="https://zakupki.gov.ru/epz/order/notice/ea20/view/common-info.html?regNumber=0873400003924000032" TargetMode="External"/><Relationship Id="rId64" Type="http://schemas.openxmlformats.org/officeDocument/2006/relationships/hyperlink" Target="https://zakupki.gov.ru/epz/order/notice/ea20/view/common-info.html?regNumber=0873400003924000103" TargetMode="External"/><Relationship Id="rId69" Type="http://schemas.openxmlformats.org/officeDocument/2006/relationships/hyperlink" Target="https://zakupki.gov.ru/epz/order/notice/ea20/view/common-info.html?regNumber=0873400003924000112" TargetMode="External"/><Relationship Id="rId113" Type="http://schemas.openxmlformats.org/officeDocument/2006/relationships/hyperlink" Target="https://zakupki.gov.ru/epz/order/notice/ea20/view/common-info.html?regNumber=0873400003924000334" TargetMode="External"/><Relationship Id="rId118" Type="http://schemas.openxmlformats.org/officeDocument/2006/relationships/hyperlink" Target="https://zakupki.gov.ru/epz/order/notice/ea20/view/common-info.html?regNumber=0873400003924000340" TargetMode="External"/><Relationship Id="rId80" Type="http://schemas.openxmlformats.org/officeDocument/2006/relationships/hyperlink" Target="https://zakupki.gov.ru/epz/order/notice/ea20/view/common-info.html?regNumber=0873400003924000129" TargetMode="External"/><Relationship Id="rId85" Type="http://schemas.openxmlformats.org/officeDocument/2006/relationships/hyperlink" Target="https://zakupki.gov.ru/epz/order/notice/ea20/view/common-info.html?regNumber=0873400003924000135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33" Type="http://schemas.openxmlformats.org/officeDocument/2006/relationships/hyperlink" Target="https://zakupki.gov.ru/epz/order/notice/ea20/view/common-info.html?regNumber=0873400003924000013" TargetMode="External"/><Relationship Id="rId38" Type="http://schemas.openxmlformats.org/officeDocument/2006/relationships/hyperlink" Target="https://zakupki.gov.ru/epz/order/notice/ea20/view/common-info.html?regNumber=0873400003924000022" TargetMode="External"/><Relationship Id="rId59" Type="http://schemas.openxmlformats.org/officeDocument/2006/relationships/hyperlink" Target="https://zakupki.gov.ru/epz/order/notice/ea20/view/common-info.html?regNumber=0873400003924000065" TargetMode="External"/><Relationship Id="rId103" Type="http://schemas.openxmlformats.org/officeDocument/2006/relationships/hyperlink" Target="https://zakupki.gov.ru/epz/order/notice/ea20/view/common-info.html?regNumber=0873400003924000263" TargetMode="External"/><Relationship Id="rId108" Type="http://schemas.openxmlformats.org/officeDocument/2006/relationships/hyperlink" Target="https://zakupki.gov.ru/epz/order/notice/ea20/view/common-info.html?regNumber=0873400003924000320" TargetMode="External"/><Relationship Id="rId54" Type="http://schemas.openxmlformats.org/officeDocument/2006/relationships/hyperlink" Target="https://zakupki.gov.ru/epz/order/notice/ea20/view/common-info.html?regNumber=0873400003924000048" TargetMode="External"/><Relationship Id="rId70" Type="http://schemas.openxmlformats.org/officeDocument/2006/relationships/hyperlink" Target="https://zakupki.gov.ru/epz/order/notice/ea20/view/common-info.html?regNumber=0873400003924000114" TargetMode="External"/><Relationship Id="rId75" Type="http://schemas.openxmlformats.org/officeDocument/2006/relationships/hyperlink" Target="https://zakupki.gov.ru/epz/order/notice/ea20/view/common-info.html?regNumber=0873400003924000122" TargetMode="External"/><Relationship Id="rId91" Type="http://schemas.openxmlformats.org/officeDocument/2006/relationships/hyperlink" Target="https://zakupki.gov.ru/epz/order/notice/ea20/view/common-info.html?regNumber=0873400003924000146" TargetMode="External"/><Relationship Id="rId96" Type="http://schemas.openxmlformats.org/officeDocument/2006/relationships/hyperlink" Target="https://zakupki.gov.ru/epz/order/notice/ea20/view/common-info.html?regNumber=0873400003924000165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23" Type="http://schemas.openxmlformats.org/officeDocument/2006/relationships/hyperlink" Target="https://zakupki.gov.ru/epz/order/notice/ea20/view/common-info.html?regNumber=0873400003924000003" TargetMode="External"/><Relationship Id="rId28" Type="http://schemas.openxmlformats.org/officeDocument/2006/relationships/hyperlink" Target="https://zakupki.gov.ru/epz/order/notice/ea20/view/common-info.html?regNumber=0873400003924000008" TargetMode="External"/><Relationship Id="rId49" Type="http://schemas.openxmlformats.org/officeDocument/2006/relationships/hyperlink" Target="https://zakupki.gov.ru/epz/order/notice/ea20/view/common-info.html?regNumber=0873400003924000033" TargetMode="External"/><Relationship Id="rId114" Type="http://schemas.openxmlformats.org/officeDocument/2006/relationships/hyperlink" Target="https://zakupki.gov.ru/epz/order/notice/ea20/view/common-info.html?regNumber=0873400003924000336" TargetMode="External"/><Relationship Id="rId119" Type="http://schemas.openxmlformats.org/officeDocument/2006/relationships/hyperlink" Target="https://zakupki.gov.ru/epz/order/notice/ea20/view/common-info.html?regNumber=0873400003924000341" TargetMode="External"/><Relationship Id="rId44" Type="http://schemas.openxmlformats.org/officeDocument/2006/relationships/hyperlink" Target="https://zakupki.gov.ru/epz/order/notice/ea20/view/common-info.html?regNumber=0873400003924000028" TargetMode="External"/><Relationship Id="rId60" Type="http://schemas.openxmlformats.org/officeDocument/2006/relationships/hyperlink" Target="https://zakupki.gov.ru/epz/order/notice/ea20/view/common-info.html?regNumber=0873400003924000075" TargetMode="External"/><Relationship Id="rId65" Type="http://schemas.openxmlformats.org/officeDocument/2006/relationships/hyperlink" Target="https://zakupki.gov.ru/epz/order/notice/ea20/view/common-info.html?regNumber=0873400003924000105" TargetMode="External"/><Relationship Id="rId81" Type="http://schemas.openxmlformats.org/officeDocument/2006/relationships/hyperlink" Target="https://zakupki.gov.ru/epz/order/notice/ea20/view/common-info.html?regNumber=0873400003924000130" TargetMode="External"/><Relationship Id="rId86" Type="http://schemas.openxmlformats.org/officeDocument/2006/relationships/hyperlink" Target="https://zakupki.gov.ru/epz/order/notice/ea20/view/common-info.html?regNumber=0873400003924000136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39" Type="http://schemas.openxmlformats.org/officeDocument/2006/relationships/hyperlink" Target="https://zakupki.gov.ru/epz/order/notice/ea20/view/common-info.html?regNumber=0873400003924000023" TargetMode="External"/><Relationship Id="rId109" Type="http://schemas.openxmlformats.org/officeDocument/2006/relationships/hyperlink" Target="https://zakupki.gov.ru/epz/order/notice/ea20/view/common-info.html?regNumber=0873400003924000321" TargetMode="External"/><Relationship Id="rId34" Type="http://schemas.openxmlformats.org/officeDocument/2006/relationships/hyperlink" Target="https://zakupki.gov.ru/epz/order/notice/ea20/view/common-info.html?regNumber=0873400003924000015" TargetMode="External"/><Relationship Id="rId50" Type="http://schemas.openxmlformats.org/officeDocument/2006/relationships/hyperlink" Target="https://zakupki.gov.ru/epz/order/notice/ea20/view/common-info.html?regNumber=0873400003924000034" TargetMode="External"/><Relationship Id="rId55" Type="http://schemas.openxmlformats.org/officeDocument/2006/relationships/hyperlink" Target="https://zakupki.gov.ru/epz/order/notice/ea20/view/common-info.html?regNumber=0873400003924000050" TargetMode="External"/><Relationship Id="rId76" Type="http://schemas.openxmlformats.org/officeDocument/2006/relationships/hyperlink" Target="https://zakupki.gov.ru/epz/order/notice/ea20/view/common-info.html?regNumber=0873400003924000125" TargetMode="External"/><Relationship Id="rId97" Type="http://schemas.openxmlformats.org/officeDocument/2006/relationships/hyperlink" Target="https://zakupki.gov.ru/epz/order/notice/ea20/view/common-info.html?regNumber=0873400003924000175" TargetMode="External"/><Relationship Id="rId104" Type="http://schemas.openxmlformats.org/officeDocument/2006/relationships/hyperlink" Target="https://zakupki.gov.ru/epz/order/notice/ea20/view/common-info.html?regNumber=0873400003924000281" TargetMode="External"/><Relationship Id="rId120" Type="http://schemas.openxmlformats.org/officeDocument/2006/relationships/hyperlink" Target="https://zakupki.gov.ru/epz/order/notice/ea20/view/common-info.html?regNumber=0873400003924000343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71" Type="http://schemas.openxmlformats.org/officeDocument/2006/relationships/hyperlink" Target="https://zakupki.gov.ru/epz/order/notice/ea20/view/common-info.html?regNumber=0873400003924000115" TargetMode="External"/><Relationship Id="rId92" Type="http://schemas.openxmlformats.org/officeDocument/2006/relationships/hyperlink" Target="https://zakupki.gov.ru/epz/order/notice/ea20/view/common-info.html?regNumber=0873400003924000149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29" Type="http://schemas.openxmlformats.org/officeDocument/2006/relationships/hyperlink" Target="https://zakupki.gov.ru/epz/order/notice/ea20/view/common-info.html?regNumber=0873400003924000009" TargetMode="External"/><Relationship Id="rId24" Type="http://schemas.openxmlformats.org/officeDocument/2006/relationships/hyperlink" Target="https://zakupki.gov.ru/epz/order/notice/ea20/view/common-info.html?regNumber=0873400003924000004" TargetMode="External"/><Relationship Id="rId40" Type="http://schemas.openxmlformats.org/officeDocument/2006/relationships/hyperlink" Target="https://zakupki.gov.ru/epz/order/notice/ea20/view/common-info.html?regNumber=0873400003924000024" TargetMode="External"/><Relationship Id="rId45" Type="http://schemas.openxmlformats.org/officeDocument/2006/relationships/hyperlink" Target="https://zakupki.gov.ru/epz/order/notice/ea20/view/common-info.html?regNumber=0873400003924000029" TargetMode="External"/><Relationship Id="rId66" Type="http://schemas.openxmlformats.org/officeDocument/2006/relationships/hyperlink" Target="https://zakupki.gov.ru/epz/order/notice/ea20/view/common-info.html?regNumber=0873400003924000106" TargetMode="External"/><Relationship Id="rId87" Type="http://schemas.openxmlformats.org/officeDocument/2006/relationships/hyperlink" Target="https://zakupki.gov.ru/epz/order/notice/ea20/view/common-info.html?regNumber=0873400003924000137" TargetMode="External"/><Relationship Id="rId110" Type="http://schemas.openxmlformats.org/officeDocument/2006/relationships/hyperlink" Target="https://zakupki.gov.ru/epz/order/notice/ea20/view/common-info.html?regNumber=0873400003924000325" TargetMode="External"/><Relationship Id="rId115" Type="http://schemas.openxmlformats.org/officeDocument/2006/relationships/hyperlink" Target="https://zakupki.gov.ru/epz/order/notice/ea20/view/common-info.html?regNumber=0873400003924000337" TargetMode="External"/><Relationship Id="rId61" Type="http://schemas.openxmlformats.org/officeDocument/2006/relationships/hyperlink" Target="https://zakupki.gov.ru/epz/order/notice/ea20/view/common-info.html?regNumber=0873400003924000096" TargetMode="External"/><Relationship Id="rId82" Type="http://schemas.openxmlformats.org/officeDocument/2006/relationships/hyperlink" Target="https://zakupki.gov.ru/epz/order/notice/ea20/view/common-info.html?regNumber=0873400003924000131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14" Type="http://schemas.openxmlformats.org/officeDocument/2006/relationships/hyperlink" Target="https://zakupki.gov.ru/epz/order/notice/ea20/view/common-info.html?regNumber=0873400003923000692" TargetMode="External"/><Relationship Id="rId30" Type="http://schemas.openxmlformats.org/officeDocument/2006/relationships/hyperlink" Target="https://zakupki.gov.ru/epz/order/notice/ea20/view/common-info.html?regNumber=0873400003924000010" TargetMode="External"/><Relationship Id="rId35" Type="http://schemas.openxmlformats.org/officeDocument/2006/relationships/hyperlink" Target="https://zakupki.gov.ru/epz/order/notice/ea20/view/common-info.html?regNumber=0873400003924000019" TargetMode="External"/><Relationship Id="rId56" Type="http://schemas.openxmlformats.org/officeDocument/2006/relationships/hyperlink" Target="https://zakupki.gov.ru/epz/order/notice/ea20/view/common-info.html?regNumber=0873400003924000050" TargetMode="External"/><Relationship Id="rId77" Type="http://schemas.openxmlformats.org/officeDocument/2006/relationships/hyperlink" Target="https://zakupki.gov.ru/epz/order/notice/ea20/view/common-info.html?regNumber=0873400003924000126" TargetMode="External"/><Relationship Id="rId100" Type="http://schemas.openxmlformats.org/officeDocument/2006/relationships/hyperlink" Target="https://zakupki.gov.ru/epz/order/notice/ea20/view/common-info.html?regNumber=0873400003924000235" TargetMode="External"/><Relationship Id="rId105" Type="http://schemas.openxmlformats.org/officeDocument/2006/relationships/hyperlink" Target="https://zakupki.gov.ru/epz/order/notice/ea20/view/common-info.html?regNumber=0873400003924000282" TargetMode="External"/><Relationship Id="rId8" Type="http://schemas.openxmlformats.org/officeDocument/2006/relationships/hyperlink" Target="https://zakupki.gov.ru/epz/order/notice/ea20/view/common-info.html?regNumber=0873400003923000646" TargetMode="External"/><Relationship Id="rId51" Type="http://schemas.openxmlformats.org/officeDocument/2006/relationships/hyperlink" Target="https://zakupki.gov.ru/epz/order/notice/ea20/view/common-info.html?regNumber=0873400003924000035" TargetMode="External"/><Relationship Id="rId72" Type="http://schemas.openxmlformats.org/officeDocument/2006/relationships/hyperlink" Target="https://zakupki.gov.ru/epz/order/notice/ea20/view/common-info.html?regNumber=0873400003924000116" TargetMode="External"/><Relationship Id="rId93" Type="http://schemas.openxmlformats.org/officeDocument/2006/relationships/hyperlink" Target="https://zakupki.gov.ru/epz/order/notice/ea20/view/common-info.html?regNumber=0873400003924000150" TargetMode="External"/><Relationship Id="rId98" Type="http://schemas.openxmlformats.org/officeDocument/2006/relationships/hyperlink" Target="https://zakupki.gov.ru/epz/order/notice/ea20/view/common-info.html?regNumber=0873400003924000199" TargetMode="External"/><Relationship Id="rId121" Type="http://schemas.openxmlformats.org/officeDocument/2006/relationships/hyperlink" Target="https://zakupki.gov.ru/epz/order/notice/ea20/view/common-info.html?regNumber=0873400003924000347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25" Type="http://schemas.openxmlformats.org/officeDocument/2006/relationships/hyperlink" Target="https://zakupki.gov.ru/epz/order/notice/ea20/view/common-info.html?regNumber=0873400003924000005" TargetMode="External"/><Relationship Id="rId46" Type="http://schemas.openxmlformats.org/officeDocument/2006/relationships/hyperlink" Target="https://zakupki.gov.ru/epz/order/notice/ea20/view/common-info.html?regNumber=087340000392400030" TargetMode="External"/><Relationship Id="rId67" Type="http://schemas.openxmlformats.org/officeDocument/2006/relationships/hyperlink" Target="https://zakupki.gov.ru/epz/order/notice/ea20/view/common-info.html?regNumber=0873400003924000109" TargetMode="External"/><Relationship Id="rId116" Type="http://schemas.openxmlformats.org/officeDocument/2006/relationships/hyperlink" Target="https://zakupki.gov.ru/epz/order/notice/ea20/view/common-info.html?regNumber=0873400003924000338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41" Type="http://schemas.openxmlformats.org/officeDocument/2006/relationships/hyperlink" Target="https://zakupki.gov.ru/epz/order/notice/ea20/view/common-info.html?regNumber=0873400003924000025" TargetMode="External"/><Relationship Id="rId62" Type="http://schemas.openxmlformats.org/officeDocument/2006/relationships/hyperlink" Target="https://zakupki.gov.ru/epz/order/notice/ea20/view/common-info.html?regNumber=0873400003924000099" TargetMode="External"/><Relationship Id="rId83" Type="http://schemas.openxmlformats.org/officeDocument/2006/relationships/hyperlink" Target="https://zakupki.gov.ru/epz/order/notice/ea20/view/common-info.html?regNumber=0873400003924000132" TargetMode="External"/><Relationship Id="rId88" Type="http://schemas.openxmlformats.org/officeDocument/2006/relationships/hyperlink" Target="https://zakupki.gov.ru/epz/order/notice/ea20/view/common-info.html?regNumber=0873400003924000142" TargetMode="External"/><Relationship Id="rId111" Type="http://schemas.openxmlformats.org/officeDocument/2006/relationships/hyperlink" Target="https://zakupki.gov.ru/epz/order/notice/ea20/view/common-info.html?regNumber=0873400003924000326" TargetMode="External"/><Relationship Id="rId15" Type="http://schemas.openxmlformats.org/officeDocument/2006/relationships/hyperlink" Target="https://zakupki.gov.ru/epz/order/notice/ea20/view/common-info.html?regNumber=0873400003923000693" TargetMode="External"/><Relationship Id="rId36" Type="http://schemas.openxmlformats.org/officeDocument/2006/relationships/hyperlink" Target="https://zakupki.gov.ru/epz/order/notice/ea20/view/common-info.html?regNumber=0873400003924000020" TargetMode="External"/><Relationship Id="rId57" Type="http://schemas.openxmlformats.org/officeDocument/2006/relationships/hyperlink" Target="https://zakupki.gov.ru/epz/order/notice/ea20/view/common-info.html?regNumber=0873400003924000054" TargetMode="External"/><Relationship Id="rId106" Type="http://schemas.openxmlformats.org/officeDocument/2006/relationships/hyperlink" Target="https://zakupki.gov.ru/epz/order/notice/ea20/view/common-info.html?regNumber=0873400003924000283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31" Type="http://schemas.openxmlformats.org/officeDocument/2006/relationships/hyperlink" Target="https://zakupki.gov.ru/epz/order/notice/ea20/view/common-info.html?regNumber=0873400003924000011" TargetMode="External"/><Relationship Id="rId52" Type="http://schemas.openxmlformats.org/officeDocument/2006/relationships/hyperlink" Target="https://zakupki.gov.ru/epz/order/notice/ea20/view/common-info.html?regNumber=0873400003924000036" TargetMode="External"/><Relationship Id="rId73" Type="http://schemas.openxmlformats.org/officeDocument/2006/relationships/hyperlink" Target="https://zakupki.gov.ru/epz/order/notice/ea20/view/common-info.html?regNumber=0873400003924000119" TargetMode="External"/><Relationship Id="rId78" Type="http://schemas.openxmlformats.org/officeDocument/2006/relationships/hyperlink" Target="https://zakupki.gov.ru/epz/order/notice/ea20/view/common-info.html?regNumber=0873400003924000127" TargetMode="External"/><Relationship Id="rId94" Type="http://schemas.openxmlformats.org/officeDocument/2006/relationships/hyperlink" Target="https://zakupki.gov.ru/epz/order/notice/ea20/view/common-info.html?regNumber=0873400003924000153" TargetMode="External"/><Relationship Id="rId99" Type="http://schemas.openxmlformats.org/officeDocument/2006/relationships/hyperlink" Target="https://zakupki.gov.ru/epz/order/notice/ea20/view/common-info.html?regNumber=0873400003924000207" TargetMode="External"/><Relationship Id="rId101" Type="http://schemas.openxmlformats.org/officeDocument/2006/relationships/hyperlink" Target="https://zakupki.gov.ru/epz/order/notice/ea20/view/common-info.html?regNumber=0873400003924000261" TargetMode="External"/><Relationship Id="rId122" Type="http://schemas.openxmlformats.org/officeDocument/2006/relationships/hyperlink" Target="https://zakupki.gov.ru/epz/order/notice/ea20/view/common-info.html?regNumber=087340000392400036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4000160" TargetMode="External"/><Relationship Id="rId21" Type="http://schemas.openxmlformats.org/officeDocument/2006/relationships/hyperlink" Target="https://zakupki.gov.ru/epz/order/notice/ea20/view/common-info.html?regNumber=0873400003924000118" TargetMode="External"/><Relationship Id="rId42" Type="http://schemas.openxmlformats.org/officeDocument/2006/relationships/hyperlink" Target="https://zakupki.gov.ru/epz/order/notice/ea20/view/common-info.html?regNumber=0873400003924000203" TargetMode="External"/><Relationship Id="rId47" Type="http://schemas.openxmlformats.org/officeDocument/2006/relationships/hyperlink" Target="https://zakupki.gov.ru/epz/order/notice/ea20/view/common-info.html?regNumber=0873400003924000215" TargetMode="External"/><Relationship Id="rId63" Type="http://schemas.openxmlformats.org/officeDocument/2006/relationships/hyperlink" Target="https://zakupki.gov.ru/epz/order/notice/ea20/view/common-info.html?regNumber=0873400003924000371" TargetMode="External"/><Relationship Id="rId68" Type="http://schemas.openxmlformats.org/officeDocument/2006/relationships/hyperlink" Target="https://zakupki.gov.ru/epz/order/notice/ea20/view/common-info.html?regNumber=0873400003924000378" TargetMode="External"/><Relationship Id="rId2" Type="http://schemas.openxmlformats.org/officeDocument/2006/relationships/hyperlink" Target="https://zakupki.gov.ru/epz/order/notice/ea20/view/common-info.html?regNumber=0873400003923000514" TargetMode="External"/><Relationship Id="rId16" Type="http://schemas.openxmlformats.org/officeDocument/2006/relationships/hyperlink" Target="https://zakupki.gov.ru/epz/order/notice/ea20/view/common-info.html?regNumber=0873400003924000107" TargetMode="External"/><Relationship Id="rId29" Type="http://schemas.openxmlformats.org/officeDocument/2006/relationships/hyperlink" Target="https://zakupki.gov.ru/epz/order/notice/ea20/view/common-info.html?regNumber=0873400003924000176" TargetMode="External"/><Relationship Id="rId11" Type="http://schemas.openxmlformats.org/officeDocument/2006/relationships/hyperlink" Target="https://zakupki.gov.ru/epz/order/notice/ea20/view/common-info.html?regNumber=0873400003924000095" TargetMode="External"/><Relationship Id="rId24" Type="http://schemas.openxmlformats.org/officeDocument/2006/relationships/hyperlink" Target="https://zakupki.gov.ru/epz/order/notice/ea20/view/common-info.html?regNumber=0873400003924000152" TargetMode="External"/><Relationship Id="rId32" Type="http://schemas.openxmlformats.org/officeDocument/2006/relationships/hyperlink" Target="https://zakupki.gov.ru/epz/order/notice/ea20/view/common-info.html?regNumber=0873400003924000180" TargetMode="External"/><Relationship Id="rId37" Type="http://schemas.openxmlformats.org/officeDocument/2006/relationships/hyperlink" Target="https://zakupki.gov.ru/epz/order/notice/ea20/view/common-info.html?regNumber=0873400003924000191" TargetMode="External"/><Relationship Id="rId40" Type="http://schemas.openxmlformats.org/officeDocument/2006/relationships/hyperlink" Target="https://zakupki.gov.ru/epz/order/notice/ea20/view/common-info.html?regNumber=0873400003924000197" TargetMode="External"/><Relationship Id="rId45" Type="http://schemas.openxmlformats.org/officeDocument/2006/relationships/hyperlink" Target="https://zakupki.gov.ru/epz/order/notice/ea20/view/common-info.html?regNumber=0873400003924000211" TargetMode="External"/><Relationship Id="rId53" Type="http://schemas.openxmlformats.org/officeDocument/2006/relationships/hyperlink" Target="https://zakupki.gov.ru/epz/order/notice/ea20/view/common-info.html?regNumber=0873400003924000335" TargetMode="External"/><Relationship Id="rId58" Type="http://schemas.openxmlformats.org/officeDocument/2006/relationships/hyperlink" Target="https://zakupki.gov.ru/epz/order/notice/ea20/view/common-info.html?regNumber=0873400003924000359" TargetMode="External"/><Relationship Id="rId66" Type="http://schemas.openxmlformats.org/officeDocument/2006/relationships/hyperlink" Target="https://zakupki.gov.ru/epz/order/notice/ea20/view/common-info.html?regNumber=0873400003924000374" TargetMode="External"/><Relationship Id="rId74" Type="http://schemas.openxmlformats.org/officeDocument/2006/relationships/hyperlink" Target="https://zakupki.gov.ru/epz/order/notice/ea20/view/common-info.html?regNumber=0873400003924000406" TargetMode="External"/><Relationship Id="rId5" Type="http://schemas.openxmlformats.org/officeDocument/2006/relationships/hyperlink" Target="https://zakupki.gov.ru/epz/order/notice/ea20/view/common-info.html?regNumber=0873400003924000085" TargetMode="External"/><Relationship Id="rId61" Type="http://schemas.openxmlformats.org/officeDocument/2006/relationships/hyperlink" Target="https://zakupki.gov.ru/epz/order/notice/ea20/view/common-info.html?regNumber=0873400003924000364" TargetMode="External"/><Relationship Id="rId19" Type="http://schemas.openxmlformats.org/officeDocument/2006/relationships/hyperlink" Target="https://zakupki.gov.ru/epz/order/notice/ea20/view/common-info.html?regNumber=0873400003924000113" TargetMode="External"/><Relationship Id="rId14" Type="http://schemas.openxmlformats.org/officeDocument/2006/relationships/hyperlink" Target="https://zakupki.gov.ru/epz/order/notice/ea20/view/common-info.html?regNumber=0873400003924000102" TargetMode="External"/><Relationship Id="rId22" Type="http://schemas.openxmlformats.org/officeDocument/2006/relationships/hyperlink" Target="https://zakupki.gov.ru/epz/order/notice/ea20/view/common-info.html?regNumber=0873400003924000121" TargetMode="External"/><Relationship Id="rId27" Type="http://schemas.openxmlformats.org/officeDocument/2006/relationships/hyperlink" Target="https://zakupki.gov.ru/epz/order/notice/ea20/view/common-info.html?regNumber=0873400003924000173" TargetMode="External"/><Relationship Id="rId30" Type="http://schemas.openxmlformats.org/officeDocument/2006/relationships/hyperlink" Target="https://zakupki.gov.ru/epz/order/notice/ea20/view/common-info.html?regNumber=0873400003924000177" TargetMode="External"/><Relationship Id="rId35" Type="http://schemas.openxmlformats.org/officeDocument/2006/relationships/hyperlink" Target="https://zakupki.gov.ru/epz/order/notice/ea20/view/common-info.html?regNumber=0873400003924000189" TargetMode="External"/><Relationship Id="rId43" Type="http://schemas.openxmlformats.org/officeDocument/2006/relationships/hyperlink" Target="https://zakupki.gov.ru/epz/order/notice/ea20/view/common-info.html?regNumber=0873400003924000205" TargetMode="External"/><Relationship Id="rId48" Type="http://schemas.openxmlformats.org/officeDocument/2006/relationships/hyperlink" Target="https://zakupki.gov.ru/epz/order/notice/ea20/view/common-info.html?regNumber=0873400003924000231" TargetMode="External"/><Relationship Id="rId56" Type="http://schemas.openxmlformats.org/officeDocument/2006/relationships/hyperlink" Target="https://zakupki.gov.ru/epz/order/notice/ea20/view/common-info.html?regNumber=0873400003924000348" TargetMode="External"/><Relationship Id="rId64" Type="http://schemas.openxmlformats.org/officeDocument/2006/relationships/hyperlink" Target="https://zakupki.gov.ru/epz/order/notice/ea20/view/common-info.html?regNumber=0873400003924000372" TargetMode="External"/><Relationship Id="rId69" Type="http://schemas.openxmlformats.org/officeDocument/2006/relationships/hyperlink" Target="https://zakupki.gov.ru/epz/order/notice/ea20/view/common-info.html?regNumber=0873400003924000382" TargetMode="External"/><Relationship Id="rId8" Type="http://schemas.openxmlformats.org/officeDocument/2006/relationships/hyperlink" Target="https://zakupki.gov.ru/epz/order/notice/ea20/view/common-info.html?regNumber=0873400003924000091" TargetMode="External"/><Relationship Id="rId51" Type="http://schemas.openxmlformats.org/officeDocument/2006/relationships/hyperlink" Target="https://zakupki.gov.ru/epz/order/notice/ea20/view/common-info.html?regNumber=0873400003924000328" TargetMode="External"/><Relationship Id="rId72" Type="http://schemas.openxmlformats.org/officeDocument/2006/relationships/hyperlink" Target="https://zakupki.gov.ru/epz/order/notice/ea20/view/common-info.html?regNumber=0873400003924000400" TargetMode="External"/><Relationship Id="rId3" Type="http://schemas.openxmlformats.org/officeDocument/2006/relationships/hyperlink" Target="https://zakupki.gov.ru/epz/order/notice/ea20/view/common-info.html?regNumber=0873400003924000083" TargetMode="External"/><Relationship Id="rId12" Type="http://schemas.openxmlformats.org/officeDocument/2006/relationships/hyperlink" Target="https://zakupki.gov.ru/epz/order/notice/ea20/view/common-info.html?regNumber=0873400003924000098" TargetMode="External"/><Relationship Id="rId17" Type="http://schemas.openxmlformats.org/officeDocument/2006/relationships/hyperlink" Target="https://zakupki.gov.ru/epz/order/notice/ea20/view/common-info.html?regNumber=0873400003924000108" TargetMode="External"/><Relationship Id="rId25" Type="http://schemas.openxmlformats.org/officeDocument/2006/relationships/hyperlink" Target="https://zakupki.gov.ru/epz/order/notice/ea20/view/common-info.html?regNumber=0873400003924000159" TargetMode="External"/><Relationship Id="rId33" Type="http://schemas.openxmlformats.org/officeDocument/2006/relationships/hyperlink" Target="https://zakupki.gov.ru/epz/order/notice/ea20/view/common-info.html?regNumber=0873400003924000182" TargetMode="External"/><Relationship Id="rId38" Type="http://schemas.openxmlformats.org/officeDocument/2006/relationships/hyperlink" Target="https://zakupki.gov.ru/epz/order/notice/ea20/view/common-info.html?regNumber=0873400003924000192" TargetMode="External"/><Relationship Id="rId46" Type="http://schemas.openxmlformats.org/officeDocument/2006/relationships/hyperlink" Target="https://zakupki.gov.ru/epz/order/notice/ea20/view/common-info.html?regNumber=0873400003924000212" TargetMode="External"/><Relationship Id="rId59" Type="http://schemas.openxmlformats.org/officeDocument/2006/relationships/hyperlink" Target="https://zakupki.gov.ru/epz/order/notice/ea20/view/common-info.html?regNumber=0873400003924000360" TargetMode="External"/><Relationship Id="rId67" Type="http://schemas.openxmlformats.org/officeDocument/2006/relationships/hyperlink" Target="https://zakupki.gov.ru/epz/order/notice/ea20/view/common-info.html?regNumber=0873400003924000377" TargetMode="External"/><Relationship Id="rId20" Type="http://schemas.openxmlformats.org/officeDocument/2006/relationships/hyperlink" Target="https://zakupki.gov.ru/epz/order/notice/ea20/view/common-info.html?regNumber=0873400003924000117" TargetMode="External"/><Relationship Id="rId41" Type="http://schemas.openxmlformats.org/officeDocument/2006/relationships/hyperlink" Target="https://zakupki.gov.ru/epz/order/notice/ea20/view/common-info.html?regNumber=0873400003924000201" TargetMode="External"/><Relationship Id="rId54" Type="http://schemas.openxmlformats.org/officeDocument/2006/relationships/hyperlink" Target="https://zakupki.gov.ru/epz/order/notice/ea20/view/common-info.html?regNumber=0873400003924000345" TargetMode="External"/><Relationship Id="rId62" Type="http://schemas.openxmlformats.org/officeDocument/2006/relationships/hyperlink" Target="https://zakupki.gov.ru/epz/order/notice/ea20/view/common-info.html?regNumber=0873400003924000370" TargetMode="External"/><Relationship Id="rId70" Type="http://schemas.openxmlformats.org/officeDocument/2006/relationships/hyperlink" Target="https://zakupki.gov.ru/epz/order/notice/ea20/view/common-info.html?regNumber=0873400003924000392" TargetMode="External"/><Relationship Id="rId1" Type="http://schemas.openxmlformats.org/officeDocument/2006/relationships/hyperlink" Target="https://zakupki.gov.ru/epz/order/notice/ea20/view/common-info.html?regNumber=0873400003923000492" TargetMode="External"/><Relationship Id="rId6" Type="http://schemas.openxmlformats.org/officeDocument/2006/relationships/hyperlink" Target="https://zakupki.gov.ru/epz/order/notice/ea20/view/common-info.html?regNumber=0873400003924000089" TargetMode="External"/><Relationship Id="rId15" Type="http://schemas.openxmlformats.org/officeDocument/2006/relationships/hyperlink" Target="https://zakupki.gov.ru/epz/order/notice/ea20/view/common-info.html?regNumber=0873400003924000104" TargetMode="External"/><Relationship Id="rId23" Type="http://schemas.openxmlformats.org/officeDocument/2006/relationships/hyperlink" Target="https://zakupki.gov.ru/epz/order/notice/ea20/view/common-info.html?regNumber=0873400003924000151" TargetMode="External"/><Relationship Id="rId28" Type="http://schemas.openxmlformats.org/officeDocument/2006/relationships/hyperlink" Target="https://zakupki.gov.ru/epz/order/notice/ea20/view/common-info.html?regNumber=0873400003924000174" TargetMode="External"/><Relationship Id="rId36" Type="http://schemas.openxmlformats.org/officeDocument/2006/relationships/hyperlink" Target="https://zakupki.gov.ru/epz/order/notice/ea20/view/common-info.html?regNumber=0873400003924000190" TargetMode="External"/><Relationship Id="rId49" Type="http://schemas.openxmlformats.org/officeDocument/2006/relationships/hyperlink" Target="https://zakupki.gov.ru/epz/order/notice/ea20/view/common-info.html?regNumber=0873400003924000276" TargetMode="External"/><Relationship Id="rId57" Type="http://schemas.openxmlformats.org/officeDocument/2006/relationships/hyperlink" Target="https://zakupki.gov.ru/epz/order/notice/ea20/view/common-info.html?regNumber=0873400003924000350" TargetMode="External"/><Relationship Id="rId10" Type="http://schemas.openxmlformats.org/officeDocument/2006/relationships/hyperlink" Target="https://zakupki.gov.ru/epz/order/notice/ea20/view/common-info.html?regNumber=0873400003924000094" TargetMode="External"/><Relationship Id="rId31" Type="http://schemas.openxmlformats.org/officeDocument/2006/relationships/hyperlink" Target="https://zakupki.gov.ru/epz/order/notice/ea20/view/common-info.html?regNumber=0873400003924000179" TargetMode="External"/><Relationship Id="rId44" Type="http://schemas.openxmlformats.org/officeDocument/2006/relationships/hyperlink" Target="https://zakupki.gov.ru/epz/order/notice/ea20/view/common-info.html?regNumber=0873400003924000208" TargetMode="External"/><Relationship Id="rId52" Type="http://schemas.openxmlformats.org/officeDocument/2006/relationships/hyperlink" Target="https://zakupki.gov.ru/epz/order/notice/ea20/view/common-info.html?regNumber=0873400003924000333" TargetMode="External"/><Relationship Id="rId60" Type="http://schemas.openxmlformats.org/officeDocument/2006/relationships/hyperlink" Target="https://zakupki.gov.ru/epz/order/notice/ea20/view/common-info.html?regNumber=0873400003924000362" TargetMode="External"/><Relationship Id="rId65" Type="http://schemas.openxmlformats.org/officeDocument/2006/relationships/hyperlink" Target="https://zakupki.gov.ru/epz/order/notice/ea20/view/common-info.html?regNumber=0873400003924000373" TargetMode="External"/><Relationship Id="rId73" Type="http://schemas.openxmlformats.org/officeDocument/2006/relationships/hyperlink" Target="https://zakupki.gov.ru/epz/order/notice/ea20/view/common-info.html?regNumber=0873400003924000401" TargetMode="External"/><Relationship Id="rId4" Type="http://schemas.openxmlformats.org/officeDocument/2006/relationships/hyperlink" Target="https://zakupki.gov.ru/epz/order/notice/ea20/view/common-info.html?regNumber=0873400003924000084" TargetMode="External"/><Relationship Id="rId9" Type="http://schemas.openxmlformats.org/officeDocument/2006/relationships/hyperlink" Target="https://zakupki.gov.ru/epz/order/notice/ea20/view/common-info.html?regNumber=0873400003924000093" TargetMode="External"/><Relationship Id="rId13" Type="http://schemas.openxmlformats.org/officeDocument/2006/relationships/hyperlink" Target="https://zakupki.gov.ru/epz/order/notice/ea20/view/common-info.html?regNumber=0873400003924000101" TargetMode="External"/><Relationship Id="rId18" Type="http://schemas.openxmlformats.org/officeDocument/2006/relationships/hyperlink" Target="https://zakupki.gov.ru/epz/order/notice/ea20/view/common-info.html?regNumber=0873400003924000110" TargetMode="External"/><Relationship Id="rId39" Type="http://schemas.openxmlformats.org/officeDocument/2006/relationships/hyperlink" Target="https://zakupki.gov.ru/epz/order/notice/ea20/view/common-info.html?regNumber=0873400003924000193" TargetMode="External"/><Relationship Id="rId34" Type="http://schemas.openxmlformats.org/officeDocument/2006/relationships/hyperlink" Target="https://zakupki.gov.ru/epz/order/notice/ea20/view/common-info.html?regNumber=0873400003924000186" TargetMode="External"/><Relationship Id="rId50" Type="http://schemas.openxmlformats.org/officeDocument/2006/relationships/hyperlink" Target="https://zakupki.gov.ru/epz/order/notice/ea20/view/common-info.html?regNumber=0873400003924000289" TargetMode="External"/><Relationship Id="rId55" Type="http://schemas.openxmlformats.org/officeDocument/2006/relationships/hyperlink" Target="https://zakupki.gov.ru/epz/order/notice/ea20/view/common-info.html?regNumber=0873400003924000346" TargetMode="External"/><Relationship Id="rId7" Type="http://schemas.openxmlformats.org/officeDocument/2006/relationships/hyperlink" Target="https://zakupki.gov.ru/epz/order/notice/ea20/view/common-info.html?regNumber=0873400003924000090" TargetMode="External"/><Relationship Id="rId71" Type="http://schemas.openxmlformats.org/officeDocument/2006/relationships/hyperlink" Target="https://zakupki.gov.ru/epz/order/notice/ea20/view/common-info.html?regNumber=0873400003924000393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4000038" TargetMode="External"/><Relationship Id="rId18" Type="http://schemas.openxmlformats.org/officeDocument/2006/relationships/hyperlink" Target="https://zakupki.gov.ru/epz/order/notice/ea20/view/common-info.html?regNumber=0873400003924000044" TargetMode="External"/><Relationship Id="rId26" Type="http://schemas.openxmlformats.org/officeDocument/2006/relationships/hyperlink" Target="https://zakupki.gov.ru/epz/order/notice/ea20/view/common-info.html?regNumber=0873400003924000059" TargetMode="External"/><Relationship Id="rId39" Type="http://schemas.openxmlformats.org/officeDocument/2006/relationships/hyperlink" Target="https://zakupki.gov.ru/epz/order/notice/ea20/view/common-info.html?regNumber=0873400003924000404" TargetMode="External"/><Relationship Id="rId21" Type="http://schemas.openxmlformats.org/officeDocument/2006/relationships/hyperlink" Target="https://zakupki.gov.ru/epz/order/notice/ea20/view/common-info.html?regNumber=0873400003924000047" TargetMode="External"/><Relationship Id="rId34" Type="http://schemas.openxmlformats.org/officeDocument/2006/relationships/hyperlink" Target="https://zakupki.gov.ru/epz/order/notice/ea20/view/common-info.html?regNumber=0873400003924000387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12" Type="http://schemas.openxmlformats.org/officeDocument/2006/relationships/hyperlink" Target="https://zakupki.gov.ru/epz/order/notice/ea20/view/common-info.html?regNumber=0873400003924000037" TargetMode="External"/><Relationship Id="rId17" Type="http://schemas.openxmlformats.org/officeDocument/2006/relationships/hyperlink" Target="https://zakupki.gov.ru/epz/order/notice/ea20/view/common-info.html?regNumber=0873400003924000043" TargetMode="External"/><Relationship Id="rId25" Type="http://schemas.openxmlformats.org/officeDocument/2006/relationships/hyperlink" Target="https://zakupki.gov.ru/epz/order/notice/ea20/view/common-info.html?regNumber=0873400003924000055" TargetMode="External"/><Relationship Id="rId33" Type="http://schemas.openxmlformats.org/officeDocument/2006/relationships/hyperlink" Target="https://zakupki.gov.ru/epz/order/notice/ea20/view/common-info.html?regNumber=0873400003924000275" TargetMode="External"/><Relationship Id="rId38" Type="http://schemas.openxmlformats.org/officeDocument/2006/relationships/hyperlink" Target="https://zakupki.gov.ru/epz/order/notice/ea20/view/common-info.html?regNumber=0873400003924000396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6" Type="http://schemas.openxmlformats.org/officeDocument/2006/relationships/hyperlink" Target="https://zakupki.gov.ru/epz/order/notice/ea20/view/common-info.html?regNumber=0873400003924000042" TargetMode="External"/><Relationship Id="rId20" Type="http://schemas.openxmlformats.org/officeDocument/2006/relationships/hyperlink" Target="https://zakupki.gov.ru/epz/order/notice/ea20/view/common-info.html?regNumber=0873400003924000046" TargetMode="External"/><Relationship Id="rId29" Type="http://schemas.openxmlformats.org/officeDocument/2006/relationships/hyperlink" Target="https://zakupki.gov.ru/epz/order/notice/ea20/view/common-info.html?regNumber=0873400003924000062" TargetMode="External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24" Type="http://schemas.openxmlformats.org/officeDocument/2006/relationships/hyperlink" Target="https://zakupki.gov.ru/epz/order/notice/ea20/view/common-info.html?regNumber=0873400003924000053" TargetMode="External"/><Relationship Id="rId32" Type="http://schemas.openxmlformats.org/officeDocument/2006/relationships/hyperlink" Target="https://zakupki.gov.ru/epz/order/notice/ea20/view/common-info.html?regNumber=0873400003924000214" TargetMode="External"/><Relationship Id="rId37" Type="http://schemas.openxmlformats.org/officeDocument/2006/relationships/hyperlink" Target="https://zakupki.gov.ru/epz/order/notice/ea20/view/common-info.html?regNumber=0873400003924000394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5" Type="http://schemas.openxmlformats.org/officeDocument/2006/relationships/hyperlink" Target="https://zakupki.gov.ru/epz/order/notice/ea20/view/common-info.html?regNumber=0873400003924000041" TargetMode="External"/><Relationship Id="rId23" Type="http://schemas.openxmlformats.org/officeDocument/2006/relationships/hyperlink" Target="https://zakupki.gov.ru/epz/order/notice/ea20/view/common-info.html?regNumber=0873400003924000052" TargetMode="External"/><Relationship Id="rId28" Type="http://schemas.openxmlformats.org/officeDocument/2006/relationships/hyperlink" Target="https://zakupki.gov.ru/epz/order/notice/ea20/view/common-info.html?regNumber=0873400003924000061" TargetMode="External"/><Relationship Id="rId36" Type="http://schemas.openxmlformats.org/officeDocument/2006/relationships/hyperlink" Target="https://zakupki.gov.ru/epz/order/notice/ea20/view/common-info.html?regNumber=0873400003924000391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19" Type="http://schemas.openxmlformats.org/officeDocument/2006/relationships/hyperlink" Target="https://zakupki.gov.ru/epz/order/notice/ea20/view/common-info.html?regNumber=0873400003924000045" TargetMode="External"/><Relationship Id="rId31" Type="http://schemas.openxmlformats.org/officeDocument/2006/relationships/hyperlink" Target="https://zakupki.gov.ru/epz/order/notice/ea20/view/common-info.html?regNumber=0873400003924000092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Relationship Id="rId14" Type="http://schemas.openxmlformats.org/officeDocument/2006/relationships/hyperlink" Target="https://zakupki.gov.ru/epz/order/notice/ea20/view/common-info.html?regNumber=0873400003924000039" TargetMode="External"/><Relationship Id="rId22" Type="http://schemas.openxmlformats.org/officeDocument/2006/relationships/hyperlink" Target="https://zakupki.gov.ru/epz/order/notice/ea20/view/common-info.html?regNumber=0873400003924000049" TargetMode="External"/><Relationship Id="rId27" Type="http://schemas.openxmlformats.org/officeDocument/2006/relationships/hyperlink" Target="https://zakupki.gov.ru/epz/order/notice/ea20/view/common-info.html?regNumber=0873400003924000060" TargetMode="External"/><Relationship Id="rId30" Type="http://schemas.openxmlformats.org/officeDocument/2006/relationships/hyperlink" Target="https://zakupki.gov.ru/epz/order/notice/ea20/view/common-info.html?regNumber=0873400003924000063" TargetMode="External"/><Relationship Id="rId35" Type="http://schemas.openxmlformats.org/officeDocument/2006/relationships/hyperlink" Target="https://zakupki.gov.ru/epz/order/notice/ea20/view/common-info.html?regNumber=0873400003924000389" TargetMode="External"/><Relationship Id="rId8" Type="http://schemas.openxmlformats.org/officeDocument/2006/relationships/hyperlink" Target="https://zakupki.gov.ru/epz/order/notice/ea20/view/common-info.html?regNumber=0873400003923000737" TargetMode="External"/><Relationship Id="rId3" Type="http://schemas.openxmlformats.org/officeDocument/2006/relationships/hyperlink" Target="https://zakupki.gov.ru/epz/order/notice/ea20/view/common-info.html?regNumber=0873400003923000732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19" TargetMode="External"/><Relationship Id="rId117" Type="http://schemas.openxmlformats.org/officeDocument/2006/relationships/hyperlink" Target="https://zakupki.gov.ru/epz/order/notice/ea20/view/common-info.html?regNumber=0873400003924000390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63" Type="http://schemas.openxmlformats.org/officeDocument/2006/relationships/hyperlink" Target="https://zakupki.gov.ru/epz/order/notice/ea20/view/common-info.html?regNumber=0873400003924000070" TargetMode="External"/><Relationship Id="rId68" Type="http://schemas.openxmlformats.org/officeDocument/2006/relationships/hyperlink" Target="https://zakupki.gov.ru/epz/order/notice/ea20/view/common-info.html?regNumber=0873400003924000123" TargetMode="External"/><Relationship Id="rId84" Type="http://schemas.openxmlformats.org/officeDocument/2006/relationships/hyperlink" Target="https://zakupki.gov.ru/epz/order/notice/ea20/view/common-info.html?regNumber=0873400003924000219" TargetMode="External"/><Relationship Id="rId89" Type="http://schemas.openxmlformats.org/officeDocument/2006/relationships/hyperlink" Target="https://zakupki.gov.ru/epz/order/notice/ea20/view/common-info.html?regNumber=0873400003924000224" TargetMode="External"/><Relationship Id="rId112" Type="http://schemas.openxmlformats.org/officeDocument/2006/relationships/hyperlink" Target="https://zakupki.gov.ru/epz/order/notice/ea20/view/common-info.html?regNumber=0873400003924000369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107" Type="http://schemas.openxmlformats.org/officeDocument/2006/relationships/hyperlink" Target="https://zakupki.gov.ru/epz/order/notice/ea20/view/common-info.html?regNumber=0873400003924000356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53" Type="http://schemas.openxmlformats.org/officeDocument/2006/relationships/hyperlink" Target="https://zakupki.gov.ru/epz/order/notice/ea20/view/common-info.html?regNumber=0873400003924000016" TargetMode="External"/><Relationship Id="rId58" Type="http://schemas.openxmlformats.org/officeDocument/2006/relationships/hyperlink" Target="https://zakupki.gov.ru/epz/order/notice/ea20/view/common-info.html?regNumber=0873400003924000058" TargetMode="External"/><Relationship Id="rId74" Type="http://schemas.openxmlformats.org/officeDocument/2006/relationships/hyperlink" Target="https://zakupki.gov.ru/epz/order/notice/ea20/view/common-info.html?regNumber=0873400003924000166" TargetMode="External"/><Relationship Id="rId79" Type="http://schemas.openxmlformats.org/officeDocument/2006/relationships/hyperlink" Target="https://zakupki.gov.ru/epz/order/notice/ea20/view/common-info.html?regNumber=0873400003924000171" TargetMode="External"/><Relationship Id="rId102" Type="http://schemas.openxmlformats.org/officeDocument/2006/relationships/hyperlink" Target="https://zakupki.gov.ru/epz/order/notice/ea20/view/common-info.html?regNumber=0873400003924000332" TargetMode="External"/><Relationship Id="rId123" Type="http://schemas.openxmlformats.org/officeDocument/2006/relationships/hyperlink" Target="https://zakupki.gov.ru/epz/order/notice/ea20/view/common-info.html?regNumber=0873400003924000405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90" Type="http://schemas.openxmlformats.org/officeDocument/2006/relationships/hyperlink" Target="https://zakupki.gov.ru/epz/order/notice/ea20/view/common-info.html?regNumber=0873400003924000225" TargetMode="External"/><Relationship Id="rId95" Type="http://schemas.openxmlformats.org/officeDocument/2006/relationships/hyperlink" Target="https://zakupki.gov.ru/epz/order/notice/ea20/view/common-info.html?regNumber=0873400003924000294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64" Type="http://schemas.openxmlformats.org/officeDocument/2006/relationships/hyperlink" Target="https://zakupki.gov.ru/epz/order/notice/ea20/view/common-info.html?regNumber=0873400003924000071" TargetMode="External"/><Relationship Id="rId69" Type="http://schemas.openxmlformats.org/officeDocument/2006/relationships/hyperlink" Target="https://zakupki.gov.ru/epz/order/notice/ea20/view/common-info.html?regNumber=0873400003924000154" TargetMode="External"/><Relationship Id="rId113" Type="http://schemas.openxmlformats.org/officeDocument/2006/relationships/hyperlink" Target="https://zakupki.gov.ru/epz/order/notice/ea20/view/common-info.html?regNumber=0873400003924000375" TargetMode="External"/><Relationship Id="rId118" Type="http://schemas.openxmlformats.org/officeDocument/2006/relationships/hyperlink" Target="https://zakupki.gov.ru/epz/order/notice/ea20/view/common-info.html?regNumber=0873400003924000395" TargetMode="External"/><Relationship Id="rId80" Type="http://schemas.openxmlformats.org/officeDocument/2006/relationships/hyperlink" Target="https://zakupki.gov.ru/epz/order/notice/ea20/view/common-info.html?regNumber=0873400003924000172" TargetMode="External"/><Relationship Id="rId85" Type="http://schemas.openxmlformats.org/officeDocument/2006/relationships/hyperlink" Target="https://zakupki.gov.ru/epz/order/notice/ea20/view/common-info.html?regNumber=0873400003924000220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59" Type="http://schemas.openxmlformats.org/officeDocument/2006/relationships/hyperlink" Target="https://zakupki.gov.ru/epz/order/notice/ea20/view/common-info.html?regNumber=0873400003924000066" TargetMode="External"/><Relationship Id="rId103" Type="http://schemas.openxmlformats.org/officeDocument/2006/relationships/hyperlink" Target="https://zakupki.gov.ru/epz/order/notice/ea20/view/common-info.html?regNumber=0873400003924000352" TargetMode="External"/><Relationship Id="rId108" Type="http://schemas.openxmlformats.org/officeDocument/2006/relationships/hyperlink" Target="https://zakupki.gov.ru/epz/order/notice/ea20/view/common-info.html?regNumber=0873400003924000357" TargetMode="External"/><Relationship Id="rId54" Type="http://schemas.openxmlformats.org/officeDocument/2006/relationships/hyperlink" Target="https://zakupki.gov.ru/epz/order/notice/ea20/view/common-info.html?regNumber=0873400003924000017" TargetMode="External"/><Relationship Id="rId70" Type="http://schemas.openxmlformats.org/officeDocument/2006/relationships/hyperlink" Target="https://zakupki.gov.ru/epz/order/notice/ea20/view/common-info.html?regNumber=0873400003924000155" TargetMode="External"/><Relationship Id="rId75" Type="http://schemas.openxmlformats.org/officeDocument/2006/relationships/hyperlink" Target="https://zakupki.gov.ru/epz/order/notice/ea20/view/common-info.html?regNumber=0873400003924000167" TargetMode="External"/><Relationship Id="rId91" Type="http://schemas.openxmlformats.org/officeDocument/2006/relationships/hyperlink" Target="https://zakupki.gov.ru/epz/order/notice/ea20/view/common-info.html?regNumber=0873400003924000252" TargetMode="External"/><Relationship Id="rId96" Type="http://schemas.openxmlformats.org/officeDocument/2006/relationships/hyperlink" Target="https://zakupki.gov.ru/epz/order/notice/ea20/view/common-info.html?regNumber=0873400003924000295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49" Type="http://schemas.openxmlformats.org/officeDocument/2006/relationships/hyperlink" Target="https://zakupki.gov.ru/epz/order/notice/ea20/view/common-info.html?regNumber=0873400003923000704" TargetMode="External"/><Relationship Id="rId114" Type="http://schemas.openxmlformats.org/officeDocument/2006/relationships/hyperlink" Target="https://zakupki.gov.ru/epz/order/notice/ea20/view/common-info.html?regNumber=0873400003924000383" TargetMode="External"/><Relationship Id="rId119" Type="http://schemas.openxmlformats.org/officeDocument/2006/relationships/hyperlink" Target="https://zakupki.gov.ru/epz/order/notice/ea20/view/common-info.html?regNumber=0873400003924000397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60" Type="http://schemas.openxmlformats.org/officeDocument/2006/relationships/hyperlink" Target="https://zakupki.gov.ru/epz/order/notice/ea20/view/common-info.html?regNumber=0873400003924000067" TargetMode="External"/><Relationship Id="rId65" Type="http://schemas.openxmlformats.org/officeDocument/2006/relationships/hyperlink" Target="https://zakupki.gov.ru/epz/order/notice/ea20/view/common-info.html?regNumber=0873400003924000072" TargetMode="External"/><Relationship Id="rId81" Type="http://schemas.openxmlformats.org/officeDocument/2006/relationships/hyperlink" Target="https://zakupki.gov.ru/epz/order/notice/ea20/view/common-info.html?regNumber=0873400003924000185" TargetMode="External"/><Relationship Id="rId86" Type="http://schemas.openxmlformats.org/officeDocument/2006/relationships/hyperlink" Target="https://zakupki.gov.ru/epz/order/notice/ea20/view/common-info.html?regNumber=0873400003924000221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109" Type="http://schemas.openxmlformats.org/officeDocument/2006/relationships/hyperlink" Target="https://zakupki.gov.ru/epz/order/notice/ea20/view/common-info.html?regNumber=0873400003924000358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55" Type="http://schemas.openxmlformats.org/officeDocument/2006/relationships/hyperlink" Target="https://zakupki.gov.ru/epz/order/notice/ea20/view/common-info.html?regNumber=0873400003924000018" TargetMode="External"/><Relationship Id="rId76" Type="http://schemas.openxmlformats.org/officeDocument/2006/relationships/hyperlink" Target="https://zakupki.gov.ru/epz/order/notice/ea20/view/common-info.html?regNumber=0873400003924000168" TargetMode="External"/><Relationship Id="rId97" Type="http://schemas.openxmlformats.org/officeDocument/2006/relationships/hyperlink" Target="https://zakupki.gov.ru/epz/order/notice/ea20/view/common-info.html?regNumber=0873400003924000313" TargetMode="External"/><Relationship Id="rId104" Type="http://schemas.openxmlformats.org/officeDocument/2006/relationships/hyperlink" Target="https://zakupki.gov.ru/epz/order/notice/ea20/view/common-info.html?regNumber=0873400003924000353" TargetMode="External"/><Relationship Id="rId120" Type="http://schemas.openxmlformats.org/officeDocument/2006/relationships/hyperlink" Target="https://zakupki.gov.ru/epz/order/notice/ea20/view/common-info.html?regNumber=0873400003924000398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71" Type="http://schemas.openxmlformats.org/officeDocument/2006/relationships/hyperlink" Target="https://zakupki.gov.ru/epz/order/notice/ea20/view/common-info.html?regNumber=0873400003924000156" TargetMode="External"/><Relationship Id="rId92" Type="http://schemas.openxmlformats.org/officeDocument/2006/relationships/hyperlink" Target="https://zakupki.gov.ru/epz/order/notice/ea20/view/common-info.html?regNumber=0873400003924000260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66" Type="http://schemas.openxmlformats.org/officeDocument/2006/relationships/hyperlink" Target="https://zakupki.gov.ru/epz/order/notice/ea20/view/common-info.html?regNumber=0873400003924000078" TargetMode="External"/><Relationship Id="rId87" Type="http://schemas.openxmlformats.org/officeDocument/2006/relationships/hyperlink" Target="https://zakupki.gov.ru/epz/order/notice/ea20/view/common-info.html?regNumber=0873400003924000222" TargetMode="External"/><Relationship Id="rId110" Type="http://schemas.openxmlformats.org/officeDocument/2006/relationships/hyperlink" Target="https://zakupki.gov.ru/epz/order/notice/ea20/view/common-info.html?regNumber=0873400003924000367" TargetMode="External"/><Relationship Id="rId115" Type="http://schemas.openxmlformats.org/officeDocument/2006/relationships/hyperlink" Target="https://zakupki.gov.ru/epz/order/notice/ea20/view/common-info.html?regNumber=0873400003924000384" TargetMode="External"/><Relationship Id="rId61" Type="http://schemas.openxmlformats.org/officeDocument/2006/relationships/hyperlink" Target="https://zakupki.gov.ru/epz/order/notice/ea20/view/common-info.html?regNumber=0873400003924000068" TargetMode="External"/><Relationship Id="rId82" Type="http://schemas.openxmlformats.org/officeDocument/2006/relationships/hyperlink" Target="https://zakupki.gov.ru/epz/order/notice/ea20/view/common-info.html?regNumber=0873400003924000196" TargetMode="External"/><Relationship Id="rId19" Type="http://schemas.openxmlformats.org/officeDocument/2006/relationships/hyperlink" Target="https://zakupki.gov.ru/epz/order/notice/ea20/view/common-info.html?regNumber=0873400003923000486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56" Type="http://schemas.openxmlformats.org/officeDocument/2006/relationships/hyperlink" Target="https://zakupki.gov.ru/epz/order/notice/ea20/view/common-info.html?regNumber=0873400003924000056" TargetMode="External"/><Relationship Id="rId77" Type="http://schemas.openxmlformats.org/officeDocument/2006/relationships/hyperlink" Target="https://zakupki.gov.ru/epz/order/notice/ea20/view/common-info.html?regNumber=0873400003924000169" TargetMode="External"/><Relationship Id="rId100" Type="http://schemas.openxmlformats.org/officeDocument/2006/relationships/hyperlink" Target="https://zakupki.gov.ru/epz/order/notice/ea20/view/common-info.html?regNumber=0873400003924000330" TargetMode="External"/><Relationship Id="rId105" Type="http://schemas.openxmlformats.org/officeDocument/2006/relationships/hyperlink" Target="https://zakupki.gov.ru/epz/order/notice/ea20/view/common-info.html?regNumber=0873400003924000354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72" Type="http://schemas.openxmlformats.org/officeDocument/2006/relationships/hyperlink" Target="https://zakupki.gov.ru/epz/order/notice/ea20/view/common-info.html?regNumber=0873400003924000157" TargetMode="External"/><Relationship Id="rId93" Type="http://schemas.openxmlformats.org/officeDocument/2006/relationships/hyperlink" Target="https://zakupki.gov.ru/epz/order/notice/ea20/view/common-info.html?regNumber=0873400003924000264" TargetMode="External"/><Relationship Id="rId98" Type="http://schemas.openxmlformats.org/officeDocument/2006/relationships/hyperlink" Target="https://zakupki.gov.ru/epz/order/notice/ea20/view/common-info.html?regNumber=0873400003924000314" TargetMode="External"/><Relationship Id="rId121" Type="http://schemas.openxmlformats.org/officeDocument/2006/relationships/hyperlink" Target="https://zakupki.gov.ru/epz/order/notice/ea20/view/common-info.html?regNumber=0873400003924000399" TargetMode="External"/><Relationship Id="rId3" Type="http://schemas.openxmlformats.org/officeDocument/2006/relationships/hyperlink" Target="https://zakupki.gov.ru/epz/order/notice/ea20/view/common-info.html?regNumber=0873400003923000442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67" Type="http://schemas.openxmlformats.org/officeDocument/2006/relationships/hyperlink" Target="https://zakupki.gov.ru/epz/order/notice/ea20/view/common-info.html?regNumber=0873400003924000097" TargetMode="External"/><Relationship Id="rId116" Type="http://schemas.openxmlformats.org/officeDocument/2006/relationships/hyperlink" Target="https://zakupki.gov.ru/epz/order/notice/ea20/view/common-info.html?regNumber=0873400003924000388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62" Type="http://schemas.openxmlformats.org/officeDocument/2006/relationships/hyperlink" Target="https://zakupki.gov.ru/epz/order/notice/ea20/view/common-info.html?regNumber=0873400003924000069" TargetMode="External"/><Relationship Id="rId83" Type="http://schemas.openxmlformats.org/officeDocument/2006/relationships/hyperlink" Target="https://zakupki.gov.ru/epz/order/notice/ea20/view/common-info.html?regNumber=0873400003924000218" TargetMode="External"/><Relationship Id="rId88" Type="http://schemas.openxmlformats.org/officeDocument/2006/relationships/hyperlink" Target="https://zakupki.gov.ru/epz/order/notice/ea20/view/common-info.html?regNumber=0873400003924000223" TargetMode="External"/><Relationship Id="rId111" Type="http://schemas.openxmlformats.org/officeDocument/2006/relationships/hyperlink" Target="https://zakupki.gov.ru/epz/order/notice/ea20/view/common-info.html?regNumber=0873400003924000368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57" Type="http://schemas.openxmlformats.org/officeDocument/2006/relationships/hyperlink" Target="https://zakupki.gov.ru/epz/order/notice/ea20/view/common-info.html?regNumber=0873400003924000057" TargetMode="External"/><Relationship Id="rId106" Type="http://schemas.openxmlformats.org/officeDocument/2006/relationships/hyperlink" Target="https://zakupki.gov.ru/epz/order/notice/ea20/view/common-info.html?regNumber=0873400003924000355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52" Type="http://schemas.openxmlformats.org/officeDocument/2006/relationships/hyperlink" Target="https://zakupki.gov.ru/epz/order/notice/ea20/view/common-info.html?regNumber=0873400003924000014" TargetMode="External"/><Relationship Id="rId73" Type="http://schemas.openxmlformats.org/officeDocument/2006/relationships/hyperlink" Target="https://zakupki.gov.ru/epz/order/notice/ea20/view/common-info.html?regNumber=0873400003924000158" TargetMode="External"/><Relationship Id="rId78" Type="http://schemas.openxmlformats.org/officeDocument/2006/relationships/hyperlink" Target="https://zakupki.gov.ru/epz/order/notice/ea20/view/common-info.html?regNumber=0873400003924000170" TargetMode="External"/><Relationship Id="rId94" Type="http://schemas.openxmlformats.org/officeDocument/2006/relationships/hyperlink" Target="https://zakupki.gov.ru/epz/order/notice/ea20/view/common-info.html?regNumber=0873400003924000293" TargetMode="External"/><Relationship Id="rId99" Type="http://schemas.openxmlformats.org/officeDocument/2006/relationships/hyperlink" Target="https://zakupki.gov.ru/epz/order/notice/ea20/view/common-info.html?regNumber=0873400003924000317" TargetMode="External"/><Relationship Id="rId101" Type="http://schemas.openxmlformats.org/officeDocument/2006/relationships/hyperlink" Target="https://zakupki.gov.ru/epz/order/notice/ea20/view/common-info.html?regNumber=0873400003924000331" TargetMode="External"/><Relationship Id="rId122" Type="http://schemas.openxmlformats.org/officeDocument/2006/relationships/hyperlink" Target="https://zakupki.gov.ru/epz/order/notice/ea20/view/common-info.html?regNumber=0873400003924000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E4830-8AC9-4A36-8E93-9AE32B858558}">
  <dimension ref="A1:AS804"/>
  <sheetViews>
    <sheetView tabSelected="1" zoomScale="77" zoomScaleNormal="77" workbookViewId="0">
      <pane xSplit="1" ySplit="2" topLeftCell="B571" activePane="bottomRight" state="frozen"/>
      <selection pane="topRight" activeCell="D1" sqref="D1"/>
      <selection pane="bottomLeft" activeCell="A3" sqref="A3"/>
      <selection pane="bottomRight" activeCell="A573" sqref="A573"/>
    </sheetView>
  </sheetViews>
  <sheetFormatPr defaultColWidth="9.140625" defaultRowHeight="15.75" x14ac:dyDescent="0.25"/>
  <cols>
    <col min="1" max="1" width="23.85546875" style="18" customWidth="1"/>
    <col min="2" max="2" width="15.140625" style="71" customWidth="1"/>
    <col min="3" max="3" width="15.42578125" style="18" customWidth="1"/>
    <col min="4" max="4" width="15.7109375" style="18" customWidth="1"/>
    <col min="5" max="5" width="17.5703125" style="18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8" customWidth="1"/>
    <col min="10" max="10" width="22.140625" style="51" customWidth="1"/>
    <col min="11" max="11" width="19.140625" style="51" customWidth="1"/>
    <col min="12" max="12" width="21.28515625" style="18" customWidth="1"/>
    <col min="13" max="13" width="21.7109375" style="18" customWidth="1"/>
    <col min="14" max="14" width="19.5703125" style="18" customWidth="1"/>
    <col min="15" max="15" width="21.42578125" style="18" customWidth="1"/>
    <col min="16" max="16" width="23.5703125" style="18" customWidth="1"/>
    <col min="17" max="17" width="19.85546875" style="18" customWidth="1"/>
    <col min="18" max="18" width="15" style="18" customWidth="1"/>
    <col min="19" max="20" width="14.5703125" style="18" customWidth="1"/>
    <col min="21" max="21" width="20.140625" style="18" customWidth="1"/>
    <col min="22" max="22" width="17.5703125" style="73" customWidth="1"/>
    <col min="23" max="23" width="15.5703125" style="18" customWidth="1"/>
    <col min="24" max="24" width="15.5703125" style="72" customWidth="1"/>
    <col min="25" max="25" width="17.42578125" style="18" customWidth="1"/>
    <col min="26" max="28" width="17" style="18" customWidth="1"/>
    <col min="29" max="29" width="20.85546875" style="18" customWidth="1"/>
    <col min="30" max="30" width="16.42578125" style="18" customWidth="1"/>
    <col min="31" max="31" width="13.7109375" style="18" customWidth="1"/>
    <col min="32" max="32" width="14" style="18" customWidth="1"/>
    <col min="33" max="33" width="13.5703125" style="51" customWidth="1"/>
    <col min="34" max="34" width="14.85546875" style="51" customWidth="1"/>
    <col min="35" max="35" width="15.42578125" style="18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8" customWidth="1"/>
    <col min="42" max="42" width="14.7109375" style="52" customWidth="1"/>
    <col min="43" max="43" width="12.5703125" style="18" customWidth="1"/>
    <col min="44" max="44" width="13.85546875" style="72" customWidth="1"/>
    <col min="45" max="45" width="17.140625" style="18" customWidth="1"/>
    <col min="46" max="16384" width="9.140625" style="18"/>
  </cols>
  <sheetData>
    <row r="1" spans="1:45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9" t="s">
        <v>15</v>
      </c>
      <c r="Q1" s="8" t="s">
        <v>16</v>
      </c>
      <c r="R1" s="9" t="s">
        <v>17</v>
      </c>
      <c r="S1" s="9" t="s">
        <v>18</v>
      </c>
      <c r="T1" s="3" t="s">
        <v>19</v>
      </c>
      <c r="U1" s="10" t="s">
        <v>20</v>
      </c>
      <c r="V1" s="11"/>
      <c r="W1" s="11"/>
      <c r="X1" s="11"/>
      <c r="Y1" s="11"/>
      <c r="Z1" s="11"/>
      <c r="AA1" s="11"/>
      <c r="AB1" s="11"/>
      <c r="AC1" s="11"/>
      <c r="AD1" s="12"/>
      <c r="AE1" s="13" t="s">
        <v>21</v>
      </c>
      <c r="AF1" s="14"/>
      <c r="AG1" s="15"/>
      <c r="AH1" s="13" t="s">
        <v>22</v>
      </c>
      <c r="AI1" s="14"/>
      <c r="AJ1" s="15"/>
      <c r="AK1" s="16" t="s">
        <v>23</v>
      </c>
      <c r="AL1" s="16" t="s">
        <v>24</v>
      </c>
      <c r="AM1" s="16" t="s">
        <v>25</v>
      </c>
      <c r="AN1" s="16" t="s">
        <v>26</v>
      </c>
      <c r="AO1" s="8" t="s">
        <v>27</v>
      </c>
      <c r="AP1" s="8" t="s">
        <v>28</v>
      </c>
      <c r="AQ1" s="9" t="s">
        <v>29</v>
      </c>
      <c r="AR1" s="17" t="s">
        <v>30</v>
      </c>
      <c r="AS1" s="16" t="s">
        <v>31</v>
      </c>
    </row>
    <row r="2" spans="1:45" ht="45" customHeight="1" x14ac:dyDescent="0.25">
      <c r="A2" s="19"/>
      <c r="B2" s="20"/>
      <c r="C2" s="23"/>
      <c r="D2" s="24"/>
      <c r="E2" s="22"/>
      <c r="F2" s="21"/>
      <c r="G2" s="22"/>
      <c r="H2" s="22"/>
      <c r="I2" s="25"/>
      <c r="J2" s="26"/>
      <c r="K2" s="26"/>
      <c r="L2" s="26"/>
      <c r="M2" s="25"/>
      <c r="N2" s="25"/>
      <c r="O2" s="25"/>
      <c r="P2" s="25"/>
      <c r="Q2" s="25"/>
      <c r="R2" s="26"/>
      <c r="S2" s="26"/>
      <c r="T2" s="20"/>
      <c r="U2" s="27" t="s">
        <v>32</v>
      </c>
      <c r="V2" s="27" t="s">
        <v>33</v>
      </c>
      <c r="W2" s="27" t="s">
        <v>34</v>
      </c>
      <c r="X2" s="27" t="s">
        <v>35</v>
      </c>
      <c r="Y2" s="27" t="s">
        <v>36</v>
      </c>
      <c r="Z2" s="27" t="s">
        <v>37</v>
      </c>
      <c r="AA2" s="27" t="s">
        <v>38</v>
      </c>
      <c r="AB2" s="27" t="s">
        <v>39</v>
      </c>
      <c r="AC2" s="27" t="s">
        <v>40</v>
      </c>
      <c r="AD2" s="27" t="s">
        <v>41</v>
      </c>
      <c r="AE2" s="28" t="s">
        <v>33</v>
      </c>
      <c r="AF2" s="28" t="s">
        <v>34</v>
      </c>
      <c r="AG2" s="28" t="s">
        <v>35</v>
      </c>
      <c r="AH2" s="28" t="s">
        <v>33</v>
      </c>
      <c r="AI2" s="28" t="s">
        <v>34</v>
      </c>
      <c r="AJ2" s="28" t="s">
        <v>35</v>
      </c>
      <c r="AK2" s="29"/>
      <c r="AL2" s="29"/>
      <c r="AM2" s="29"/>
      <c r="AN2" s="29"/>
      <c r="AO2" s="25"/>
      <c r="AP2" s="25"/>
      <c r="AQ2" s="26"/>
      <c r="AR2" s="30"/>
      <c r="AS2" s="29"/>
    </row>
    <row r="3" spans="1:45" ht="58.5" customHeight="1" x14ac:dyDescent="0.25">
      <c r="A3" s="32" t="s">
        <v>42</v>
      </c>
      <c r="B3" s="33" t="s">
        <v>43</v>
      </c>
      <c r="C3" s="35">
        <v>1688</v>
      </c>
      <c r="D3" s="36"/>
      <c r="E3" s="37"/>
      <c r="F3" s="33">
        <v>45369</v>
      </c>
      <c r="G3" s="35" t="s">
        <v>44</v>
      </c>
      <c r="H3" s="37" t="s">
        <v>45</v>
      </c>
      <c r="I3" s="37" t="s">
        <v>46</v>
      </c>
      <c r="J3" s="38">
        <v>251931120</v>
      </c>
      <c r="K3" s="40">
        <v>0</v>
      </c>
      <c r="L3" s="38">
        <v>0</v>
      </c>
      <c r="M3" s="38" t="s">
        <v>43</v>
      </c>
      <c r="N3" s="41">
        <f>J3-O3</f>
        <v>0</v>
      </c>
      <c r="O3" s="38">
        <v>251931120</v>
      </c>
      <c r="P3" s="27">
        <f t="shared" ref="P3:Q18" si="0">O3</f>
        <v>251931120</v>
      </c>
      <c r="Q3" s="27">
        <f t="shared" si="0"/>
        <v>251931120</v>
      </c>
      <c r="R3" s="27">
        <f>Q3/U3</f>
        <v>155.13</v>
      </c>
      <c r="S3" s="38">
        <f>Q3/U3</f>
        <v>155.13</v>
      </c>
      <c r="T3" s="38">
        <f>S3*AR3</f>
        <v>1551.3</v>
      </c>
      <c r="U3" s="38">
        <f t="shared" ref="U3:U13" si="1">V3+W3+X3</f>
        <v>1624000</v>
      </c>
      <c r="V3" s="38">
        <v>210000</v>
      </c>
      <c r="W3" s="38">
        <v>462000</v>
      </c>
      <c r="X3" s="38">
        <v>952000</v>
      </c>
      <c r="Y3" s="38">
        <v>0</v>
      </c>
      <c r="Z3" s="38">
        <f t="shared" ref="Z3:Z75" si="2">Y3*S3</f>
        <v>0</v>
      </c>
      <c r="AA3" s="38">
        <v>0</v>
      </c>
      <c r="AB3" s="38">
        <f t="shared" ref="AB3:AB75" si="3">AA3*S3</f>
        <v>0</v>
      </c>
      <c r="AC3" s="38">
        <f>U3/AR3</f>
        <v>162400</v>
      </c>
      <c r="AD3" s="38">
        <f t="shared" ref="AD3:AD23" si="4">_xlfn.CEILING.MATH(AC3)</f>
        <v>162400</v>
      </c>
      <c r="AE3" s="33">
        <v>45413</v>
      </c>
      <c r="AF3" s="33">
        <v>45505</v>
      </c>
      <c r="AG3" s="33">
        <v>45611</v>
      </c>
      <c r="AH3" s="33">
        <v>45444</v>
      </c>
      <c r="AI3" s="33">
        <v>45536</v>
      </c>
      <c r="AJ3" s="42">
        <v>45641</v>
      </c>
      <c r="AK3" s="37" t="s">
        <v>47</v>
      </c>
      <c r="AL3" s="37" t="s">
        <v>48</v>
      </c>
      <c r="AM3" s="37" t="s">
        <v>49</v>
      </c>
      <c r="AN3" s="37" t="s">
        <v>50</v>
      </c>
      <c r="AO3" s="43">
        <v>100</v>
      </c>
      <c r="AP3" s="35">
        <v>0</v>
      </c>
      <c r="AQ3" s="35" t="s">
        <v>51</v>
      </c>
      <c r="AR3" s="44">
        <v>10</v>
      </c>
      <c r="AS3" s="37" t="s">
        <v>52</v>
      </c>
    </row>
    <row r="4" spans="1:45" ht="58.5" customHeight="1" x14ac:dyDescent="0.25">
      <c r="A4" s="32" t="s">
        <v>42</v>
      </c>
      <c r="B4" s="33" t="s">
        <v>43</v>
      </c>
      <c r="C4" s="35">
        <v>1688</v>
      </c>
      <c r="D4" s="36"/>
      <c r="E4" s="37"/>
      <c r="F4" s="33">
        <v>45376</v>
      </c>
      <c r="G4" s="35" t="s">
        <v>53</v>
      </c>
      <c r="H4" s="37" t="s">
        <v>45</v>
      </c>
      <c r="I4" s="37" t="s">
        <v>54</v>
      </c>
      <c r="J4" s="38">
        <v>107705707.14</v>
      </c>
      <c r="K4" s="40">
        <v>0</v>
      </c>
      <c r="L4" s="38">
        <v>0</v>
      </c>
      <c r="M4" s="38" t="s">
        <v>43</v>
      </c>
      <c r="N4" s="41">
        <f>J4-O4</f>
        <v>0</v>
      </c>
      <c r="O4" s="38">
        <v>107705707.14</v>
      </c>
      <c r="P4" s="27">
        <f t="shared" si="0"/>
        <v>107705707.14</v>
      </c>
      <c r="Q4" s="27">
        <f t="shared" si="0"/>
        <v>107705707.14</v>
      </c>
      <c r="R4" s="27">
        <f>Q4/U4</f>
        <v>178.77</v>
      </c>
      <c r="S4" s="38">
        <f>Q4/U4</f>
        <v>178.77</v>
      </c>
      <c r="T4" s="38">
        <f>S4*AR4</f>
        <v>1787.7</v>
      </c>
      <c r="U4" s="38">
        <f t="shared" si="1"/>
        <v>602482</v>
      </c>
      <c r="V4" s="38">
        <v>266482</v>
      </c>
      <c r="W4" s="38">
        <v>336000</v>
      </c>
      <c r="X4" s="38">
        <v>0</v>
      </c>
      <c r="Y4" s="38">
        <v>0</v>
      </c>
      <c r="Z4" s="38">
        <f t="shared" si="2"/>
        <v>0</v>
      </c>
      <c r="AA4" s="38">
        <v>0</v>
      </c>
      <c r="AB4" s="38">
        <f t="shared" si="3"/>
        <v>0</v>
      </c>
      <c r="AC4" s="38">
        <f>U4/AR4</f>
        <v>60248.2</v>
      </c>
      <c r="AD4" s="38">
        <f t="shared" si="4"/>
        <v>60249</v>
      </c>
      <c r="AE4" s="33">
        <v>45412</v>
      </c>
      <c r="AF4" s="33">
        <v>45565</v>
      </c>
      <c r="AG4" s="33"/>
      <c r="AH4" s="33">
        <v>45442</v>
      </c>
      <c r="AI4" s="33">
        <v>45595</v>
      </c>
      <c r="AJ4" s="42"/>
      <c r="AK4" s="37" t="s">
        <v>55</v>
      </c>
      <c r="AL4" s="37" t="s">
        <v>48</v>
      </c>
      <c r="AM4" s="37" t="s">
        <v>56</v>
      </c>
      <c r="AN4" s="37" t="s">
        <v>50</v>
      </c>
      <c r="AO4" s="43">
        <v>100</v>
      </c>
      <c r="AP4" s="35">
        <v>0</v>
      </c>
      <c r="AQ4" s="35" t="s">
        <v>51</v>
      </c>
      <c r="AR4" s="44">
        <v>10</v>
      </c>
      <c r="AS4" s="37" t="s">
        <v>52</v>
      </c>
    </row>
    <row r="5" spans="1:45" ht="39" customHeight="1" x14ac:dyDescent="0.25">
      <c r="A5" s="32" t="s">
        <v>42</v>
      </c>
      <c r="B5" s="33" t="s">
        <v>43</v>
      </c>
      <c r="C5" s="35">
        <v>1688</v>
      </c>
      <c r="D5" s="36"/>
      <c r="E5" s="37"/>
      <c r="F5" s="33">
        <v>45376</v>
      </c>
      <c r="G5" s="35" t="s">
        <v>57</v>
      </c>
      <c r="H5" s="37" t="s">
        <v>45</v>
      </c>
      <c r="I5" s="37" t="s">
        <v>58</v>
      </c>
      <c r="J5" s="38">
        <v>15775211.880000001</v>
      </c>
      <c r="K5" s="40">
        <v>0</v>
      </c>
      <c r="L5" s="38">
        <v>0</v>
      </c>
      <c r="M5" s="38" t="s">
        <v>43</v>
      </c>
      <c r="N5" s="41">
        <f>J5-O5</f>
        <v>0</v>
      </c>
      <c r="O5" s="38">
        <v>15775211.880000001</v>
      </c>
      <c r="P5" s="27">
        <f t="shared" si="0"/>
        <v>15775211.880000001</v>
      </c>
      <c r="Q5" s="27">
        <f t="shared" si="0"/>
        <v>15775211.880000001</v>
      </c>
      <c r="R5" s="27">
        <f>Q5/U5</f>
        <v>77.94</v>
      </c>
      <c r="S5" s="38">
        <f>Q5/U5</f>
        <v>77.94</v>
      </c>
      <c r="T5" s="38">
        <f>S5*AR5</f>
        <v>779.4</v>
      </c>
      <c r="U5" s="38">
        <f t="shared" si="1"/>
        <v>202402</v>
      </c>
      <c r="V5" s="38">
        <v>202402</v>
      </c>
      <c r="W5" s="38">
        <v>0</v>
      </c>
      <c r="X5" s="38">
        <v>0</v>
      </c>
      <c r="Y5" s="38">
        <v>0</v>
      </c>
      <c r="Z5" s="38">
        <f t="shared" si="2"/>
        <v>0</v>
      </c>
      <c r="AA5" s="38">
        <v>0</v>
      </c>
      <c r="AB5" s="38">
        <f t="shared" si="3"/>
        <v>0</v>
      </c>
      <c r="AC5" s="38">
        <f>U5/AR5</f>
        <v>20240.2</v>
      </c>
      <c r="AD5" s="38">
        <f t="shared" si="4"/>
        <v>20241</v>
      </c>
      <c r="AE5" s="33">
        <v>45412</v>
      </c>
      <c r="AF5" s="33"/>
      <c r="AG5" s="33"/>
      <c r="AH5" s="33">
        <v>45442</v>
      </c>
      <c r="AI5" s="33"/>
      <c r="AJ5" s="42"/>
      <c r="AK5" s="37" t="s">
        <v>59</v>
      </c>
      <c r="AL5" s="37" t="s">
        <v>60</v>
      </c>
      <c r="AM5" s="37" t="s">
        <v>61</v>
      </c>
      <c r="AN5" s="37" t="s">
        <v>50</v>
      </c>
      <c r="AO5" s="43">
        <v>100</v>
      </c>
      <c r="AP5" s="35">
        <v>0</v>
      </c>
      <c r="AQ5" s="35" t="s">
        <v>51</v>
      </c>
      <c r="AR5" s="44">
        <v>10</v>
      </c>
      <c r="AS5" s="37" t="s">
        <v>52</v>
      </c>
    </row>
    <row r="6" spans="1:45" ht="42" customHeight="1" x14ac:dyDescent="0.25">
      <c r="A6" s="32" t="s">
        <v>42</v>
      </c>
      <c r="B6" s="33" t="s">
        <v>43</v>
      </c>
      <c r="C6" s="35">
        <v>1688</v>
      </c>
      <c r="D6" s="36"/>
      <c r="E6" s="37"/>
      <c r="F6" s="33">
        <v>45376</v>
      </c>
      <c r="G6" s="35" t="s">
        <v>62</v>
      </c>
      <c r="H6" s="37" t="s">
        <v>45</v>
      </c>
      <c r="I6" s="37" t="s">
        <v>63</v>
      </c>
      <c r="J6" s="38">
        <v>139840957.30000001</v>
      </c>
      <c r="K6" s="40">
        <v>0</v>
      </c>
      <c r="L6" s="38">
        <v>0</v>
      </c>
      <c r="M6" s="38" t="s">
        <v>43</v>
      </c>
      <c r="N6" s="41">
        <f>J6-O6</f>
        <v>0</v>
      </c>
      <c r="O6" s="38">
        <v>139840957.30000001</v>
      </c>
      <c r="P6" s="27">
        <f t="shared" si="0"/>
        <v>139840957.30000001</v>
      </c>
      <c r="Q6" s="27">
        <f t="shared" si="0"/>
        <v>139840957.30000001</v>
      </c>
      <c r="R6" s="27">
        <f>Q6/U6</f>
        <v>86.9</v>
      </c>
      <c r="S6" s="38">
        <f>Q6/U6</f>
        <v>86.9</v>
      </c>
      <c r="T6" s="38">
        <f>S6*AR6</f>
        <v>869</v>
      </c>
      <c r="U6" s="38">
        <f t="shared" si="1"/>
        <v>1609217</v>
      </c>
      <c r="V6" s="38">
        <v>1385881</v>
      </c>
      <c r="W6" s="38">
        <v>223336</v>
      </c>
      <c r="X6" s="38">
        <v>0</v>
      </c>
      <c r="Y6" s="38">
        <v>0</v>
      </c>
      <c r="Z6" s="38">
        <f t="shared" si="2"/>
        <v>0</v>
      </c>
      <c r="AA6" s="38">
        <v>0</v>
      </c>
      <c r="AB6" s="38">
        <f t="shared" si="3"/>
        <v>0</v>
      </c>
      <c r="AC6" s="38">
        <f>U6/AR6</f>
        <v>160921.70000000001</v>
      </c>
      <c r="AD6" s="38">
        <f t="shared" si="4"/>
        <v>160922</v>
      </c>
      <c r="AE6" s="33">
        <v>45412</v>
      </c>
      <c r="AF6" s="33">
        <v>45536</v>
      </c>
      <c r="AG6" s="33"/>
      <c r="AH6" s="33">
        <v>45442</v>
      </c>
      <c r="AI6" s="33">
        <v>45566</v>
      </c>
      <c r="AJ6" s="42"/>
      <c r="AK6" s="37" t="s">
        <v>59</v>
      </c>
      <c r="AL6" s="37" t="s">
        <v>64</v>
      </c>
      <c r="AM6" s="37" t="s">
        <v>61</v>
      </c>
      <c r="AN6" s="37" t="s">
        <v>50</v>
      </c>
      <c r="AO6" s="43">
        <v>100</v>
      </c>
      <c r="AP6" s="35">
        <v>0</v>
      </c>
      <c r="AQ6" s="35" t="s">
        <v>51</v>
      </c>
      <c r="AR6" s="44">
        <v>10</v>
      </c>
      <c r="AS6" s="37" t="s">
        <v>52</v>
      </c>
    </row>
    <row r="7" spans="1:45" ht="42" customHeight="1" x14ac:dyDescent="0.25">
      <c r="A7" s="32" t="s">
        <v>42</v>
      </c>
      <c r="B7" s="33" t="s">
        <v>43</v>
      </c>
      <c r="C7" s="35">
        <v>1688</v>
      </c>
      <c r="D7" s="36"/>
      <c r="E7" s="37"/>
      <c r="F7" s="33">
        <v>45376</v>
      </c>
      <c r="G7" s="35" t="s">
        <v>65</v>
      </c>
      <c r="H7" s="37" t="s">
        <v>45</v>
      </c>
      <c r="I7" s="37" t="s">
        <v>66</v>
      </c>
      <c r="J7" s="38">
        <v>1187269.1100000001</v>
      </c>
      <c r="K7" s="40">
        <v>0</v>
      </c>
      <c r="L7" s="38">
        <v>0</v>
      </c>
      <c r="M7" s="38" t="s">
        <v>43</v>
      </c>
      <c r="N7" s="41">
        <f>J7-O7</f>
        <v>0</v>
      </c>
      <c r="O7" s="38">
        <v>1187269.1100000001</v>
      </c>
      <c r="P7" s="27">
        <f t="shared" si="0"/>
        <v>1187269.1100000001</v>
      </c>
      <c r="Q7" s="27">
        <f t="shared" si="0"/>
        <v>1187269.1100000001</v>
      </c>
      <c r="R7" s="27">
        <f>Q7/U7</f>
        <v>28.230000000000004</v>
      </c>
      <c r="S7" s="38">
        <f>Q7/U7</f>
        <v>28.230000000000004</v>
      </c>
      <c r="T7" s="38">
        <f>S7*AR7</f>
        <v>564.60000000000014</v>
      </c>
      <c r="U7" s="38">
        <f t="shared" si="1"/>
        <v>42057</v>
      </c>
      <c r="V7" s="38">
        <v>42057</v>
      </c>
      <c r="W7" s="38">
        <v>0</v>
      </c>
      <c r="X7" s="38">
        <v>0</v>
      </c>
      <c r="Y7" s="38">
        <v>0</v>
      </c>
      <c r="Z7" s="38">
        <f t="shared" si="2"/>
        <v>0</v>
      </c>
      <c r="AA7" s="38">
        <v>0</v>
      </c>
      <c r="AB7" s="38">
        <f t="shared" si="3"/>
        <v>0</v>
      </c>
      <c r="AC7" s="38">
        <f>U7/AR7</f>
        <v>2102.85</v>
      </c>
      <c r="AD7" s="38">
        <f t="shared" si="4"/>
        <v>2103</v>
      </c>
      <c r="AE7" s="33">
        <v>45412</v>
      </c>
      <c r="AF7" s="33"/>
      <c r="AG7" s="33"/>
      <c r="AH7" s="33">
        <v>45442</v>
      </c>
      <c r="AI7" s="33"/>
      <c r="AJ7" s="42"/>
      <c r="AK7" s="37" t="s">
        <v>67</v>
      </c>
      <c r="AL7" s="37" t="s">
        <v>68</v>
      </c>
      <c r="AM7" s="37" t="s">
        <v>69</v>
      </c>
      <c r="AN7" s="37" t="s">
        <v>50</v>
      </c>
      <c r="AO7" s="43">
        <v>100</v>
      </c>
      <c r="AP7" s="35">
        <v>0</v>
      </c>
      <c r="AQ7" s="35" t="s">
        <v>51</v>
      </c>
      <c r="AR7" s="44">
        <v>20</v>
      </c>
      <c r="AS7" s="37" t="s">
        <v>52</v>
      </c>
    </row>
    <row r="8" spans="1:45" ht="42" customHeight="1" x14ac:dyDescent="0.25">
      <c r="A8" s="32" t="s">
        <v>42</v>
      </c>
      <c r="B8" s="33" t="s">
        <v>43</v>
      </c>
      <c r="C8" s="35">
        <v>1688</v>
      </c>
      <c r="D8" s="36"/>
      <c r="E8" s="37"/>
      <c r="F8" s="33">
        <v>45376</v>
      </c>
      <c r="G8" s="35" t="s">
        <v>70</v>
      </c>
      <c r="H8" s="37" t="s">
        <v>45</v>
      </c>
      <c r="I8" s="37" t="s">
        <v>71</v>
      </c>
      <c r="J8" s="38">
        <v>41956309.329999998</v>
      </c>
      <c r="K8" s="40">
        <v>0</v>
      </c>
      <c r="L8" s="38">
        <v>0</v>
      </c>
      <c r="M8" s="38" t="s">
        <v>43</v>
      </c>
      <c r="N8" s="41">
        <f>J8-O8</f>
        <v>0</v>
      </c>
      <c r="O8" s="38">
        <v>41956309.329999998</v>
      </c>
      <c r="P8" s="27">
        <f t="shared" si="0"/>
        <v>41956309.329999998</v>
      </c>
      <c r="Q8" s="27">
        <f t="shared" si="0"/>
        <v>41956309.329999998</v>
      </c>
      <c r="R8" s="27">
        <f>Q8/U8</f>
        <v>36.79</v>
      </c>
      <c r="S8" s="38">
        <f>Q8/U8</f>
        <v>36.79</v>
      </c>
      <c r="T8" s="38">
        <f>S8*AR8</f>
        <v>735.8</v>
      </c>
      <c r="U8" s="38">
        <f t="shared" si="1"/>
        <v>1140427</v>
      </c>
      <c r="V8" s="38">
        <v>1000620</v>
      </c>
      <c r="W8" s="38">
        <v>139807</v>
      </c>
      <c r="X8" s="38">
        <v>0</v>
      </c>
      <c r="Y8" s="38">
        <v>0</v>
      </c>
      <c r="Z8" s="38">
        <f t="shared" si="2"/>
        <v>0</v>
      </c>
      <c r="AA8" s="38">
        <v>0</v>
      </c>
      <c r="AB8" s="38">
        <f t="shared" si="3"/>
        <v>0</v>
      </c>
      <c r="AC8" s="38">
        <f>U8/AR8</f>
        <v>57021.35</v>
      </c>
      <c r="AD8" s="38">
        <f t="shared" si="4"/>
        <v>57022</v>
      </c>
      <c r="AE8" s="33">
        <v>45412</v>
      </c>
      <c r="AF8" s="33">
        <v>45535</v>
      </c>
      <c r="AG8" s="33"/>
      <c r="AH8" s="33">
        <v>45442</v>
      </c>
      <c r="AI8" s="33">
        <v>45566</v>
      </c>
      <c r="AJ8" s="42"/>
      <c r="AK8" s="37" t="s">
        <v>72</v>
      </c>
      <c r="AL8" s="37" t="s">
        <v>73</v>
      </c>
      <c r="AM8" s="37" t="s">
        <v>74</v>
      </c>
      <c r="AN8" s="37" t="s">
        <v>50</v>
      </c>
      <c r="AO8" s="43">
        <v>100</v>
      </c>
      <c r="AP8" s="35">
        <v>0</v>
      </c>
      <c r="AQ8" s="35" t="s">
        <v>51</v>
      </c>
      <c r="AR8" s="44">
        <v>20</v>
      </c>
      <c r="AS8" s="37" t="s">
        <v>52</v>
      </c>
    </row>
    <row r="9" spans="1:45" ht="42.75" customHeight="1" x14ac:dyDescent="0.25">
      <c r="A9" s="32" t="s">
        <v>42</v>
      </c>
      <c r="B9" s="33" t="s">
        <v>43</v>
      </c>
      <c r="C9" s="35">
        <v>1688</v>
      </c>
      <c r="D9" s="36"/>
      <c r="E9" s="37"/>
      <c r="F9" s="33">
        <v>45376</v>
      </c>
      <c r="G9" s="35" t="s">
        <v>75</v>
      </c>
      <c r="H9" s="37" t="s">
        <v>45</v>
      </c>
      <c r="I9" s="37" t="s">
        <v>76</v>
      </c>
      <c r="J9" s="38">
        <v>10489944.300000001</v>
      </c>
      <c r="K9" s="40">
        <v>0</v>
      </c>
      <c r="L9" s="38">
        <v>0</v>
      </c>
      <c r="M9" s="38" t="s">
        <v>43</v>
      </c>
      <c r="N9" s="41">
        <f>J9-O9</f>
        <v>0</v>
      </c>
      <c r="O9" s="38">
        <v>10489944.300000001</v>
      </c>
      <c r="P9" s="27">
        <f t="shared" si="0"/>
        <v>10489944.300000001</v>
      </c>
      <c r="Q9" s="27">
        <f t="shared" si="0"/>
        <v>10489944.300000001</v>
      </c>
      <c r="R9" s="27">
        <f>Q9/U9</f>
        <v>127.10000000000001</v>
      </c>
      <c r="S9" s="38">
        <f>Q9/U9</f>
        <v>127.10000000000001</v>
      </c>
      <c r="T9" s="38">
        <f>S9*AR9</f>
        <v>1271</v>
      </c>
      <c r="U9" s="38">
        <f t="shared" si="1"/>
        <v>82533</v>
      </c>
      <c r="V9" s="38">
        <v>82533</v>
      </c>
      <c r="W9" s="38">
        <v>0</v>
      </c>
      <c r="X9" s="38">
        <v>0</v>
      </c>
      <c r="Y9" s="38">
        <v>0</v>
      </c>
      <c r="Z9" s="38">
        <f t="shared" si="2"/>
        <v>0</v>
      </c>
      <c r="AA9" s="38">
        <v>0</v>
      </c>
      <c r="AB9" s="38">
        <f t="shared" si="3"/>
        <v>0</v>
      </c>
      <c r="AC9" s="38">
        <f>U9/AR9</f>
        <v>8253.2999999999993</v>
      </c>
      <c r="AD9" s="38">
        <f t="shared" si="4"/>
        <v>8254</v>
      </c>
      <c r="AE9" s="33">
        <v>45536</v>
      </c>
      <c r="AF9" s="33"/>
      <c r="AG9" s="33"/>
      <c r="AH9" s="33">
        <v>45566</v>
      </c>
      <c r="AI9" s="33"/>
      <c r="AJ9" s="42"/>
      <c r="AK9" s="37" t="s">
        <v>77</v>
      </c>
      <c r="AL9" s="37" t="s">
        <v>78</v>
      </c>
      <c r="AM9" s="37" t="s">
        <v>79</v>
      </c>
      <c r="AN9" s="37" t="s">
        <v>50</v>
      </c>
      <c r="AO9" s="43">
        <v>100</v>
      </c>
      <c r="AP9" s="35">
        <v>0</v>
      </c>
      <c r="AQ9" s="35" t="s">
        <v>51</v>
      </c>
      <c r="AR9" s="44">
        <v>10</v>
      </c>
      <c r="AS9" s="37" t="s">
        <v>52</v>
      </c>
    </row>
    <row r="10" spans="1:45" ht="42.75" customHeight="1" x14ac:dyDescent="0.25">
      <c r="A10" s="32" t="s">
        <v>42</v>
      </c>
      <c r="B10" s="33" t="s">
        <v>43</v>
      </c>
      <c r="C10" s="35">
        <v>1688</v>
      </c>
      <c r="D10" s="36"/>
      <c r="E10" s="37"/>
      <c r="F10" s="33">
        <v>45376</v>
      </c>
      <c r="G10" s="35" t="s">
        <v>80</v>
      </c>
      <c r="H10" s="37" t="s">
        <v>45</v>
      </c>
      <c r="I10" s="37" t="s">
        <v>81</v>
      </c>
      <c r="J10" s="38">
        <v>446779980.66000003</v>
      </c>
      <c r="K10" s="40">
        <v>0</v>
      </c>
      <c r="L10" s="38">
        <v>0</v>
      </c>
      <c r="M10" s="38" t="s">
        <v>43</v>
      </c>
      <c r="N10" s="41">
        <f>J10-O10</f>
        <v>0</v>
      </c>
      <c r="O10" s="38">
        <v>446779980.66000003</v>
      </c>
      <c r="P10" s="27">
        <f t="shared" si="0"/>
        <v>446779980.66000003</v>
      </c>
      <c r="Q10" s="27">
        <f t="shared" si="0"/>
        <v>446779980.66000003</v>
      </c>
      <c r="R10" s="27">
        <f>Q10/U10</f>
        <v>39.630000000000003</v>
      </c>
      <c r="S10" s="38">
        <f>Q10/U10</f>
        <v>39.630000000000003</v>
      </c>
      <c r="T10" s="38">
        <f>S10*AR10</f>
        <v>792.6</v>
      </c>
      <c r="U10" s="38">
        <f t="shared" si="1"/>
        <v>11273782</v>
      </c>
      <c r="V10" s="38">
        <v>4697400</v>
      </c>
      <c r="W10" s="38">
        <v>6553982</v>
      </c>
      <c r="X10" s="38">
        <v>22400</v>
      </c>
      <c r="Y10" s="38">
        <v>0</v>
      </c>
      <c r="Z10" s="38">
        <f t="shared" si="2"/>
        <v>0</v>
      </c>
      <c r="AA10" s="38">
        <v>0</v>
      </c>
      <c r="AB10" s="38">
        <f t="shared" si="3"/>
        <v>0</v>
      </c>
      <c r="AC10" s="38">
        <f>U10/AR10</f>
        <v>563689.1</v>
      </c>
      <c r="AD10" s="38">
        <f t="shared" si="4"/>
        <v>563690</v>
      </c>
      <c r="AE10" s="33">
        <v>45412</v>
      </c>
      <c r="AF10" s="33">
        <v>45565</v>
      </c>
      <c r="AG10" s="33">
        <v>45626</v>
      </c>
      <c r="AH10" s="33">
        <v>45442</v>
      </c>
      <c r="AI10" s="33">
        <v>45595</v>
      </c>
      <c r="AJ10" s="42">
        <v>45641</v>
      </c>
      <c r="AK10" s="37" t="s">
        <v>82</v>
      </c>
      <c r="AL10" s="37" t="s">
        <v>83</v>
      </c>
      <c r="AM10" s="37" t="s">
        <v>84</v>
      </c>
      <c r="AN10" s="37" t="s">
        <v>50</v>
      </c>
      <c r="AO10" s="43">
        <v>100</v>
      </c>
      <c r="AP10" s="35">
        <v>0</v>
      </c>
      <c r="AQ10" s="35" t="s">
        <v>51</v>
      </c>
      <c r="AR10" s="44">
        <v>20</v>
      </c>
      <c r="AS10" s="37" t="s">
        <v>52</v>
      </c>
    </row>
    <row r="11" spans="1:45" ht="42.75" customHeight="1" x14ac:dyDescent="0.25">
      <c r="A11" s="32" t="s">
        <v>42</v>
      </c>
      <c r="B11" s="33" t="s">
        <v>43</v>
      </c>
      <c r="C11" s="35">
        <v>1688</v>
      </c>
      <c r="D11" s="36"/>
      <c r="E11" s="37"/>
      <c r="F11" s="33">
        <v>45376</v>
      </c>
      <c r="G11" s="35" t="s">
        <v>85</v>
      </c>
      <c r="H11" s="37" t="s">
        <v>45</v>
      </c>
      <c r="I11" s="37" t="s">
        <v>86</v>
      </c>
      <c r="J11" s="38">
        <v>189735733.08000001</v>
      </c>
      <c r="K11" s="40">
        <v>0</v>
      </c>
      <c r="L11" s="38">
        <v>0</v>
      </c>
      <c r="M11" s="38" t="s">
        <v>43</v>
      </c>
      <c r="N11" s="41">
        <f>J11-O11</f>
        <v>0</v>
      </c>
      <c r="O11" s="38">
        <v>189735733.08000001</v>
      </c>
      <c r="P11" s="27">
        <v>191045904.47999999</v>
      </c>
      <c r="Q11" s="27">
        <f t="shared" si="0"/>
        <v>191045904.47999999</v>
      </c>
      <c r="R11" s="27">
        <f>Q11/U11</f>
        <v>77.94</v>
      </c>
      <c r="S11" s="38">
        <f>Q11/U11</f>
        <v>77.94</v>
      </c>
      <c r="T11" s="38">
        <f>S11*AR11</f>
        <v>779.4</v>
      </c>
      <c r="U11" s="38">
        <f t="shared" si="1"/>
        <v>2451192</v>
      </c>
      <c r="V11" s="38">
        <f>2434382+16810</f>
        <v>2451192</v>
      </c>
      <c r="W11" s="38">
        <v>0</v>
      </c>
      <c r="X11" s="38">
        <v>0</v>
      </c>
      <c r="Y11" s="38">
        <v>0</v>
      </c>
      <c r="Z11" s="38">
        <f t="shared" si="2"/>
        <v>0</v>
      </c>
      <c r="AA11" s="38">
        <v>0</v>
      </c>
      <c r="AB11" s="38">
        <f t="shared" si="3"/>
        <v>0</v>
      </c>
      <c r="AC11" s="38">
        <f>U11/AR11</f>
        <v>245119.2</v>
      </c>
      <c r="AD11" s="38">
        <f t="shared" si="4"/>
        <v>245120</v>
      </c>
      <c r="AE11" s="33">
        <v>45412</v>
      </c>
      <c r="AF11" s="33"/>
      <c r="AG11" s="33"/>
      <c r="AH11" s="33">
        <v>45442</v>
      </c>
      <c r="AI11" s="33"/>
      <c r="AJ11" s="42"/>
      <c r="AK11" s="37" t="s">
        <v>59</v>
      </c>
      <c r="AL11" s="37" t="s">
        <v>60</v>
      </c>
      <c r="AM11" s="37" t="s">
        <v>61</v>
      </c>
      <c r="AN11" s="37" t="s">
        <v>50</v>
      </c>
      <c r="AO11" s="43">
        <v>100</v>
      </c>
      <c r="AP11" s="35">
        <v>0</v>
      </c>
      <c r="AQ11" s="35" t="s">
        <v>51</v>
      </c>
      <c r="AR11" s="44">
        <v>10</v>
      </c>
      <c r="AS11" s="37" t="s">
        <v>52</v>
      </c>
    </row>
    <row r="12" spans="1:45" ht="57" customHeight="1" x14ac:dyDescent="0.25">
      <c r="A12" s="32" t="s">
        <v>42</v>
      </c>
      <c r="B12" s="33" t="s">
        <v>43</v>
      </c>
      <c r="C12" s="35">
        <v>1688</v>
      </c>
      <c r="D12" s="36"/>
      <c r="E12" s="37"/>
      <c r="F12" s="33">
        <v>45385</v>
      </c>
      <c r="G12" s="35" t="s">
        <v>87</v>
      </c>
      <c r="H12" s="37" t="s">
        <v>45</v>
      </c>
      <c r="I12" s="37" t="s">
        <v>88</v>
      </c>
      <c r="J12" s="38">
        <v>242434400</v>
      </c>
      <c r="K12" s="40">
        <v>0</v>
      </c>
      <c r="L12" s="38">
        <v>0</v>
      </c>
      <c r="M12" s="38" t="s">
        <v>43</v>
      </c>
      <c r="N12" s="41">
        <v>0</v>
      </c>
      <c r="O12" s="38">
        <v>116555000</v>
      </c>
      <c r="P12" s="27">
        <f t="shared" si="0"/>
        <v>116555000</v>
      </c>
      <c r="Q12" s="38">
        <v>242434400</v>
      </c>
      <c r="R12" s="27">
        <f>Q12/U12</f>
        <v>233.11</v>
      </c>
      <c r="S12" s="38">
        <f>Q12/U12</f>
        <v>233.11</v>
      </c>
      <c r="T12" s="38">
        <f>S12*AR12</f>
        <v>2331.1000000000004</v>
      </c>
      <c r="U12" s="38">
        <f>V12+W12+X12+270000+270000</f>
        <v>1040000</v>
      </c>
      <c r="V12" s="38">
        <v>351000</v>
      </c>
      <c r="W12" s="38">
        <v>149000</v>
      </c>
      <c r="X12" s="38">
        <v>0</v>
      </c>
      <c r="Y12" s="38">
        <v>0</v>
      </c>
      <c r="Z12" s="38">
        <f t="shared" si="2"/>
        <v>0</v>
      </c>
      <c r="AA12" s="38">
        <v>0</v>
      </c>
      <c r="AB12" s="38">
        <f t="shared" si="3"/>
        <v>0</v>
      </c>
      <c r="AC12" s="38">
        <f>U12/AR12</f>
        <v>104000</v>
      </c>
      <c r="AD12" s="38">
        <f t="shared" si="4"/>
        <v>104000</v>
      </c>
      <c r="AE12" s="33">
        <v>45596</v>
      </c>
      <c r="AF12" s="33">
        <v>45646</v>
      </c>
      <c r="AG12" s="33"/>
      <c r="AH12" s="33">
        <v>45626</v>
      </c>
      <c r="AI12" s="33">
        <v>45647</v>
      </c>
      <c r="AJ12" s="42"/>
      <c r="AK12" s="37" t="s">
        <v>89</v>
      </c>
      <c r="AL12" s="37" t="s">
        <v>90</v>
      </c>
      <c r="AM12" s="37" t="s">
        <v>91</v>
      </c>
      <c r="AN12" s="37" t="s">
        <v>50</v>
      </c>
      <c r="AO12" s="43">
        <v>100</v>
      </c>
      <c r="AP12" s="35">
        <v>0</v>
      </c>
      <c r="AQ12" s="35" t="s">
        <v>51</v>
      </c>
      <c r="AR12" s="44">
        <v>10</v>
      </c>
      <c r="AS12" s="37" t="s">
        <v>52</v>
      </c>
    </row>
    <row r="13" spans="1:45" ht="54.75" customHeight="1" x14ac:dyDescent="0.25">
      <c r="A13" s="32" t="s">
        <v>42</v>
      </c>
      <c r="B13" s="33" t="s">
        <v>43</v>
      </c>
      <c r="C13" s="35">
        <v>1688</v>
      </c>
      <c r="D13" s="36"/>
      <c r="E13" s="37"/>
      <c r="F13" s="33">
        <v>45385</v>
      </c>
      <c r="G13" s="35" t="s">
        <v>92</v>
      </c>
      <c r="H13" s="37" t="s">
        <v>45</v>
      </c>
      <c r="I13" s="37" t="s">
        <v>93</v>
      </c>
      <c r="J13" s="38">
        <v>22240485.420000002</v>
      </c>
      <c r="K13" s="40">
        <v>0</v>
      </c>
      <c r="L13" s="38">
        <v>0</v>
      </c>
      <c r="M13" s="38" t="s">
        <v>43</v>
      </c>
      <c r="N13" s="41">
        <v>0</v>
      </c>
      <c r="O13" s="38">
        <v>16629585.42</v>
      </c>
      <c r="P13" s="27">
        <f t="shared" si="0"/>
        <v>16629585.42</v>
      </c>
      <c r="Q13" s="38">
        <v>22240485.420000002</v>
      </c>
      <c r="R13" s="27">
        <f>Q13/U13</f>
        <v>187.03</v>
      </c>
      <c r="S13" s="38">
        <f>Q13/U13</f>
        <v>187.03</v>
      </c>
      <c r="T13" s="38">
        <f>S13*AR13</f>
        <v>1870.3</v>
      </c>
      <c r="U13" s="38">
        <f t="shared" si="1"/>
        <v>118914</v>
      </c>
      <c r="V13" s="38">
        <v>88914</v>
      </c>
      <c r="W13" s="38">
        <v>30000</v>
      </c>
      <c r="X13" s="38">
        <v>0</v>
      </c>
      <c r="Y13" s="38">
        <v>0</v>
      </c>
      <c r="Z13" s="38">
        <f t="shared" si="2"/>
        <v>0</v>
      </c>
      <c r="AA13" s="38">
        <v>0</v>
      </c>
      <c r="AB13" s="38">
        <f t="shared" si="3"/>
        <v>0</v>
      </c>
      <c r="AC13" s="38">
        <f>U13/AR13</f>
        <v>11891.4</v>
      </c>
      <c r="AD13" s="38">
        <f t="shared" si="4"/>
        <v>11892</v>
      </c>
      <c r="AE13" s="33">
        <v>45626</v>
      </c>
      <c r="AF13" s="33"/>
      <c r="AG13" s="33"/>
      <c r="AH13" s="33">
        <v>45641</v>
      </c>
      <c r="AI13" s="33"/>
      <c r="AJ13" s="42"/>
      <c r="AK13" s="37" t="s">
        <v>94</v>
      </c>
      <c r="AL13" s="37" t="s">
        <v>90</v>
      </c>
      <c r="AM13" s="37" t="s">
        <v>95</v>
      </c>
      <c r="AN13" s="37" t="s">
        <v>50</v>
      </c>
      <c r="AO13" s="43">
        <v>100</v>
      </c>
      <c r="AP13" s="35">
        <v>0</v>
      </c>
      <c r="AQ13" s="35" t="s">
        <v>51</v>
      </c>
      <c r="AR13" s="44">
        <v>10</v>
      </c>
      <c r="AS13" s="37" t="s">
        <v>52</v>
      </c>
    </row>
    <row r="14" spans="1:45" ht="47.25" customHeight="1" x14ac:dyDescent="0.25">
      <c r="A14" s="32" t="s">
        <v>42</v>
      </c>
      <c r="B14" s="33" t="s">
        <v>43</v>
      </c>
      <c r="C14" s="35">
        <v>1688</v>
      </c>
      <c r="D14" s="36"/>
      <c r="E14" s="37"/>
      <c r="F14" s="33">
        <v>45385</v>
      </c>
      <c r="G14" s="35" t="s">
        <v>96</v>
      </c>
      <c r="H14" s="37" t="s">
        <v>45</v>
      </c>
      <c r="I14" s="37" t="s">
        <v>97</v>
      </c>
      <c r="J14" s="38">
        <v>66398524.280000001</v>
      </c>
      <c r="K14" s="40">
        <v>0</v>
      </c>
      <c r="L14" s="38">
        <v>0</v>
      </c>
      <c r="M14" s="38" t="s">
        <v>43</v>
      </c>
      <c r="N14" s="41">
        <v>0</v>
      </c>
      <c r="O14" s="38">
        <v>27879570.18</v>
      </c>
      <c r="P14" s="27">
        <f t="shared" si="0"/>
        <v>27879570.18</v>
      </c>
      <c r="Q14" s="38">
        <v>66398524.280000001</v>
      </c>
      <c r="R14" s="27">
        <f>Q14/U14</f>
        <v>24.86</v>
      </c>
      <c r="S14" s="38">
        <f>Q14/U14</f>
        <v>24.86</v>
      </c>
      <c r="T14" s="38">
        <f>S14*AR14</f>
        <v>1243</v>
      </c>
      <c r="U14" s="38">
        <v>2670898</v>
      </c>
      <c r="V14" s="38">
        <v>47400</v>
      </c>
      <c r="W14" s="38">
        <v>289891</v>
      </c>
      <c r="X14" s="39" t="s">
        <v>98</v>
      </c>
      <c r="Y14" s="38">
        <v>0</v>
      </c>
      <c r="Z14" s="38">
        <f t="shared" si="2"/>
        <v>0</v>
      </c>
      <c r="AA14" s="38">
        <v>0</v>
      </c>
      <c r="AB14" s="38">
        <f t="shared" si="3"/>
        <v>0</v>
      </c>
      <c r="AC14" s="38">
        <f>U14/AR14</f>
        <v>53417.96</v>
      </c>
      <c r="AD14" s="38">
        <f t="shared" si="4"/>
        <v>53418</v>
      </c>
      <c r="AE14" s="33">
        <v>45427</v>
      </c>
      <c r="AF14" s="33">
        <v>45535</v>
      </c>
      <c r="AG14" s="42" t="s">
        <v>99</v>
      </c>
      <c r="AH14" s="33">
        <v>45458</v>
      </c>
      <c r="AI14" s="33">
        <v>45565</v>
      </c>
      <c r="AJ14" s="42" t="s">
        <v>100</v>
      </c>
      <c r="AK14" s="37" t="s">
        <v>101</v>
      </c>
      <c r="AL14" s="37" t="s">
        <v>102</v>
      </c>
      <c r="AM14" s="37" t="s">
        <v>103</v>
      </c>
      <c r="AN14" s="37" t="s">
        <v>50</v>
      </c>
      <c r="AO14" s="43">
        <v>100</v>
      </c>
      <c r="AP14" s="35">
        <v>0</v>
      </c>
      <c r="AQ14" s="35" t="s">
        <v>51</v>
      </c>
      <c r="AR14" s="44">
        <v>50</v>
      </c>
      <c r="AS14" s="37" t="s">
        <v>52</v>
      </c>
    </row>
    <row r="15" spans="1:45" ht="52.5" customHeight="1" x14ac:dyDescent="0.25">
      <c r="A15" s="32" t="s">
        <v>42</v>
      </c>
      <c r="B15" s="33" t="s">
        <v>43</v>
      </c>
      <c r="C15" s="35">
        <v>1688</v>
      </c>
      <c r="D15" s="36"/>
      <c r="E15" s="37"/>
      <c r="F15" s="33">
        <v>45385</v>
      </c>
      <c r="G15" s="35" t="s">
        <v>104</v>
      </c>
      <c r="H15" s="37" t="s">
        <v>45</v>
      </c>
      <c r="I15" s="37" t="s">
        <v>105</v>
      </c>
      <c r="J15" s="38">
        <v>101680610.64</v>
      </c>
      <c r="K15" s="40">
        <v>0</v>
      </c>
      <c r="L15" s="38">
        <v>0</v>
      </c>
      <c r="M15" s="38" t="s">
        <v>43</v>
      </c>
      <c r="N15" s="41">
        <v>0</v>
      </c>
      <c r="O15" s="38">
        <v>43580022.920000002</v>
      </c>
      <c r="P15" s="27">
        <f t="shared" si="0"/>
        <v>43580022.920000002</v>
      </c>
      <c r="Q15" s="38">
        <v>101680610.64</v>
      </c>
      <c r="R15" s="27">
        <f>Q15/U15</f>
        <v>68.39</v>
      </c>
      <c r="S15" s="38">
        <f>Q15/U15</f>
        <v>68.39</v>
      </c>
      <c r="T15" s="38">
        <f>S15*AR15</f>
        <v>1367.8</v>
      </c>
      <c r="U15" s="38">
        <v>1486776</v>
      </c>
      <c r="V15" s="38">
        <v>178820</v>
      </c>
      <c r="W15" s="38">
        <v>232000</v>
      </c>
      <c r="X15" s="38">
        <v>226408</v>
      </c>
      <c r="Y15" s="38">
        <v>0</v>
      </c>
      <c r="Z15" s="38">
        <f t="shared" si="2"/>
        <v>0</v>
      </c>
      <c r="AA15" s="38">
        <v>0</v>
      </c>
      <c r="AB15" s="38">
        <f t="shared" si="3"/>
        <v>0</v>
      </c>
      <c r="AC15" s="38">
        <f>U15/AR15</f>
        <v>74338.8</v>
      </c>
      <c r="AD15" s="38">
        <f t="shared" si="4"/>
        <v>74339</v>
      </c>
      <c r="AE15" s="33">
        <v>45427</v>
      </c>
      <c r="AF15" s="33">
        <v>45535</v>
      </c>
      <c r="AG15" s="33">
        <v>45626</v>
      </c>
      <c r="AH15" s="33">
        <v>45458</v>
      </c>
      <c r="AI15" s="33">
        <v>45565</v>
      </c>
      <c r="AJ15" s="42">
        <v>45641</v>
      </c>
      <c r="AK15" s="37" t="s">
        <v>106</v>
      </c>
      <c r="AL15" s="37" t="s">
        <v>107</v>
      </c>
      <c r="AM15" s="37" t="s">
        <v>108</v>
      </c>
      <c r="AN15" s="37" t="s">
        <v>50</v>
      </c>
      <c r="AO15" s="43">
        <v>100</v>
      </c>
      <c r="AP15" s="35">
        <v>0</v>
      </c>
      <c r="AQ15" s="35" t="s">
        <v>51</v>
      </c>
      <c r="AR15" s="44">
        <v>20</v>
      </c>
      <c r="AS15" s="37" t="s">
        <v>52</v>
      </c>
    </row>
    <row r="16" spans="1:45" ht="75" customHeight="1" x14ac:dyDescent="0.25">
      <c r="A16" s="32" t="s">
        <v>42</v>
      </c>
      <c r="B16" s="33" t="s">
        <v>43</v>
      </c>
      <c r="C16" s="35">
        <v>1688</v>
      </c>
      <c r="D16" s="36"/>
      <c r="E16" s="37"/>
      <c r="F16" s="33">
        <v>45385</v>
      </c>
      <c r="G16" s="35" t="s">
        <v>109</v>
      </c>
      <c r="H16" s="37" t="s">
        <v>45</v>
      </c>
      <c r="I16" s="37" t="s">
        <v>110</v>
      </c>
      <c r="J16" s="38">
        <v>1537201270</v>
      </c>
      <c r="K16" s="40">
        <v>0</v>
      </c>
      <c r="L16" s="38">
        <v>0</v>
      </c>
      <c r="M16" s="38" t="s">
        <v>43</v>
      </c>
      <c r="N16" s="41">
        <v>0</v>
      </c>
      <c r="O16" s="38">
        <v>554901270</v>
      </c>
      <c r="P16" s="27">
        <f t="shared" si="0"/>
        <v>554901270</v>
      </c>
      <c r="Q16" s="38">
        <v>1537201270</v>
      </c>
      <c r="R16" s="27">
        <f>Q16/U16</f>
        <v>491.15</v>
      </c>
      <c r="S16" s="38">
        <f>Q16/U16</f>
        <v>491.15</v>
      </c>
      <c r="T16" s="38">
        <f>S16*AR16</f>
        <v>4911.5</v>
      </c>
      <c r="U16" s="38">
        <v>3129800</v>
      </c>
      <c r="V16" s="38">
        <v>376600</v>
      </c>
      <c r="W16" s="38">
        <v>753200</v>
      </c>
      <c r="X16" s="38">
        <v>0</v>
      </c>
      <c r="Y16" s="38">
        <v>0</v>
      </c>
      <c r="Z16" s="38">
        <f t="shared" si="2"/>
        <v>0</v>
      </c>
      <c r="AA16" s="38">
        <v>0</v>
      </c>
      <c r="AB16" s="38">
        <f t="shared" si="3"/>
        <v>0</v>
      </c>
      <c r="AC16" s="38">
        <f>U16/AR16</f>
        <v>312980</v>
      </c>
      <c r="AD16" s="38">
        <f t="shared" si="4"/>
        <v>312980</v>
      </c>
      <c r="AE16" s="33">
        <v>45596</v>
      </c>
      <c r="AF16" s="33">
        <v>45636</v>
      </c>
      <c r="AG16" s="33"/>
      <c r="AH16" s="33">
        <v>45626</v>
      </c>
      <c r="AI16" s="33">
        <v>45643</v>
      </c>
      <c r="AJ16" s="42"/>
      <c r="AK16" s="37" t="s">
        <v>111</v>
      </c>
      <c r="AL16" s="37" t="s">
        <v>112</v>
      </c>
      <c r="AM16" s="37" t="s">
        <v>113</v>
      </c>
      <c r="AN16" s="37" t="s">
        <v>50</v>
      </c>
      <c r="AO16" s="43">
        <v>100</v>
      </c>
      <c r="AP16" s="35">
        <v>0</v>
      </c>
      <c r="AQ16" s="35" t="s">
        <v>51</v>
      </c>
      <c r="AR16" s="44">
        <v>10</v>
      </c>
      <c r="AS16" s="37" t="s">
        <v>52</v>
      </c>
    </row>
    <row r="17" spans="1:45" ht="58.5" customHeight="1" x14ac:dyDescent="0.25">
      <c r="A17" s="32" t="s">
        <v>42</v>
      </c>
      <c r="B17" s="33" t="s">
        <v>43</v>
      </c>
      <c r="C17" s="35">
        <v>1688</v>
      </c>
      <c r="D17" s="36"/>
      <c r="E17" s="37"/>
      <c r="F17" s="33">
        <v>45391</v>
      </c>
      <c r="G17" s="35" t="s">
        <v>114</v>
      </c>
      <c r="H17" s="37" t="s">
        <v>45</v>
      </c>
      <c r="I17" s="37" t="s">
        <v>115</v>
      </c>
      <c r="J17" s="38">
        <v>2406336264</v>
      </c>
      <c r="K17" s="40">
        <v>0</v>
      </c>
      <c r="L17" s="38">
        <v>0</v>
      </c>
      <c r="M17" s="38" t="s">
        <v>43</v>
      </c>
      <c r="N17" s="41">
        <v>0</v>
      </c>
      <c r="O17" s="38">
        <v>1203168132</v>
      </c>
      <c r="P17" s="27">
        <f t="shared" si="0"/>
        <v>1203168132</v>
      </c>
      <c r="Q17" s="27">
        <v>2406336264</v>
      </c>
      <c r="R17" s="27">
        <f>Q17/U17</f>
        <v>153</v>
      </c>
      <c r="S17" s="38">
        <f>Q17/U17</f>
        <v>153</v>
      </c>
      <c r="T17" s="38">
        <f>S17*AR17</f>
        <v>1530</v>
      </c>
      <c r="U17" s="38">
        <f t="shared" ref="U17" si="5">V17+W17+X17</f>
        <v>15727688</v>
      </c>
      <c r="V17" s="38">
        <v>7863844</v>
      </c>
      <c r="W17" s="38">
        <v>7863844</v>
      </c>
      <c r="X17" s="38">
        <v>0</v>
      </c>
      <c r="Y17" s="38">
        <v>0</v>
      </c>
      <c r="Z17" s="38">
        <f t="shared" si="2"/>
        <v>0</v>
      </c>
      <c r="AA17" s="38">
        <v>0</v>
      </c>
      <c r="AB17" s="38">
        <f t="shared" si="3"/>
        <v>0</v>
      </c>
      <c r="AC17" s="38">
        <f>U17/AR17</f>
        <v>1572768.8</v>
      </c>
      <c r="AD17" s="38">
        <f t="shared" si="4"/>
        <v>1572769</v>
      </c>
      <c r="AE17" s="33">
        <v>45565</v>
      </c>
      <c r="AF17" s="33"/>
      <c r="AG17" s="33"/>
      <c r="AH17" s="33">
        <v>45595</v>
      </c>
      <c r="AI17" s="33"/>
      <c r="AJ17" s="42"/>
      <c r="AK17" s="37" t="s">
        <v>116</v>
      </c>
      <c r="AL17" s="37" t="s">
        <v>117</v>
      </c>
      <c r="AM17" s="37" t="s">
        <v>118</v>
      </c>
      <c r="AN17" s="37" t="s">
        <v>50</v>
      </c>
      <c r="AO17" s="43">
        <v>100</v>
      </c>
      <c r="AP17" s="35">
        <v>0</v>
      </c>
      <c r="AQ17" s="35" t="s">
        <v>51</v>
      </c>
      <c r="AR17" s="44">
        <v>10</v>
      </c>
      <c r="AS17" s="37" t="s">
        <v>52</v>
      </c>
    </row>
    <row r="18" spans="1:45" ht="58.5" customHeight="1" x14ac:dyDescent="0.25">
      <c r="A18" s="32" t="s">
        <v>42</v>
      </c>
      <c r="B18" s="33" t="s">
        <v>43</v>
      </c>
      <c r="C18" s="35">
        <v>1688</v>
      </c>
      <c r="D18" s="36"/>
      <c r="E18" s="37"/>
      <c r="F18" s="33">
        <v>45391</v>
      </c>
      <c r="G18" s="35" t="s">
        <v>119</v>
      </c>
      <c r="H18" s="37" t="s">
        <v>45</v>
      </c>
      <c r="I18" s="37" t="s">
        <v>120</v>
      </c>
      <c r="J18" s="38">
        <v>182044940.06</v>
      </c>
      <c r="K18" s="40">
        <v>0</v>
      </c>
      <c r="L18" s="38">
        <v>0</v>
      </c>
      <c r="M18" s="38" t="s">
        <v>43</v>
      </c>
      <c r="N18" s="41">
        <v>0</v>
      </c>
      <c r="O18" s="38">
        <v>90193323.319999993</v>
      </c>
      <c r="P18" s="27">
        <f t="shared" si="0"/>
        <v>90193323.319999993</v>
      </c>
      <c r="Q18" s="38">
        <v>182044940.06</v>
      </c>
      <c r="R18" s="27">
        <f>Q18/U18</f>
        <v>15.67</v>
      </c>
      <c r="S18" s="38">
        <f>Q18/U18</f>
        <v>15.67</v>
      </c>
      <c r="T18" s="38">
        <f>S18*AR18</f>
        <v>1567</v>
      </c>
      <c r="U18" s="38">
        <v>11617418</v>
      </c>
      <c r="V18" s="38">
        <v>3419600</v>
      </c>
      <c r="W18" s="38">
        <v>461398</v>
      </c>
      <c r="X18" s="38">
        <v>1874798</v>
      </c>
      <c r="Y18" s="38">
        <v>0</v>
      </c>
      <c r="Z18" s="38">
        <f t="shared" si="2"/>
        <v>0</v>
      </c>
      <c r="AA18" s="38">
        <v>0</v>
      </c>
      <c r="AB18" s="38">
        <f t="shared" si="3"/>
        <v>0</v>
      </c>
      <c r="AC18" s="38">
        <f>U18/AR18</f>
        <v>116174.18</v>
      </c>
      <c r="AD18" s="38">
        <f t="shared" si="4"/>
        <v>116175</v>
      </c>
      <c r="AE18" s="33">
        <v>45535</v>
      </c>
      <c r="AF18" s="33">
        <v>45565</v>
      </c>
      <c r="AG18" s="33">
        <v>45627</v>
      </c>
      <c r="AH18" s="33">
        <v>45565</v>
      </c>
      <c r="AI18" s="33">
        <v>45595</v>
      </c>
      <c r="AJ18" s="42">
        <v>45641</v>
      </c>
      <c r="AK18" s="37" t="s">
        <v>121</v>
      </c>
      <c r="AL18" s="37" t="s">
        <v>122</v>
      </c>
      <c r="AM18" s="37" t="s">
        <v>123</v>
      </c>
      <c r="AN18" s="37" t="s">
        <v>50</v>
      </c>
      <c r="AO18" s="43">
        <v>100</v>
      </c>
      <c r="AP18" s="35">
        <v>0</v>
      </c>
      <c r="AQ18" s="35" t="s">
        <v>51</v>
      </c>
      <c r="AR18" s="44">
        <v>100</v>
      </c>
      <c r="AS18" s="37" t="s">
        <v>52</v>
      </c>
    </row>
    <row r="19" spans="1:45" ht="58.5" customHeight="1" x14ac:dyDescent="0.25">
      <c r="A19" s="32" t="s">
        <v>42</v>
      </c>
      <c r="B19" s="33" t="s">
        <v>43</v>
      </c>
      <c r="C19" s="35">
        <v>1688</v>
      </c>
      <c r="D19" s="36"/>
      <c r="E19" s="37"/>
      <c r="F19" s="33">
        <v>45392</v>
      </c>
      <c r="G19" s="35" t="s">
        <v>124</v>
      </c>
      <c r="H19" s="37" t="s">
        <v>45</v>
      </c>
      <c r="I19" s="37" t="s">
        <v>125</v>
      </c>
      <c r="J19" s="38">
        <v>9322964640</v>
      </c>
      <c r="K19" s="40">
        <v>0</v>
      </c>
      <c r="L19" s="38">
        <v>0</v>
      </c>
      <c r="M19" s="38" t="s">
        <v>43</v>
      </c>
      <c r="N19" s="41">
        <v>0</v>
      </c>
      <c r="O19" s="38">
        <v>4661482320</v>
      </c>
      <c r="P19" s="27">
        <f t="shared" ref="P19:P20" si="6">O19</f>
        <v>4661482320</v>
      </c>
      <c r="Q19" s="38">
        <v>9322964640</v>
      </c>
      <c r="R19" s="27">
        <f>Q19/U19</f>
        <v>330</v>
      </c>
      <c r="S19" s="38">
        <f>Q19/U19</f>
        <v>330</v>
      </c>
      <c r="T19" s="38">
        <f>S19*AR19</f>
        <v>3300</v>
      </c>
      <c r="U19" s="38">
        <v>28251408</v>
      </c>
      <c r="V19" s="38">
        <v>9688000</v>
      </c>
      <c r="W19" s="38">
        <v>4437704</v>
      </c>
      <c r="X19" s="38"/>
      <c r="Y19" s="38">
        <v>0</v>
      </c>
      <c r="Z19" s="38">
        <f t="shared" si="2"/>
        <v>0</v>
      </c>
      <c r="AA19" s="38">
        <v>0</v>
      </c>
      <c r="AB19" s="38">
        <f t="shared" si="3"/>
        <v>0</v>
      </c>
      <c r="AC19" s="38">
        <f>U19/AR19</f>
        <v>2825140.8</v>
      </c>
      <c r="AD19" s="38">
        <f t="shared" si="4"/>
        <v>2825141</v>
      </c>
      <c r="AE19" s="33">
        <v>45536</v>
      </c>
      <c r="AF19" s="33">
        <v>45626</v>
      </c>
      <c r="AG19" s="33"/>
      <c r="AH19" s="33">
        <v>45566</v>
      </c>
      <c r="AI19" s="33">
        <v>45641</v>
      </c>
      <c r="AJ19" s="42"/>
      <c r="AK19" s="37" t="s">
        <v>126</v>
      </c>
      <c r="AL19" s="37" t="s">
        <v>127</v>
      </c>
      <c r="AM19" s="37" t="s">
        <v>128</v>
      </c>
      <c r="AN19" s="37" t="s">
        <v>50</v>
      </c>
      <c r="AO19" s="43">
        <v>100</v>
      </c>
      <c r="AP19" s="35">
        <v>0</v>
      </c>
      <c r="AQ19" s="35" t="s">
        <v>51</v>
      </c>
      <c r="AR19" s="44">
        <v>10</v>
      </c>
      <c r="AS19" s="37" t="s">
        <v>52</v>
      </c>
    </row>
    <row r="20" spans="1:45" ht="58.5" customHeight="1" x14ac:dyDescent="0.25">
      <c r="A20" s="32" t="s">
        <v>42</v>
      </c>
      <c r="B20" s="33" t="s">
        <v>43</v>
      </c>
      <c r="C20" s="35">
        <v>1688</v>
      </c>
      <c r="D20" s="36"/>
      <c r="E20" s="37"/>
      <c r="F20" s="33">
        <v>45393</v>
      </c>
      <c r="G20" s="35" t="s">
        <v>129</v>
      </c>
      <c r="H20" s="37" t="s">
        <v>45</v>
      </c>
      <c r="I20" s="37" t="s">
        <v>130</v>
      </c>
      <c r="J20" s="38">
        <v>14893482978</v>
      </c>
      <c r="K20" s="40">
        <v>0</v>
      </c>
      <c r="L20" s="38">
        <v>0</v>
      </c>
      <c r="M20" s="38" t="s">
        <v>43</v>
      </c>
      <c r="N20" s="41">
        <v>0</v>
      </c>
      <c r="O20" s="38">
        <v>7446741489</v>
      </c>
      <c r="P20" s="27">
        <f t="shared" si="6"/>
        <v>7446741489</v>
      </c>
      <c r="Q20" s="38">
        <v>14893482978</v>
      </c>
      <c r="R20" s="27">
        <f>Q20/U20</f>
        <v>153</v>
      </c>
      <c r="S20" s="38">
        <f>Q20/U20</f>
        <v>153</v>
      </c>
      <c r="T20" s="38">
        <f>S20*AR20</f>
        <v>1530</v>
      </c>
      <c r="U20" s="38">
        <v>97343026</v>
      </c>
      <c r="V20" s="38">
        <v>11500000</v>
      </c>
      <c r="W20" s="38">
        <v>13700000</v>
      </c>
      <c r="X20" s="38">
        <v>23471513</v>
      </c>
      <c r="Y20" s="38">
        <v>0</v>
      </c>
      <c r="Z20" s="38">
        <f t="shared" si="2"/>
        <v>0</v>
      </c>
      <c r="AA20" s="38">
        <v>0</v>
      </c>
      <c r="AB20" s="38">
        <f t="shared" si="3"/>
        <v>0</v>
      </c>
      <c r="AC20" s="38">
        <f>U20/AR20</f>
        <v>9734302.5999999996</v>
      </c>
      <c r="AD20" s="38">
        <f t="shared" si="4"/>
        <v>9734303</v>
      </c>
      <c r="AE20" s="33">
        <v>45536</v>
      </c>
      <c r="AF20" s="33">
        <v>45566</v>
      </c>
      <c r="AG20" s="33">
        <v>45626</v>
      </c>
      <c r="AH20" s="33">
        <v>45566</v>
      </c>
      <c r="AI20" s="33">
        <v>45597</v>
      </c>
      <c r="AJ20" s="42">
        <v>45641</v>
      </c>
      <c r="AK20" s="37" t="s">
        <v>131</v>
      </c>
      <c r="AL20" s="37" t="s">
        <v>132</v>
      </c>
      <c r="AM20" s="37" t="s">
        <v>133</v>
      </c>
      <c r="AN20" s="37" t="s">
        <v>50</v>
      </c>
      <c r="AO20" s="43">
        <v>100</v>
      </c>
      <c r="AP20" s="35">
        <v>0</v>
      </c>
      <c r="AQ20" s="35" t="s">
        <v>51</v>
      </c>
      <c r="AR20" s="44">
        <v>10</v>
      </c>
      <c r="AS20" s="37" t="s">
        <v>52</v>
      </c>
    </row>
    <row r="21" spans="1:45" ht="49.5" customHeight="1" x14ac:dyDescent="0.25">
      <c r="A21" s="36" t="s">
        <v>134</v>
      </c>
      <c r="B21" s="33">
        <v>44580</v>
      </c>
      <c r="C21" s="35">
        <v>1416</v>
      </c>
      <c r="D21" s="36" t="s">
        <v>135</v>
      </c>
      <c r="E21" s="1" t="s">
        <v>136</v>
      </c>
      <c r="F21" s="33">
        <v>44617</v>
      </c>
      <c r="G21" s="35" t="s">
        <v>137</v>
      </c>
      <c r="H21" s="37" t="s">
        <v>138</v>
      </c>
      <c r="I21" s="37" t="s">
        <v>139</v>
      </c>
      <c r="J21" s="38">
        <v>765023068.5</v>
      </c>
      <c r="K21" s="40">
        <f>((J21-M21)/J21)*100</f>
        <v>0</v>
      </c>
      <c r="L21" s="41">
        <f>J21-M21</f>
        <v>0</v>
      </c>
      <c r="M21" s="38">
        <v>765023068.5</v>
      </c>
      <c r="N21" s="41">
        <f>Q21-J21</f>
        <v>44970673.24000001</v>
      </c>
      <c r="O21" s="38">
        <v>255007689.5</v>
      </c>
      <c r="P21" s="27">
        <v>299978362.74000001</v>
      </c>
      <c r="Q21" s="27">
        <v>809993741.74000001</v>
      </c>
      <c r="R21" s="27">
        <f>J21/2590050</f>
        <v>295.37</v>
      </c>
      <c r="S21" s="38">
        <f>Q21/U21</f>
        <v>295.37</v>
      </c>
      <c r="T21" s="38">
        <f>S21*AR21</f>
        <v>14768.5</v>
      </c>
      <c r="U21" s="38">
        <v>2742302</v>
      </c>
      <c r="V21" s="38"/>
      <c r="W21" s="38"/>
      <c r="X21" s="38">
        <v>1015602</v>
      </c>
      <c r="Y21" s="38">
        <v>22300</v>
      </c>
      <c r="Z21" s="38">
        <f t="shared" si="2"/>
        <v>6586751</v>
      </c>
      <c r="AA21" s="38">
        <v>993302</v>
      </c>
      <c r="AB21" s="38">
        <f t="shared" si="3"/>
        <v>293391611.74000001</v>
      </c>
      <c r="AC21" s="40">
        <f>U21/AR21</f>
        <v>54846.04</v>
      </c>
      <c r="AD21" s="47">
        <f t="shared" si="4"/>
        <v>54847</v>
      </c>
      <c r="AE21" s="33">
        <v>44682</v>
      </c>
      <c r="AF21" s="33">
        <v>45047</v>
      </c>
      <c r="AG21" s="33">
        <v>45413</v>
      </c>
      <c r="AH21" s="33">
        <v>44696</v>
      </c>
      <c r="AI21" s="33">
        <v>45061</v>
      </c>
      <c r="AJ21" s="42">
        <v>45427</v>
      </c>
      <c r="AK21" s="37" t="s">
        <v>140</v>
      </c>
      <c r="AL21" s="37" t="s">
        <v>141</v>
      </c>
      <c r="AM21" s="37" t="s">
        <v>142</v>
      </c>
      <c r="AN21" s="37" t="s">
        <v>143</v>
      </c>
      <c r="AO21" s="35">
        <v>0</v>
      </c>
      <c r="AP21" s="35">
        <v>100</v>
      </c>
      <c r="AQ21" s="35" t="s">
        <v>144</v>
      </c>
      <c r="AR21" s="44">
        <v>50</v>
      </c>
      <c r="AS21" s="37" t="s">
        <v>145</v>
      </c>
    </row>
    <row r="22" spans="1:45" ht="60.75" customHeight="1" x14ac:dyDescent="0.25">
      <c r="A22" s="36" t="s">
        <v>146</v>
      </c>
      <c r="B22" s="33">
        <v>44580</v>
      </c>
      <c r="C22" s="35">
        <v>1416</v>
      </c>
      <c r="D22" s="36" t="s">
        <v>147</v>
      </c>
      <c r="E22" s="1" t="s">
        <v>148</v>
      </c>
      <c r="F22" s="33">
        <v>44617</v>
      </c>
      <c r="G22" s="35" t="s">
        <v>149</v>
      </c>
      <c r="H22" s="37" t="s">
        <v>138</v>
      </c>
      <c r="I22" s="37" t="s">
        <v>150</v>
      </c>
      <c r="J22" s="38">
        <v>659336242.5</v>
      </c>
      <c r="K22" s="40">
        <f>((J22-M22)/J22)*100</f>
        <v>0</v>
      </c>
      <c r="L22" s="41">
        <f>J22-M22</f>
        <v>0</v>
      </c>
      <c r="M22" s="38">
        <v>659336242.5</v>
      </c>
      <c r="N22" s="41">
        <f>Q22-J22</f>
        <v>22382694.450000048</v>
      </c>
      <c r="O22" s="38">
        <v>219778747.5</v>
      </c>
      <c r="P22" s="27">
        <v>242161441.94999999</v>
      </c>
      <c r="Q22" s="27">
        <v>681718936.95000005</v>
      </c>
      <c r="R22" s="27">
        <f>Q22/U22</f>
        <v>27.55</v>
      </c>
      <c r="S22" s="38">
        <f>Q22/U22</f>
        <v>27.55</v>
      </c>
      <c r="T22" s="38">
        <f>S22*AR22</f>
        <v>1377.5</v>
      </c>
      <c r="U22" s="38">
        <v>24744789</v>
      </c>
      <c r="V22" s="38"/>
      <c r="W22" s="38"/>
      <c r="X22" s="38">
        <v>8789889</v>
      </c>
      <c r="Y22" s="38">
        <v>168850</v>
      </c>
      <c r="Z22" s="38">
        <f t="shared" si="2"/>
        <v>4651817.5</v>
      </c>
      <c r="AA22" s="38">
        <v>8621039</v>
      </c>
      <c r="AB22" s="38">
        <f t="shared" si="3"/>
        <v>237509624.45000002</v>
      </c>
      <c r="AC22" s="40">
        <f>U22/AR22</f>
        <v>494895.78</v>
      </c>
      <c r="AD22" s="47">
        <f t="shared" si="4"/>
        <v>494896</v>
      </c>
      <c r="AE22" s="33">
        <v>44682</v>
      </c>
      <c r="AF22" s="33">
        <v>45047</v>
      </c>
      <c r="AG22" s="33">
        <v>45413</v>
      </c>
      <c r="AH22" s="33">
        <v>44696</v>
      </c>
      <c r="AI22" s="33">
        <v>45061</v>
      </c>
      <c r="AJ22" s="42">
        <v>45427</v>
      </c>
      <c r="AK22" s="37" t="s">
        <v>140</v>
      </c>
      <c r="AL22" s="37" t="s">
        <v>141</v>
      </c>
      <c r="AM22" s="37" t="s">
        <v>142</v>
      </c>
      <c r="AN22" s="37" t="s">
        <v>143</v>
      </c>
      <c r="AO22" s="35">
        <v>0</v>
      </c>
      <c r="AP22" s="35">
        <v>100</v>
      </c>
      <c r="AQ22" s="35" t="s">
        <v>144</v>
      </c>
      <c r="AR22" s="44">
        <v>50</v>
      </c>
      <c r="AS22" s="37" t="s">
        <v>145</v>
      </c>
    </row>
    <row r="23" spans="1:45" ht="83.25" customHeight="1" x14ac:dyDescent="0.25">
      <c r="A23" s="36" t="s">
        <v>151</v>
      </c>
      <c r="B23" s="33">
        <v>44580</v>
      </c>
      <c r="C23" s="35">
        <v>1416</v>
      </c>
      <c r="D23" s="36" t="s">
        <v>152</v>
      </c>
      <c r="E23" s="1" t="s">
        <v>153</v>
      </c>
      <c r="F23" s="33">
        <v>44616</v>
      </c>
      <c r="G23" s="36" t="s">
        <v>154</v>
      </c>
      <c r="H23" s="37" t="s">
        <v>138</v>
      </c>
      <c r="I23" s="37" t="s">
        <v>155</v>
      </c>
      <c r="J23" s="38">
        <v>2656156119</v>
      </c>
      <c r="K23" s="40">
        <f>((J23-M23)/J23)*100</f>
        <v>0</v>
      </c>
      <c r="L23" s="41">
        <f>J23-M23</f>
        <v>0</v>
      </c>
      <c r="M23" s="38">
        <v>2656156119</v>
      </c>
      <c r="N23" s="41">
        <f>Q23-J23</f>
        <v>256404931.71000004</v>
      </c>
      <c r="O23" s="38">
        <v>1141790304.71</v>
      </c>
      <c r="P23" s="27">
        <f>O23</f>
        <v>1141790304.71</v>
      </c>
      <c r="Q23" s="27">
        <v>2912561050.71</v>
      </c>
      <c r="R23" s="27">
        <f>Q23/U23</f>
        <v>59.81</v>
      </c>
      <c r="S23" s="38">
        <f>Q23/U23</f>
        <v>59.81</v>
      </c>
      <c r="T23" s="38">
        <f>S23*AR23</f>
        <v>2990.5</v>
      </c>
      <c r="U23" s="38">
        <v>48696891</v>
      </c>
      <c r="V23" s="38"/>
      <c r="W23" s="38"/>
      <c r="X23" s="38">
        <v>19090291</v>
      </c>
      <c r="Y23" s="38">
        <v>345100</v>
      </c>
      <c r="Z23" s="38">
        <f t="shared" si="2"/>
        <v>20640431</v>
      </c>
      <c r="AA23" s="38">
        <v>18745191</v>
      </c>
      <c r="AB23" s="38">
        <f t="shared" si="3"/>
        <v>1121149873.71</v>
      </c>
      <c r="AC23" s="38">
        <f>P23/U23</f>
        <v>23.44688297883329</v>
      </c>
      <c r="AD23" s="38">
        <f t="shared" si="4"/>
        <v>24</v>
      </c>
      <c r="AE23" s="33">
        <v>44682</v>
      </c>
      <c r="AF23" s="33">
        <v>45047</v>
      </c>
      <c r="AG23" s="33">
        <v>45413</v>
      </c>
      <c r="AH23" s="33">
        <v>44701</v>
      </c>
      <c r="AI23" s="33">
        <v>45066</v>
      </c>
      <c r="AJ23" s="42">
        <v>45432</v>
      </c>
      <c r="AK23" s="37" t="s">
        <v>140</v>
      </c>
      <c r="AL23" s="37" t="s">
        <v>141</v>
      </c>
      <c r="AM23" s="37" t="s">
        <v>142</v>
      </c>
      <c r="AN23" s="37" t="s">
        <v>143</v>
      </c>
      <c r="AO23" s="35">
        <v>0</v>
      </c>
      <c r="AP23" s="35">
        <v>100</v>
      </c>
      <c r="AQ23" s="35" t="s">
        <v>144</v>
      </c>
      <c r="AR23" s="44">
        <v>50</v>
      </c>
      <c r="AS23" s="37" t="s">
        <v>145</v>
      </c>
    </row>
    <row r="24" spans="1:45" ht="78.75" customHeight="1" x14ac:dyDescent="0.25">
      <c r="A24" s="36" t="s">
        <v>156</v>
      </c>
      <c r="B24" s="33">
        <v>44670</v>
      </c>
      <c r="C24" s="35">
        <v>1416</v>
      </c>
      <c r="D24" s="36" t="s">
        <v>157</v>
      </c>
      <c r="E24" s="1" t="s">
        <v>158</v>
      </c>
      <c r="F24" s="33">
        <v>44707</v>
      </c>
      <c r="G24" s="36" t="s">
        <v>159</v>
      </c>
      <c r="H24" s="37" t="s">
        <v>138</v>
      </c>
      <c r="I24" s="37" t="s">
        <v>160</v>
      </c>
      <c r="J24" s="38">
        <v>1153585170</v>
      </c>
      <c r="K24" s="40">
        <v>0</v>
      </c>
      <c r="L24" s="41">
        <v>0</v>
      </c>
      <c r="M24" s="38">
        <v>1153585170</v>
      </c>
      <c r="N24" s="41">
        <v>0</v>
      </c>
      <c r="O24" s="27">
        <v>406236438</v>
      </c>
      <c r="P24" s="27">
        <v>752311989</v>
      </c>
      <c r="Q24" s="27">
        <v>1499660721</v>
      </c>
      <c r="R24" s="27">
        <f>Q24/U24</f>
        <v>647.1</v>
      </c>
      <c r="S24" s="38">
        <f>Q24/U24</f>
        <v>647.1</v>
      </c>
      <c r="T24" s="38">
        <f>S24*AR24</f>
        <v>6471</v>
      </c>
      <c r="U24" s="38">
        <v>2317510</v>
      </c>
      <c r="V24" s="38"/>
      <c r="W24" s="38"/>
      <c r="X24" s="38">
        <v>1162590</v>
      </c>
      <c r="Y24" s="38">
        <v>520</v>
      </c>
      <c r="Z24" s="38">
        <f t="shared" si="2"/>
        <v>336492</v>
      </c>
      <c r="AA24" s="38">
        <v>1162070</v>
      </c>
      <c r="AB24" s="38">
        <f t="shared" si="3"/>
        <v>751975497</v>
      </c>
      <c r="AC24" s="38">
        <v>178270</v>
      </c>
      <c r="AD24" s="38">
        <v>178270</v>
      </c>
      <c r="AE24" s="33">
        <v>44936</v>
      </c>
      <c r="AF24" s="33">
        <v>44986</v>
      </c>
      <c r="AG24" s="33">
        <v>45352</v>
      </c>
      <c r="AH24" s="33">
        <v>44951</v>
      </c>
      <c r="AI24" s="33">
        <v>45000</v>
      </c>
      <c r="AJ24" s="42">
        <v>45383</v>
      </c>
      <c r="AK24" s="37" t="s">
        <v>161</v>
      </c>
      <c r="AL24" s="37" t="s">
        <v>162</v>
      </c>
      <c r="AM24" s="37" t="s">
        <v>163</v>
      </c>
      <c r="AN24" s="37" t="s">
        <v>50</v>
      </c>
      <c r="AO24" s="35">
        <v>100</v>
      </c>
      <c r="AP24" s="35">
        <v>0</v>
      </c>
      <c r="AQ24" s="35" t="s">
        <v>164</v>
      </c>
      <c r="AR24" s="44">
        <v>10</v>
      </c>
      <c r="AS24" s="37" t="s">
        <v>145</v>
      </c>
    </row>
    <row r="25" spans="1:45" ht="72" customHeight="1" x14ac:dyDescent="0.25">
      <c r="A25" s="36" t="s">
        <v>165</v>
      </c>
      <c r="B25" s="33">
        <v>44671</v>
      </c>
      <c r="C25" s="35">
        <v>1416</v>
      </c>
      <c r="D25" s="36" t="s">
        <v>166</v>
      </c>
      <c r="E25" s="1" t="s">
        <v>167</v>
      </c>
      <c r="F25" s="33">
        <v>44697</v>
      </c>
      <c r="G25" s="35" t="s">
        <v>168</v>
      </c>
      <c r="H25" s="37" t="s">
        <v>169</v>
      </c>
      <c r="I25" s="37" t="s">
        <v>170</v>
      </c>
      <c r="J25" s="38">
        <v>90177300</v>
      </c>
      <c r="K25" s="40">
        <v>0</v>
      </c>
      <c r="L25" s="41">
        <v>0</v>
      </c>
      <c r="M25" s="38">
        <v>90177300</v>
      </c>
      <c r="N25" s="41">
        <v>0</v>
      </c>
      <c r="O25" s="38">
        <v>30059100</v>
      </c>
      <c r="P25" s="38">
        <v>57112290</v>
      </c>
      <c r="Q25" s="27">
        <v>117230490</v>
      </c>
      <c r="R25" s="27">
        <f>Q25/U25</f>
        <v>12.37</v>
      </c>
      <c r="S25" s="38">
        <f>Q25/U25</f>
        <v>12.37</v>
      </c>
      <c r="T25" s="38">
        <f>S25*AR25</f>
        <v>18555</v>
      </c>
      <c r="U25" s="38">
        <v>9477000</v>
      </c>
      <c r="V25" s="38"/>
      <c r="W25" s="38"/>
      <c r="X25" s="38">
        <v>4617000</v>
      </c>
      <c r="Y25" s="38">
        <v>0</v>
      </c>
      <c r="Z25" s="38">
        <f t="shared" si="2"/>
        <v>0</v>
      </c>
      <c r="AA25" s="38">
        <v>4617000</v>
      </c>
      <c r="AB25" s="38">
        <f t="shared" si="3"/>
        <v>57112290</v>
      </c>
      <c r="AC25" s="38">
        <v>4860</v>
      </c>
      <c r="AD25" s="38">
        <v>4860</v>
      </c>
      <c r="AE25" s="33">
        <v>44936</v>
      </c>
      <c r="AF25" s="33">
        <v>44986</v>
      </c>
      <c r="AG25" s="33">
        <v>45352</v>
      </c>
      <c r="AH25" s="33">
        <v>44951</v>
      </c>
      <c r="AI25" s="33">
        <v>45000</v>
      </c>
      <c r="AJ25" s="42">
        <v>45383</v>
      </c>
      <c r="AK25" s="37" t="s">
        <v>171</v>
      </c>
      <c r="AL25" s="37" t="s">
        <v>172</v>
      </c>
      <c r="AM25" s="37" t="s">
        <v>173</v>
      </c>
      <c r="AN25" s="37" t="s">
        <v>174</v>
      </c>
      <c r="AO25" s="35">
        <v>0</v>
      </c>
      <c r="AP25" s="35">
        <v>100</v>
      </c>
      <c r="AQ25" s="35" t="s">
        <v>175</v>
      </c>
      <c r="AR25" s="44">
        <v>1500</v>
      </c>
      <c r="AS25" s="37" t="s">
        <v>176</v>
      </c>
    </row>
    <row r="26" spans="1:45" ht="38.25" customHeight="1" x14ac:dyDescent="0.25">
      <c r="A26" s="36" t="s">
        <v>177</v>
      </c>
      <c r="B26" s="33">
        <v>44671</v>
      </c>
      <c r="C26" s="35">
        <v>1416</v>
      </c>
      <c r="D26" s="36" t="s">
        <v>178</v>
      </c>
      <c r="E26" s="1" t="s">
        <v>179</v>
      </c>
      <c r="F26" s="33">
        <v>44697</v>
      </c>
      <c r="G26" s="35" t="s">
        <v>180</v>
      </c>
      <c r="H26" s="37" t="s">
        <v>169</v>
      </c>
      <c r="I26" s="37" t="s">
        <v>181</v>
      </c>
      <c r="J26" s="38">
        <v>39485040</v>
      </c>
      <c r="K26" s="40">
        <v>0</v>
      </c>
      <c r="L26" s="41">
        <v>0</v>
      </c>
      <c r="M26" s="38">
        <v>39485040</v>
      </c>
      <c r="N26" s="41">
        <v>0</v>
      </c>
      <c r="O26" s="38">
        <v>13161680</v>
      </c>
      <c r="P26" s="27">
        <v>25005955</v>
      </c>
      <c r="Q26" s="27">
        <v>51329315</v>
      </c>
      <c r="R26" s="27">
        <f>Q26/U26</f>
        <v>12.37</v>
      </c>
      <c r="S26" s="38">
        <f>Q26/U26</f>
        <v>12.37</v>
      </c>
      <c r="T26" s="38">
        <f>S26*AR26</f>
        <v>6185</v>
      </c>
      <c r="U26" s="38">
        <v>4149500</v>
      </c>
      <c r="V26" s="38"/>
      <c r="W26" s="38"/>
      <c r="X26" s="38">
        <v>2021500</v>
      </c>
      <c r="Y26" s="38">
        <v>0</v>
      </c>
      <c r="Z26" s="38">
        <f t="shared" si="2"/>
        <v>0</v>
      </c>
      <c r="AA26" s="38">
        <v>2021500</v>
      </c>
      <c r="AB26" s="38">
        <f t="shared" si="3"/>
        <v>25005955</v>
      </c>
      <c r="AC26" s="38">
        <v>6384</v>
      </c>
      <c r="AD26" s="38">
        <v>6384</v>
      </c>
      <c r="AE26" s="33">
        <v>44936</v>
      </c>
      <c r="AF26" s="33">
        <v>44986</v>
      </c>
      <c r="AG26" s="33">
        <v>45352</v>
      </c>
      <c r="AH26" s="33">
        <v>44941</v>
      </c>
      <c r="AI26" s="33">
        <v>45000</v>
      </c>
      <c r="AJ26" s="42">
        <v>45383</v>
      </c>
      <c r="AK26" s="37" t="s">
        <v>171</v>
      </c>
      <c r="AL26" s="37" t="s">
        <v>182</v>
      </c>
      <c r="AM26" s="37" t="s">
        <v>173</v>
      </c>
      <c r="AN26" s="37" t="s">
        <v>174</v>
      </c>
      <c r="AO26" s="35">
        <v>0</v>
      </c>
      <c r="AP26" s="35">
        <v>100</v>
      </c>
      <c r="AQ26" s="35" t="s">
        <v>175</v>
      </c>
      <c r="AR26" s="44">
        <v>500</v>
      </c>
      <c r="AS26" s="37" t="s">
        <v>176</v>
      </c>
    </row>
    <row r="27" spans="1:45" ht="59.25" customHeight="1" x14ac:dyDescent="0.25">
      <c r="A27" s="36" t="s">
        <v>183</v>
      </c>
      <c r="B27" s="33">
        <v>44671</v>
      </c>
      <c r="C27" s="35">
        <v>1416</v>
      </c>
      <c r="D27" s="36" t="s">
        <v>184</v>
      </c>
      <c r="E27" s="1" t="s">
        <v>185</v>
      </c>
      <c r="F27" s="33">
        <v>44704</v>
      </c>
      <c r="G27" s="36" t="s">
        <v>186</v>
      </c>
      <c r="H27" s="37" t="s">
        <v>169</v>
      </c>
      <c r="I27" s="37" t="s">
        <v>187</v>
      </c>
      <c r="J27" s="38">
        <v>465000670</v>
      </c>
      <c r="K27" s="40">
        <v>0</v>
      </c>
      <c r="L27" s="41">
        <v>0</v>
      </c>
      <c r="M27" s="38">
        <v>465000670</v>
      </c>
      <c r="N27" s="41">
        <v>0</v>
      </c>
      <c r="O27" s="38">
        <v>154996100</v>
      </c>
      <c r="P27" s="27">
        <v>294492590</v>
      </c>
      <c r="Q27" s="27">
        <v>604497160</v>
      </c>
      <c r="R27" s="27">
        <f>Q27/U27</f>
        <v>12.37</v>
      </c>
      <c r="S27" s="38">
        <f>Q27/U27</f>
        <v>12.37</v>
      </c>
      <c r="T27" s="38">
        <f>S27*AR27</f>
        <v>12370</v>
      </c>
      <c r="U27" s="38">
        <v>48868000</v>
      </c>
      <c r="V27" s="38"/>
      <c r="W27" s="38"/>
      <c r="X27" s="38">
        <v>23807000</v>
      </c>
      <c r="Y27" s="38">
        <v>0</v>
      </c>
      <c r="Z27" s="38">
        <f t="shared" si="2"/>
        <v>0</v>
      </c>
      <c r="AA27" s="38">
        <v>23807000</v>
      </c>
      <c r="AB27" s="38">
        <f t="shared" si="3"/>
        <v>294492590</v>
      </c>
      <c r="AC27" s="38">
        <v>37591</v>
      </c>
      <c r="AD27" s="38">
        <v>37591</v>
      </c>
      <c r="AE27" s="33">
        <v>44936</v>
      </c>
      <c r="AF27" s="33">
        <v>44986</v>
      </c>
      <c r="AG27" s="33">
        <v>45352</v>
      </c>
      <c r="AH27" s="33">
        <v>44941</v>
      </c>
      <c r="AI27" s="33">
        <v>45000</v>
      </c>
      <c r="AJ27" s="42">
        <v>45383</v>
      </c>
      <c r="AK27" s="37" t="s">
        <v>171</v>
      </c>
      <c r="AL27" s="37" t="s">
        <v>188</v>
      </c>
      <c r="AM27" s="37" t="s">
        <v>173</v>
      </c>
      <c r="AN27" s="37" t="s">
        <v>174</v>
      </c>
      <c r="AO27" s="35">
        <v>0</v>
      </c>
      <c r="AP27" s="35">
        <v>100</v>
      </c>
      <c r="AQ27" s="35" t="s">
        <v>175</v>
      </c>
      <c r="AR27" s="44">
        <v>1000</v>
      </c>
      <c r="AS27" s="37" t="s">
        <v>176</v>
      </c>
    </row>
    <row r="28" spans="1:45" ht="62.25" customHeight="1" x14ac:dyDescent="0.25">
      <c r="A28" s="36" t="s">
        <v>189</v>
      </c>
      <c r="B28" s="33">
        <v>44673</v>
      </c>
      <c r="C28" s="35">
        <v>1416</v>
      </c>
      <c r="D28" s="36" t="s">
        <v>190</v>
      </c>
      <c r="E28" s="1" t="s">
        <v>191</v>
      </c>
      <c r="F28" s="33">
        <v>44705</v>
      </c>
      <c r="G28" s="36" t="s">
        <v>192</v>
      </c>
      <c r="H28" s="37" t="s">
        <v>193</v>
      </c>
      <c r="I28" s="37" t="s">
        <v>194</v>
      </c>
      <c r="J28" s="38">
        <v>78920034.480000004</v>
      </c>
      <c r="K28" s="40">
        <v>0.49999999695894937</v>
      </c>
      <c r="L28" s="41">
        <v>394600.17000000179</v>
      </c>
      <c r="M28" s="38">
        <v>78525434.310000002</v>
      </c>
      <c r="N28" s="41">
        <v>-404686.8</v>
      </c>
      <c r="O28" s="38">
        <v>39257673.840000004</v>
      </c>
      <c r="P28" s="27">
        <v>39257673.840000004</v>
      </c>
      <c r="Q28" s="27">
        <v>78515347.680000007</v>
      </c>
      <c r="R28" s="27">
        <f>Q28/U28</f>
        <v>514.1400000000001</v>
      </c>
      <c r="S28" s="38">
        <f>Q28/U28</f>
        <v>514.1400000000001</v>
      </c>
      <c r="T28" s="38">
        <f>S28*AR28</f>
        <v>3084.8400000000006</v>
      </c>
      <c r="U28" s="38">
        <v>152712</v>
      </c>
      <c r="V28" s="38"/>
      <c r="W28" s="38">
        <v>76356</v>
      </c>
      <c r="X28" s="38"/>
      <c r="Y28" s="38">
        <v>228</v>
      </c>
      <c r="Z28" s="38">
        <f t="shared" si="2"/>
        <v>117223.92000000003</v>
      </c>
      <c r="AA28" s="38">
        <v>76128</v>
      </c>
      <c r="AB28" s="38">
        <f t="shared" si="3"/>
        <v>39140449.920000009</v>
      </c>
      <c r="AC28" s="38">
        <v>25452</v>
      </c>
      <c r="AD28" s="38">
        <v>25452</v>
      </c>
      <c r="AE28" s="33">
        <v>44958</v>
      </c>
      <c r="AF28" s="33">
        <v>45323</v>
      </c>
      <c r="AG28" s="33"/>
      <c r="AH28" s="33">
        <v>44986</v>
      </c>
      <c r="AI28" s="33">
        <v>45352</v>
      </c>
      <c r="AJ28" s="42"/>
      <c r="AK28" s="37" t="s">
        <v>195</v>
      </c>
      <c r="AL28" s="37" t="s">
        <v>196</v>
      </c>
      <c r="AM28" s="37" t="s">
        <v>197</v>
      </c>
      <c r="AN28" s="37" t="s">
        <v>50</v>
      </c>
      <c r="AO28" s="35">
        <v>100</v>
      </c>
      <c r="AP28" s="35">
        <v>0</v>
      </c>
      <c r="AQ28" s="35" t="s">
        <v>164</v>
      </c>
      <c r="AR28" s="44">
        <v>6</v>
      </c>
      <c r="AS28" s="37" t="s">
        <v>176</v>
      </c>
    </row>
    <row r="29" spans="1:45" ht="63.75" customHeight="1" x14ac:dyDescent="0.25">
      <c r="A29" s="36" t="s">
        <v>198</v>
      </c>
      <c r="B29" s="33">
        <v>44673</v>
      </c>
      <c r="C29" s="35">
        <v>1416</v>
      </c>
      <c r="D29" s="36" t="s">
        <v>199</v>
      </c>
      <c r="E29" s="1" t="s">
        <v>200</v>
      </c>
      <c r="F29" s="33">
        <v>44711</v>
      </c>
      <c r="G29" s="36" t="s">
        <v>201</v>
      </c>
      <c r="H29" s="37" t="s">
        <v>193</v>
      </c>
      <c r="I29" s="37" t="s">
        <v>202</v>
      </c>
      <c r="J29" s="38">
        <v>2737233000</v>
      </c>
      <c r="K29" s="40">
        <v>0</v>
      </c>
      <c r="L29" s="41">
        <v>0</v>
      </c>
      <c r="M29" s="38">
        <v>2737233000</v>
      </c>
      <c r="N29" s="41">
        <v>0</v>
      </c>
      <c r="O29" s="38">
        <v>912443355</v>
      </c>
      <c r="P29" s="27">
        <v>1733613255</v>
      </c>
      <c r="Q29" s="27">
        <v>3558402900</v>
      </c>
      <c r="R29" s="27">
        <f>Q29/U29</f>
        <v>647.1</v>
      </c>
      <c r="S29" s="38">
        <f>Q29/U29</f>
        <v>647.1</v>
      </c>
      <c r="T29" s="38" t="e">
        <f>S29*AR29</f>
        <v>#VALUE!</v>
      </c>
      <c r="U29" s="38">
        <v>5499000</v>
      </c>
      <c r="V29" s="38"/>
      <c r="W29" s="38"/>
      <c r="X29" s="38">
        <v>2679050</v>
      </c>
      <c r="Y29" s="38">
        <v>0</v>
      </c>
      <c r="Z29" s="38">
        <f t="shared" si="2"/>
        <v>0</v>
      </c>
      <c r="AA29" s="38">
        <v>2679050</v>
      </c>
      <c r="AB29" s="38">
        <f t="shared" si="3"/>
        <v>1733613255</v>
      </c>
      <c r="AC29" s="38">
        <v>114013.5</v>
      </c>
      <c r="AD29" s="38">
        <v>114014</v>
      </c>
      <c r="AE29" s="33">
        <v>44936</v>
      </c>
      <c r="AF29" s="33">
        <v>44986</v>
      </c>
      <c r="AG29" s="33">
        <v>45352</v>
      </c>
      <c r="AH29" s="33">
        <v>44951</v>
      </c>
      <c r="AI29" s="33">
        <v>45000</v>
      </c>
      <c r="AJ29" s="42">
        <v>45383</v>
      </c>
      <c r="AK29" s="37" t="s">
        <v>203</v>
      </c>
      <c r="AL29" s="37" t="s">
        <v>204</v>
      </c>
      <c r="AM29" s="37" t="s">
        <v>205</v>
      </c>
      <c r="AN29" s="37" t="s">
        <v>50</v>
      </c>
      <c r="AO29" s="35">
        <v>100</v>
      </c>
      <c r="AP29" s="35">
        <v>0</v>
      </c>
      <c r="AQ29" s="35" t="s">
        <v>164</v>
      </c>
      <c r="AR29" s="48" t="s">
        <v>206</v>
      </c>
      <c r="AS29" s="37" t="s">
        <v>176</v>
      </c>
    </row>
    <row r="30" spans="1:45" ht="78.75" customHeight="1" x14ac:dyDescent="0.25">
      <c r="A30" s="36" t="s">
        <v>207</v>
      </c>
      <c r="B30" s="33">
        <v>44673</v>
      </c>
      <c r="C30" s="35">
        <v>1416</v>
      </c>
      <c r="D30" s="36" t="s">
        <v>208</v>
      </c>
      <c r="E30" s="1" t="s">
        <v>209</v>
      </c>
      <c r="F30" s="33">
        <v>44704</v>
      </c>
      <c r="G30" s="36" t="s">
        <v>210</v>
      </c>
      <c r="H30" s="37" t="s">
        <v>193</v>
      </c>
      <c r="I30" s="37" t="s">
        <v>211</v>
      </c>
      <c r="J30" s="38">
        <v>95831540.640000001</v>
      </c>
      <c r="K30" s="40">
        <v>0</v>
      </c>
      <c r="L30" s="41">
        <v>0</v>
      </c>
      <c r="M30" s="38">
        <v>95831540.640000001</v>
      </c>
      <c r="N30" s="41">
        <v>0</v>
      </c>
      <c r="O30" s="38">
        <v>55271866.32</v>
      </c>
      <c r="P30" s="27">
        <v>55271866.32</v>
      </c>
      <c r="Q30" s="27">
        <v>103187636.64</v>
      </c>
      <c r="R30" s="27">
        <f>Q30/U30</f>
        <v>3065.04</v>
      </c>
      <c r="S30" s="38">
        <f>Q30/U30</f>
        <v>3065.04</v>
      </c>
      <c r="T30" s="38">
        <f>S30*AR30</f>
        <v>4597.5599999999995</v>
      </c>
      <c r="U30" s="38">
        <v>33666</v>
      </c>
      <c r="V30" s="38"/>
      <c r="W30" s="38">
        <v>18033</v>
      </c>
      <c r="X30" s="38"/>
      <c r="Y30" s="38">
        <v>4732.5</v>
      </c>
      <c r="Z30" s="38">
        <f t="shared" si="2"/>
        <v>14505301.800000001</v>
      </c>
      <c r="AA30" s="38">
        <v>13300.5</v>
      </c>
      <c r="AB30" s="38">
        <f t="shared" si="3"/>
        <v>40766564.519999996</v>
      </c>
      <c r="AC30" s="38">
        <v>20844</v>
      </c>
      <c r="AD30" s="38">
        <v>20844</v>
      </c>
      <c r="AE30" s="33">
        <v>44958</v>
      </c>
      <c r="AF30" s="33">
        <v>45352</v>
      </c>
      <c r="AG30" s="33"/>
      <c r="AH30" s="33">
        <v>44972</v>
      </c>
      <c r="AI30" s="33">
        <v>45383</v>
      </c>
      <c r="AJ30" s="42"/>
      <c r="AK30" s="37" t="s">
        <v>212</v>
      </c>
      <c r="AL30" s="37" t="s">
        <v>213</v>
      </c>
      <c r="AM30" s="37" t="s">
        <v>214</v>
      </c>
      <c r="AN30" s="37" t="s">
        <v>50</v>
      </c>
      <c r="AO30" s="35">
        <v>100</v>
      </c>
      <c r="AP30" s="35">
        <v>0</v>
      </c>
      <c r="AQ30" s="35" t="s">
        <v>164</v>
      </c>
      <c r="AR30" s="49">
        <v>1.5</v>
      </c>
      <c r="AS30" s="37" t="s">
        <v>176</v>
      </c>
    </row>
    <row r="31" spans="1:45" ht="78.75" customHeight="1" x14ac:dyDescent="0.25">
      <c r="A31" s="36" t="s">
        <v>215</v>
      </c>
      <c r="B31" s="33">
        <v>44677</v>
      </c>
      <c r="C31" s="35">
        <v>1416</v>
      </c>
      <c r="D31" s="36" t="s">
        <v>216</v>
      </c>
      <c r="E31" s="1" t="s">
        <v>217</v>
      </c>
      <c r="F31" s="33">
        <v>44712</v>
      </c>
      <c r="G31" s="35" t="s">
        <v>218</v>
      </c>
      <c r="H31" s="37" t="s">
        <v>219</v>
      </c>
      <c r="I31" s="37" t="s">
        <v>220</v>
      </c>
      <c r="J31" s="38">
        <v>2087771400</v>
      </c>
      <c r="K31" s="40">
        <v>0</v>
      </c>
      <c r="L31" s="41">
        <v>0</v>
      </c>
      <c r="M31" s="38">
        <v>2087771400</v>
      </c>
      <c r="N31" s="41">
        <v>0</v>
      </c>
      <c r="O31" s="38">
        <v>717974400</v>
      </c>
      <c r="P31" s="27">
        <v>1344228600</v>
      </c>
      <c r="Q31" s="27">
        <v>2714025600</v>
      </c>
      <c r="R31" s="27">
        <f>Q31/U31</f>
        <v>85800</v>
      </c>
      <c r="S31" s="38">
        <f>Q31/U31</f>
        <v>85800</v>
      </c>
      <c r="T31" s="38">
        <f>S31*AR31</f>
        <v>85800</v>
      </c>
      <c r="U31" s="38">
        <v>31632</v>
      </c>
      <c r="V31" s="38"/>
      <c r="W31" s="50"/>
      <c r="X31" s="38">
        <v>15667</v>
      </c>
      <c r="Y31" s="38">
        <v>8</v>
      </c>
      <c r="Z31" s="38">
        <f t="shared" si="2"/>
        <v>686400</v>
      </c>
      <c r="AA31" s="38">
        <v>15659</v>
      </c>
      <c r="AB31" s="38">
        <f t="shared" si="3"/>
        <v>1343542200</v>
      </c>
      <c r="AC31" s="38">
        <v>24333</v>
      </c>
      <c r="AD31" s="38">
        <v>24333</v>
      </c>
      <c r="AE31" s="33">
        <v>44936</v>
      </c>
      <c r="AF31" s="33">
        <v>44986</v>
      </c>
      <c r="AG31" s="33">
        <v>45323</v>
      </c>
      <c r="AH31" s="33">
        <v>44958</v>
      </c>
      <c r="AI31" s="33">
        <v>45000</v>
      </c>
      <c r="AJ31" s="42">
        <v>45352</v>
      </c>
      <c r="AK31" s="37" t="s">
        <v>221</v>
      </c>
      <c r="AL31" s="37" t="s">
        <v>222</v>
      </c>
      <c r="AM31" s="37" t="s">
        <v>223</v>
      </c>
      <c r="AN31" s="37" t="s">
        <v>224</v>
      </c>
      <c r="AO31" s="35">
        <v>0</v>
      </c>
      <c r="AP31" s="35">
        <v>100</v>
      </c>
      <c r="AQ31" s="35" t="s">
        <v>144</v>
      </c>
      <c r="AR31" s="44">
        <v>1</v>
      </c>
      <c r="AS31" s="37" t="s">
        <v>176</v>
      </c>
    </row>
    <row r="32" spans="1:45" ht="78.75" customHeight="1" x14ac:dyDescent="0.25">
      <c r="A32" s="36" t="s">
        <v>225</v>
      </c>
      <c r="B32" s="33">
        <v>44677</v>
      </c>
      <c r="C32" s="35">
        <v>1416</v>
      </c>
      <c r="D32" s="36" t="s">
        <v>226</v>
      </c>
      <c r="E32" s="1" t="s">
        <v>227</v>
      </c>
      <c r="F32" s="33">
        <v>44711</v>
      </c>
      <c r="G32" s="36" t="s">
        <v>228</v>
      </c>
      <c r="H32" s="37" t="s">
        <v>138</v>
      </c>
      <c r="I32" s="37" t="s">
        <v>229</v>
      </c>
      <c r="J32" s="38">
        <v>2082265948.3499999</v>
      </c>
      <c r="K32" s="40">
        <v>0</v>
      </c>
      <c r="L32" s="41">
        <v>0</v>
      </c>
      <c r="M32" s="38">
        <v>2082265948.3499999</v>
      </c>
      <c r="N32" s="41">
        <v>0</v>
      </c>
      <c r="O32" s="38">
        <v>694979649</v>
      </c>
      <c r="P32" s="27">
        <v>694979649</v>
      </c>
      <c r="Q32" s="27">
        <v>2082265948.3499999</v>
      </c>
      <c r="R32" s="27">
        <f>Q32/U32</f>
        <v>14142.849999999999</v>
      </c>
      <c r="S32" s="38">
        <f>Q32/U32</f>
        <v>14142.849999999999</v>
      </c>
      <c r="T32" s="38">
        <f>S32*AR32</f>
        <v>296999.84999999998</v>
      </c>
      <c r="U32" s="38">
        <v>147231</v>
      </c>
      <c r="V32" s="38"/>
      <c r="W32" s="38"/>
      <c r="X32" s="38">
        <v>49140</v>
      </c>
      <c r="Y32" s="38">
        <v>0</v>
      </c>
      <c r="Z32" s="38">
        <f t="shared" si="2"/>
        <v>0</v>
      </c>
      <c r="AA32" s="38">
        <v>49140</v>
      </c>
      <c r="AB32" s="38">
        <f t="shared" si="3"/>
        <v>694979648.99999988</v>
      </c>
      <c r="AC32" s="38">
        <v>7011</v>
      </c>
      <c r="AD32" s="38">
        <v>7011</v>
      </c>
      <c r="AE32" s="33">
        <v>44936</v>
      </c>
      <c r="AF32" s="33">
        <v>44986</v>
      </c>
      <c r="AG32" s="33">
        <v>45352</v>
      </c>
      <c r="AH32" s="33">
        <v>44951</v>
      </c>
      <c r="AI32" s="33">
        <v>45000</v>
      </c>
      <c r="AJ32" s="42">
        <v>45383</v>
      </c>
      <c r="AK32" s="37" t="s">
        <v>230</v>
      </c>
      <c r="AL32" s="37" t="s">
        <v>231</v>
      </c>
      <c r="AM32" s="37" t="s">
        <v>232</v>
      </c>
      <c r="AN32" s="37" t="s">
        <v>50</v>
      </c>
      <c r="AO32" s="35">
        <v>100</v>
      </c>
      <c r="AP32" s="35">
        <v>0</v>
      </c>
      <c r="AQ32" s="35" t="s">
        <v>144</v>
      </c>
      <c r="AR32" s="52">
        <v>21</v>
      </c>
      <c r="AS32" s="37" t="s">
        <v>176</v>
      </c>
    </row>
    <row r="33" spans="1:45" ht="78.75" customHeight="1" x14ac:dyDescent="0.25">
      <c r="A33" s="36" t="s">
        <v>233</v>
      </c>
      <c r="B33" s="33">
        <v>44678</v>
      </c>
      <c r="C33" s="35">
        <v>1416</v>
      </c>
      <c r="D33" s="36" t="s">
        <v>234</v>
      </c>
      <c r="E33" s="1" t="s">
        <v>235</v>
      </c>
      <c r="F33" s="33">
        <v>44720</v>
      </c>
      <c r="G33" s="36" t="s">
        <v>236</v>
      </c>
      <c r="H33" s="37" t="s">
        <v>193</v>
      </c>
      <c r="I33" s="37" t="s">
        <v>237</v>
      </c>
      <c r="J33" s="38">
        <v>2419113638.4000001</v>
      </c>
      <c r="K33" s="40">
        <v>0</v>
      </c>
      <c r="L33" s="41">
        <v>0</v>
      </c>
      <c r="M33" s="38">
        <v>2419113638.4000001</v>
      </c>
      <c r="N33" s="41">
        <v>0</v>
      </c>
      <c r="O33" s="38">
        <v>1209556819.2</v>
      </c>
      <c r="P33" s="27">
        <v>1209556819.2</v>
      </c>
      <c r="Q33" s="27">
        <v>2419113638.4000001</v>
      </c>
      <c r="R33" s="27">
        <f>Q33/U33</f>
        <v>6006.4000000000005</v>
      </c>
      <c r="S33" s="38">
        <f>Q33/U33</f>
        <v>6006.4000000000005</v>
      </c>
      <c r="T33" s="38">
        <f>S33*AR33</f>
        <v>9009.6</v>
      </c>
      <c r="U33" s="38">
        <v>402756</v>
      </c>
      <c r="V33" s="38"/>
      <c r="W33" s="38">
        <v>201378</v>
      </c>
      <c r="X33" s="38"/>
      <c r="Y33" s="38">
        <v>7902</v>
      </c>
      <c r="Z33" s="38">
        <f t="shared" si="2"/>
        <v>47462572.800000004</v>
      </c>
      <c r="AA33" s="38">
        <v>193476</v>
      </c>
      <c r="AB33" s="38">
        <f t="shared" si="3"/>
        <v>1162094246.4000001</v>
      </c>
      <c r="AC33" s="38">
        <v>268504</v>
      </c>
      <c r="AD33" s="38">
        <v>268504</v>
      </c>
      <c r="AE33" s="33">
        <v>44958</v>
      </c>
      <c r="AF33" s="33">
        <v>45352</v>
      </c>
      <c r="AG33" s="33"/>
      <c r="AH33" s="33">
        <v>44972</v>
      </c>
      <c r="AI33" s="33">
        <v>45383</v>
      </c>
      <c r="AJ33" s="42"/>
      <c r="AK33" s="37" t="s">
        <v>212</v>
      </c>
      <c r="AL33" s="37" t="s">
        <v>238</v>
      </c>
      <c r="AM33" s="37" t="s">
        <v>214</v>
      </c>
      <c r="AN33" s="37" t="s">
        <v>50</v>
      </c>
      <c r="AO33" s="35">
        <v>100</v>
      </c>
      <c r="AP33" s="35">
        <v>0</v>
      </c>
      <c r="AQ33" s="35" t="s">
        <v>164</v>
      </c>
      <c r="AR33" s="44">
        <v>1.5</v>
      </c>
      <c r="AS33" s="37" t="s">
        <v>176</v>
      </c>
    </row>
    <row r="34" spans="1:45" ht="78.75" customHeight="1" x14ac:dyDescent="0.25">
      <c r="A34" s="36" t="s">
        <v>239</v>
      </c>
      <c r="B34" s="33">
        <v>44678</v>
      </c>
      <c r="C34" s="35">
        <v>1416</v>
      </c>
      <c r="D34" s="36" t="s">
        <v>240</v>
      </c>
      <c r="E34" s="1" t="s">
        <v>241</v>
      </c>
      <c r="F34" s="33">
        <v>44711</v>
      </c>
      <c r="G34" s="36" t="s">
        <v>242</v>
      </c>
      <c r="H34" s="37" t="s">
        <v>138</v>
      </c>
      <c r="I34" s="37" t="s">
        <v>243</v>
      </c>
      <c r="J34" s="38">
        <v>11608792.560000001</v>
      </c>
      <c r="K34" s="40">
        <v>0</v>
      </c>
      <c r="L34" s="41">
        <v>0</v>
      </c>
      <c r="M34" s="38">
        <v>11608792.560000001</v>
      </c>
      <c r="N34" s="41">
        <v>0</v>
      </c>
      <c r="O34" s="38">
        <v>5804396.2800000003</v>
      </c>
      <c r="P34" s="27">
        <v>5061973.5</v>
      </c>
      <c r="Q34" s="27">
        <v>10866369.779999999</v>
      </c>
      <c r="R34" s="27">
        <f>Q34/U34</f>
        <v>22497.66</v>
      </c>
      <c r="S34" s="38">
        <f>Q34/U34</f>
        <v>22497.66</v>
      </c>
      <c r="T34" s="38">
        <f>S34*AR34</f>
        <v>44995.32</v>
      </c>
      <c r="U34" s="38">
        <f>258+225</f>
        <v>483</v>
      </c>
      <c r="V34" s="38"/>
      <c r="W34" s="38">
        <v>225</v>
      </c>
      <c r="X34" s="38"/>
      <c r="Y34" s="38">
        <v>0</v>
      </c>
      <c r="Z34" s="38">
        <f t="shared" si="2"/>
        <v>0</v>
      </c>
      <c r="AA34" s="38">
        <v>225</v>
      </c>
      <c r="AB34" s="38">
        <f t="shared" si="3"/>
        <v>5061973.5</v>
      </c>
      <c r="AC34" s="38">
        <v>258</v>
      </c>
      <c r="AD34" s="38">
        <v>258</v>
      </c>
      <c r="AE34" s="33">
        <v>44958</v>
      </c>
      <c r="AF34" s="33">
        <v>45352</v>
      </c>
      <c r="AG34" s="33"/>
      <c r="AH34" s="33">
        <v>44972</v>
      </c>
      <c r="AI34" s="33">
        <v>45383</v>
      </c>
      <c r="AJ34" s="42"/>
      <c r="AK34" s="37" t="s">
        <v>244</v>
      </c>
      <c r="AL34" s="37" t="s">
        <v>245</v>
      </c>
      <c r="AM34" s="37" t="s">
        <v>246</v>
      </c>
      <c r="AN34" s="37" t="s">
        <v>174</v>
      </c>
      <c r="AO34" s="35">
        <v>0</v>
      </c>
      <c r="AP34" s="35">
        <v>100</v>
      </c>
      <c r="AQ34" s="35" t="s">
        <v>144</v>
      </c>
      <c r="AR34" s="44">
        <v>2</v>
      </c>
      <c r="AS34" s="37" t="s">
        <v>176</v>
      </c>
    </row>
    <row r="35" spans="1:45" ht="78.75" customHeight="1" x14ac:dyDescent="0.25">
      <c r="A35" s="36" t="s">
        <v>247</v>
      </c>
      <c r="B35" s="33">
        <v>44678</v>
      </c>
      <c r="C35" s="35">
        <v>1416</v>
      </c>
      <c r="D35" s="36" t="s">
        <v>248</v>
      </c>
      <c r="E35" s="1" t="s">
        <v>249</v>
      </c>
      <c r="F35" s="33">
        <v>44711</v>
      </c>
      <c r="G35" s="36" t="s">
        <v>250</v>
      </c>
      <c r="H35" s="37" t="s">
        <v>169</v>
      </c>
      <c r="I35" s="37" t="s">
        <v>251</v>
      </c>
      <c r="J35" s="38">
        <v>200319360</v>
      </c>
      <c r="K35" s="40">
        <v>0</v>
      </c>
      <c r="L35" s="41">
        <v>0</v>
      </c>
      <c r="M35" s="38">
        <v>200319360</v>
      </c>
      <c r="N35" s="41">
        <v>0</v>
      </c>
      <c r="O35" s="38">
        <v>67241760</v>
      </c>
      <c r="P35" s="27">
        <v>127332720</v>
      </c>
      <c r="Q35" s="27">
        <v>260410320</v>
      </c>
      <c r="R35" s="27">
        <f>Q35/U35</f>
        <v>12.12</v>
      </c>
      <c r="S35" s="38">
        <f>Q35/U35</f>
        <v>12.12</v>
      </c>
      <c r="T35" s="38">
        <f>S35*AR35</f>
        <v>24240</v>
      </c>
      <c r="U35" s="38">
        <v>21486000</v>
      </c>
      <c r="V35" s="38"/>
      <c r="W35" s="38"/>
      <c r="X35" s="38">
        <v>10506000</v>
      </c>
      <c r="Y35" s="38">
        <v>0</v>
      </c>
      <c r="Z35" s="38">
        <f t="shared" si="2"/>
        <v>0</v>
      </c>
      <c r="AA35" s="38">
        <v>10506000</v>
      </c>
      <c r="AB35" s="38">
        <f t="shared" si="3"/>
        <v>127332719.99999999</v>
      </c>
      <c r="AC35" s="38">
        <v>8264</v>
      </c>
      <c r="AD35" s="38">
        <v>8264</v>
      </c>
      <c r="AE35" s="33">
        <v>44967</v>
      </c>
      <c r="AF35" s="33">
        <v>44986</v>
      </c>
      <c r="AG35" s="33">
        <v>45352</v>
      </c>
      <c r="AH35" s="33">
        <v>44982</v>
      </c>
      <c r="AI35" s="33">
        <v>45000</v>
      </c>
      <c r="AJ35" s="42">
        <v>45383</v>
      </c>
      <c r="AK35" s="37" t="s">
        <v>171</v>
      </c>
      <c r="AL35" s="37" t="s">
        <v>252</v>
      </c>
      <c r="AM35" s="37" t="s">
        <v>173</v>
      </c>
      <c r="AN35" s="37" t="s">
        <v>174</v>
      </c>
      <c r="AO35" s="35">
        <v>0</v>
      </c>
      <c r="AP35" s="35">
        <v>100</v>
      </c>
      <c r="AQ35" s="35" t="s">
        <v>175</v>
      </c>
      <c r="AR35" s="44">
        <v>2000</v>
      </c>
      <c r="AS35" s="37" t="s">
        <v>176</v>
      </c>
    </row>
    <row r="36" spans="1:45" ht="78.75" customHeight="1" x14ac:dyDescent="0.25">
      <c r="A36" s="36" t="s">
        <v>253</v>
      </c>
      <c r="B36" s="33">
        <v>44678</v>
      </c>
      <c r="C36" s="35">
        <v>1416</v>
      </c>
      <c r="D36" s="36" t="s">
        <v>254</v>
      </c>
      <c r="E36" s="1" t="s">
        <v>255</v>
      </c>
      <c r="F36" s="33">
        <v>44711</v>
      </c>
      <c r="G36" s="36" t="s">
        <v>256</v>
      </c>
      <c r="H36" s="37" t="s">
        <v>138</v>
      </c>
      <c r="I36" s="37" t="s">
        <v>257</v>
      </c>
      <c r="J36" s="38">
        <v>9624025.5999999996</v>
      </c>
      <c r="K36" s="40">
        <v>0</v>
      </c>
      <c r="L36" s="41">
        <v>0</v>
      </c>
      <c r="M36" s="38">
        <v>9624025.5999999996</v>
      </c>
      <c r="N36" s="41">
        <v>0</v>
      </c>
      <c r="O36" s="38">
        <v>4812012.8</v>
      </c>
      <c r="P36" s="27">
        <v>6015016</v>
      </c>
      <c r="Q36" s="27">
        <v>10827028.800000001</v>
      </c>
      <c r="R36" s="27">
        <f>Q36/U36</f>
        <v>8592.880000000001</v>
      </c>
      <c r="S36" s="38">
        <f>Q36/U36</f>
        <v>8592.880000000001</v>
      </c>
      <c r="T36" s="38">
        <f>S36*AR36</f>
        <v>34371.520000000004</v>
      </c>
      <c r="U36" s="38">
        <f>560+700</f>
        <v>1260</v>
      </c>
      <c r="V36" s="38"/>
      <c r="W36" s="38">
        <f>96+604</f>
        <v>700</v>
      </c>
      <c r="X36" s="38"/>
      <c r="Y36" s="38">
        <v>96</v>
      </c>
      <c r="Z36" s="38">
        <f t="shared" si="2"/>
        <v>824916.4800000001</v>
      </c>
      <c r="AA36" s="38">
        <v>604</v>
      </c>
      <c r="AB36" s="38">
        <f t="shared" si="3"/>
        <v>5190099.5200000005</v>
      </c>
      <c r="AC36" s="38">
        <v>280</v>
      </c>
      <c r="AD36" s="38">
        <v>280</v>
      </c>
      <c r="AE36" s="33">
        <v>44986</v>
      </c>
      <c r="AF36" s="33">
        <v>45352</v>
      </c>
      <c r="AG36" s="33"/>
      <c r="AH36" s="33">
        <v>45000</v>
      </c>
      <c r="AI36" s="42">
        <v>45383</v>
      </c>
      <c r="AJ36" s="42"/>
      <c r="AK36" s="37" t="s">
        <v>258</v>
      </c>
      <c r="AL36" s="37" t="s">
        <v>259</v>
      </c>
      <c r="AM36" s="37" t="s">
        <v>260</v>
      </c>
      <c r="AN36" s="37" t="s">
        <v>143</v>
      </c>
      <c r="AO36" s="43">
        <v>0</v>
      </c>
      <c r="AP36" s="35">
        <v>100</v>
      </c>
      <c r="AQ36" s="35" t="s">
        <v>164</v>
      </c>
      <c r="AR36" s="44">
        <v>4</v>
      </c>
      <c r="AS36" s="37" t="s">
        <v>176</v>
      </c>
    </row>
    <row r="37" spans="1:45" ht="78.75" customHeight="1" x14ac:dyDescent="0.25">
      <c r="A37" s="36" t="s">
        <v>261</v>
      </c>
      <c r="B37" s="33">
        <v>44679</v>
      </c>
      <c r="C37" s="35">
        <v>1416</v>
      </c>
      <c r="D37" s="36" t="s">
        <v>262</v>
      </c>
      <c r="E37" s="1" t="s">
        <v>263</v>
      </c>
      <c r="F37" s="33">
        <v>44711</v>
      </c>
      <c r="G37" s="36" t="s">
        <v>264</v>
      </c>
      <c r="H37" s="37" t="s">
        <v>138</v>
      </c>
      <c r="I37" s="37" t="s">
        <v>265</v>
      </c>
      <c r="J37" s="38">
        <v>44846945.640000001</v>
      </c>
      <c r="K37" s="40">
        <v>0</v>
      </c>
      <c r="L37" s="41">
        <v>0</v>
      </c>
      <c r="M37" s="38">
        <v>44846945.640000001</v>
      </c>
      <c r="N37" s="41">
        <v>0</v>
      </c>
      <c r="O37" s="38">
        <v>22423472.82</v>
      </c>
      <c r="P37" s="27">
        <v>35788456.619999997</v>
      </c>
      <c r="Q37" s="27">
        <v>58211929.439999998</v>
      </c>
      <c r="R37" s="27">
        <f>Q37/U37</f>
        <v>7071.42</v>
      </c>
      <c r="S37" s="38">
        <f>Q37/U37</f>
        <v>7071.42</v>
      </c>
      <c r="T37" s="38">
        <f>S37*AR37</f>
        <v>148499.82</v>
      </c>
      <c r="U37" s="38">
        <v>8232</v>
      </c>
      <c r="V37" s="38"/>
      <c r="W37" s="38">
        <v>5061</v>
      </c>
      <c r="X37" s="38"/>
      <c r="Y37" s="38">
        <v>0</v>
      </c>
      <c r="Z37" s="38">
        <f t="shared" si="2"/>
        <v>0</v>
      </c>
      <c r="AA37" s="38">
        <v>5061</v>
      </c>
      <c r="AB37" s="38">
        <f t="shared" si="3"/>
        <v>35788456.619999997</v>
      </c>
      <c r="AC37" s="38">
        <v>302</v>
      </c>
      <c r="AD37" s="38">
        <v>302</v>
      </c>
      <c r="AE37" s="33">
        <v>44986</v>
      </c>
      <c r="AF37" s="33">
        <v>45352</v>
      </c>
      <c r="AG37" s="33"/>
      <c r="AH37" s="33">
        <v>45000</v>
      </c>
      <c r="AI37" s="42">
        <v>45383</v>
      </c>
      <c r="AJ37" s="42"/>
      <c r="AK37" s="37" t="s">
        <v>266</v>
      </c>
      <c r="AL37" s="37" t="s">
        <v>267</v>
      </c>
      <c r="AM37" s="37" t="s">
        <v>268</v>
      </c>
      <c r="AN37" s="37" t="s">
        <v>50</v>
      </c>
      <c r="AO37" s="43">
        <v>100</v>
      </c>
      <c r="AP37" s="35">
        <v>0</v>
      </c>
      <c r="AQ37" s="35" t="s">
        <v>144</v>
      </c>
      <c r="AR37" s="44">
        <v>21</v>
      </c>
      <c r="AS37" s="37" t="s">
        <v>176</v>
      </c>
    </row>
    <row r="38" spans="1:45" ht="78.75" customHeight="1" x14ac:dyDescent="0.25">
      <c r="A38" s="36" t="s">
        <v>269</v>
      </c>
      <c r="B38" s="33">
        <v>44680</v>
      </c>
      <c r="C38" s="35">
        <v>1416</v>
      </c>
      <c r="D38" s="36" t="s">
        <v>270</v>
      </c>
      <c r="E38" s="1" t="s">
        <v>271</v>
      </c>
      <c r="F38" s="33">
        <v>44713</v>
      </c>
      <c r="G38" s="36" t="s">
        <v>272</v>
      </c>
      <c r="H38" s="37" t="s">
        <v>273</v>
      </c>
      <c r="I38" s="37" t="s">
        <v>274</v>
      </c>
      <c r="J38" s="38">
        <v>761678714.15999997</v>
      </c>
      <c r="K38" s="40">
        <v>1.0000000706859646</v>
      </c>
      <c r="L38" s="41">
        <v>7616787.6799999475</v>
      </c>
      <c r="M38" s="38">
        <v>754061926.48000002</v>
      </c>
      <c r="N38" s="41">
        <v>-7622050.7999999523</v>
      </c>
      <c r="O38" s="38">
        <v>377028331.68000001</v>
      </c>
      <c r="P38" s="27">
        <v>377028331.68000001</v>
      </c>
      <c r="Q38" s="27">
        <v>754056663.36000001</v>
      </c>
      <c r="R38" s="27">
        <f>Q38/U38</f>
        <v>4412.32</v>
      </c>
      <c r="S38" s="38">
        <f>Q38/U38</f>
        <v>4412.32</v>
      </c>
      <c r="T38" s="38">
        <f>S38*AR38</f>
        <v>92658.72</v>
      </c>
      <c r="U38" s="38">
        <f>85449*2</f>
        <v>170898</v>
      </c>
      <c r="V38" s="38"/>
      <c r="W38" s="38">
        <v>85449</v>
      </c>
      <c r="X38" s="38"/>
      <c r="Y38" s="38">
        <v>0</v>
      </c>
      <c r="Z38" s="38">
        <f t="shared" si="2"/>
        <v>0</v>
      </c>
      <c r="AA38" s="38">
        <v>85449</v>
      </c>
      <c r="AB38" s="38">
        <f t="shared" si="3"/>
        <v>377028331.67999995</v>
      </c>
      <c r="AC38" s="38">
        <v>8138</v>
      </c>
      <c r="AD38" s="38">
        <v>8138</v>
      </c>
      <c r="AE38" s="33">
        <v>44958</v>
      </c>
      <c r="AF38" s="33">
        <v>45352</v>
      </c>
      <c r="AG38" s="33"/>
      <c r="AH38" s="33">
        <v>44972</v>
      </c>
      <c r="AI38" s="42">
        <v>45383</v>
      </c>
      <c r="AJ38" s="42"/>
      <c r="AK38" s="37" t="s">
        <v>275</v>
      </c>
      <c r="AL38" s="37" t="s">
        <v>276</v>
      </c>
      <c r="AM38" s="37" t="s">
        <v>277</v>
      </c>
      <c r="AN38" s="37" t="s">
        <v>50</v>
      </c>
      <c r="AO38" s="35">
        <v>100</v>
      </c>
      <c r="AP38" s="35">
        <v>0</v>
      </c>
      <c r="AQ38" s="35" t="s">
        <v>144</v>
      </c>
      <c r="AR38" s="48">
        <v>21</v>
      </c>
      <c r="AS38" s="37" t="s">
        <v>145</v>
      </c>
    </row>
    <row r="39" spans="1:45" ht="78.75" customHeight="1" x14ac:dyDescent="0.25">
      <c r="A39" s="36" t="s">
        <v>278</v>
      </c>
      <c r="B39" s="33">
        <v>44680</v>
      </c>
      <c r="C39" s="35">
        <v>1416</v>
      </c>
      <c r="D39" s="36" t="s">
        <v>279</v>
      </c>
      <c r="E39" s="1" t="s">
        <v>280</v>
      </c>
      <c r="F39" s="33">
        <v>44712</v>
      </c>
      <c r="G39" s="36" t="s">
        <v>281</v>
      </c>
      <c r="H39" s="37" t="s">
        <v>282</v>
      </c>
      <c r="I39" s="37" t="s">
        <v>283</v>
      </c>
      <c r="J39" s="38">
        <v>61486783.68</v>
      </c>
      <c r="K39" s="40">
        <v>2.5000000130109288</v>
      </c>
      <c r="L39" s="41">
        <v>1537169.6000000015</v>
      </c>
      <c r="M39" s="38">
        <v>59949614.079999998</v>
      </c>
      <c r="N39" s="41">
        <v>-1537213.4399999976</v>
      </c>
      <c r="O39" s="38">
        <v>29974785.120000001</v>
      </c>
      <c r="P39" s="27">
        <v>29974785.120000001</v>
      </c>
      <c r="Q39" s="27">
        <v>59949570.240000002</v>
      </c>
      <c r="R39" s="27">
        <f>Q39/U39</f>
        <v>3076.23</v>
      </c>
      <c r="S39" s="38">
        <f>Q39/U39</f>
        <v>3076.23</v>
      </c>
      <c r="T39" s="38">
        <f>S39*AR39</f>
        <v>64600.83</v>
      </c>
      <c r="U39" s="38">
        <v>19488</v>
      </c>
      <c r="V39" s="38"/>
      <c r="W39" s="38">
        <v>9744</v>
      </c>
      <c r="X39" s="38"/>
      <c r="Y39" s="38">
        <v>0</v>
      </c>
      <c r="Z39" s="38">
        <f t="shared" si="2"/>
        <v>0</v>
      </c>
      <c r="AA39" s="38">
        <v>9744</v>
      </c>
      <c r="AB39" s="38">
        <f t="shared" si="3"/>
        <v>29974785.120000001</v>
      </c>
      <c r="AC39" s="38">
        <v>928</v>
      </c>
      <c r="AD39" s="38">
        <v>928</v>
      </c>
      <c r="AE39" s="33">
        <v>44958</v>
      </c>
      <c r="AF39" s="33">
        <v>45292</v>
      </c>
      <c r="AG39" s="33"/>
      <c r="AH39" s="33">
        <v>44972</v>
      </c>
      <c r="AI39" s="33">
        <v>45366</v>
      </c>
      <c r="AJ39" s="42"/>
      <c r="AK39" s="37" t="s">
        <v>284</v>
      </c>
      <c r="AL39" s="37" t="s">
        <v>285</v>
      </c>
      <c r="AM39" s="37" t="s">
        <v>286</v>
      </c>
      <c r="AN39" s="37" t="s">
        <v>50</v>
      </c>
      <c r="AO39" s="35">
        <v>100</v>
      </c>
      <c r="AP39" s="35">
        <v>0</v>
      </c>
      <c r="AQ39" s="35" t="s">
        <v>144</v>
      </c>
      <c r="AR39" s="48">
        <v>21</v>
      </c>
      <c r="AS39" s="37" t="s">
        <v>176</v>
      </c>
    </row>
    <row r="40" spans="1:45" ht="78.75" customHeight="1" x14ac:dyDescent="0.25">
      <c r="A40" s="36" t="s">
        <v>287</v>
      </c>
      <c r="B40" s="33">
        <v>44680</v>
      </c>
      <c r="C40" s="35">
        <v>1416</v>
      </c>
      <c r="D40" s="36" t="s">
        <v>288</v>
      </c>
      <c r="E40" s="1" t="s">
        <v>289</v>
      </c>
      <c r="F40" s="33">
        <v>44714</v>
      </c>
      <c r="G40" s="36" t="s">
        <v>290</v>
      </c>
      <c r="H40" s="37" t="s">
        <v>291</v>
      </c>
      <c r="I40" s="37" t="s">
        <v>292</v>
      </c>
      <c r="J40" s="38">
        <v>3291225799.6799998</v>
      </c>
      <c r="K40" s="40">
        <v>0.50000001706354957</v>
      </c>
      <c r="L40" s="41">
        <v>16456129.559999943</v>
      </c>
      <c r="M40" s="38">
        <v>3274769670.1199999</v>
      </c>
      <c r="N40" s="41">
        <v>-16460962.559999943</v>
      </c>
      <c r="O40" s="38">
        <v>1637382418.5599999</v>
      </c>
      <c r="P40" s="27">
        <v>1454542881.1199999</v>
      </c>
      <c r="Q40" s="38">
        <v>3091925299.6799998</v>
      </c>
      <c r="R40" s="27">
        <v>4605.6849999999995</v>
      </c>
      <c r="S40" s="38">
        <v>4333.33</v>
      </c>
      <c r="T40" s="38"/>
      <c r="U40" s="38">
        <v>671328</v>
      </c>
      <c r="V40" s="38"/>
      <c r="W40" s="38">
        <v>335664</v>
      </c>
      <c r="X40" s="38"/>
      <c r="Y40" s="38">
        <v>983</v>
      </c>
      <c r="Z40" s="38">
        <f t="shared" si="2"/>
        <v>4259663.3899999997</v>
      </c>
      <c r="AA40" s="38">
        <v>334681</v>
      </c>
      <c r="AB40" s="38">
        <f t="shared" si="3"/>
        <v>1450283217.73</v>
      </c>
      <c r="AC40" s="38">
        <v>0</v>
      </c>
      <c r="AD40" s="38">
        <v>0</v>
      </c>
      <c r="AE40" s="33">
        <v>44958</v>
      </c>
      <c r="AF40" s="33">
        <v>45352</v>
      </c>
      <c r="AG40" s="33"/>
      <c r="AH40" s="33">
        <v>44972</v>
      </c>
      <c r="AI40" s="33">
        <v>45383</v>
      </c>
      <c r="AJ40" s="42"/>
      <c r="AK40" s="37" t="s">
        <v>293</v>
      </c>
      <c r="AL40" s="37" t="s">
        <v>294</v>
      </c>
      <c r="AM40" s="37" t="s">
        <v>295</v>
      </c>
      <c r="AN40" s="37" t="s">
        <v>50</v>
      </c>
      <c r="AO40" s="35">
        <v>100</v>
      </c>
      <c r="AP40" s="35">
        <v>0</v>
      </c>
      <c r="AQ40" s="35" t="s">
        <v>144</v>
      </c>
      <c r="AR40" s="48">
        <v>21</v>
      </c>
      <c r="AS40" s="37" t="s">
        <v>176</v>
      </c>
    </row>
    <row r="41" spans="1:45" ht="76.5" customHeight="1" x14ac:dyDescent="0.25">
      <c r="A41" s="36" t="s">
        <v>296</v>
      </c>
      <c r="B41" s="33">
        <v>44680</v>
      </c>
      <c r="C41" s="35">
        <v>1416</v>
      </c>
      <c r="D41" s="36" t="s">
        <v>297</v>
      </c>
      <c r="E41" s="1" t="s">
        <v>298</v>
      </c>
      <c r="F41" s="33">
        <v>44712</v>
      </c>
      <c r="G41" s="36" t="s">
        <v>299</v>
      </c>
      <c r="H41" s="37" t="s">
        <v>282</v>
      </c>
      <c r="I41" s="37" t="s">
        <v>300</v>
      </c>
      <c r="J41" s="38">
        <v>268892744.39999998</v>
      </c>
      <c r="K41" s="40">
        <v>1.4999999977686147</v>
      </c>
      <c r="L41" s="41">
        <v>4033391.1599999666</v>
      </c>
      <c r="M41" s="38">
        <v>264859353.24000001</v>
      </c>
      <c r="N41" s="41">
        <v>4033505.6999999881</v>
      </c>
      <c r="O41" s="38">
        <v>132429619.34999999</v>
      </c>
      <c r="P41" s="27">
        <v>132429619.34999999</v>
      </c>
      <c r="Q41" s="27">
        <v>264859238.69999999</v>
      </c>
      <c r="R41" s="27">
        <f>Q41/U41</f>
        <v>4162.49</v>
      </c>
      <c r="S41" s="38">
        <f>Q41/U41</f>
        <v>4162.49</v>
      </c>
      <c r="T41" s="38">
        <f>S41*AR41</f>
        <v>87412.29</v>
      </c>
      <c r="U41" s="38">
        <v>63630</v>
      </c>
      <c r="V41" s="38"/>
      <c r="W41" s="38">
        <v>31815</v>
      </c>
      <c r="X41" s="38"/>
      <c r="Y41" s="38">
        <v>0</v>
      </c>
      <c r="Z41" s="38">
        <f t="shared" si="2"/>
        <v>0</v>
      </c>
      <c r="AA41" s="38">
        <v>31815</v>
      </c>
      <c r="AB41" s="38">
        <f t="shared" si="3"/>
        <v>132429619.34999999</v>
      </c>
      <c r="AC41" s="38">
        <v>3030</v>
      </c>
      <c r="AD41" s="38">
        <v>3030</v>
      </c>
      <c r="AE41" s="33">
        <v>44958</v>
      </c>
      <c r="AF41" s="33">
        <v>45352</v>
      </c>
      <c r="AG41" s="33"/>
      <c r="AH41" s="33">
        <v>44972</v>
      </c>
      <c r="AI41" s="33">
        <v>45383</v>
      </c>
      <c r="AJ41" s="42"/>
      <c r="AK41" s="37" t="s">
        <v>284</v>
      </c>
      <c r="AL41" s="37" t="s">
        <v>301</v>
      </c>
      <c r="AM41" s="37" t="s">
        <v>286</v>
      </c>
      <c r="AN41" s="37" t="s">
        <v>50</v>
      </c>
      <c r="AO41" s="43">
        <v>0</v>
      </c>
      <c r="AP41" s="35">
        <v>100</v>
      </c>
      <c r="AQ41" s="35" t="s">
        <v>144</v>
      </c>
      <c r="AR41" s="44">
        <v>21</v>
      </c>
      <c r="AS41" s="37" t="s">
        <v>176</v>
      </c>
    </row>
    <row r="42" spans="1:45" ht="76.5" customHeight="1" x14ac:dyDescent="0.25">
      <c r="A42" s="36" t="s">
        <v>302</v>
      </c>
      <c r="B42" s="33">
        <v>44685</v>
      </c>
      <c r="C42" s="35">
        <v>1416</v>
      </c>
      <c r="D42" s="36" t="s">
        <v>303</v>
      </c>
      <c r="E42" s="1" t="s">
        <v>304</v>
      </c>
      <c r="F42" s="33">
        <v>44626</v>
      </c>
      <c r="G42" s="36" t="s">
        <v>305</v>
      </c>
      <c r="H42" s="37" t="s">
        <v>193</v>
      </c>
      <c r="I42" s="37" t="s">
        <v>306</v>
      </c>
      <c r="J42" s="38">
        <v>1400150205</v>
      </c>
      <c r="K42" s="40">
        <v>99.159763341962304</v>
      </c>
      <c r="L42" s="41">
        <v>1388385629.71</v>
      </c>
      <c r="M42" s="38">
        <v>11764575.289999999</v>
      </c>
      <c r="N42" s="41">
        <v>1394269544.25</v>
      </c>
      <c r="O42" s="38">
        <v>5880660.75</v>
      </c>
      <c r="P42" s="27">
        <v>5880660.75</v>
      </c>
      <c r="Q42" s="38">
        <v>11761321.5</v>
      </c>
      <c r="R42" s="27">
        <f>Q42/U42</f>
        <v>7.87</v>
      </c>
      <c r="S42" s="38">
        <f>Q42/U42</f>
        <v>7.87</v>
      </c>
      <c r="T42" s="38">
        <f>S42*AR42</f>
        <v>220.36</v>
      </c>
      <c r="U42" s="38">
        <v>1494450</v>
      </c>
      <c r="V42" s="38"/>
      <c r="W42" s="38">
        <v>747225</v>
      </c>
      <c r="X42" s="38"/>
      <c r="Y42" s="38">
        <v>2044</v>
      </c>
      <c r="Z42" s="38">
        <f t="shared" si="2"/>
        <v>16086.28</v>
      </c>
      <c r="AA42" s="38">
        <v>745181</v>
      </c>
      <c r="AB42" s="38">
        <f t="shared" si="3"/>
        <v>5864574.4699999997</v>
      </c>
      <c r="AC42" s="38">
        <v>53373.214285714283</v>
      </c>
      <c r="AD42" s="38">
        <v>53374</v>
      </c>
      <c r="AE42" s="33">
        <v>44986</v>
      </c>
      <c r="AF42" s="33">
        <v>45352</v>
      </c>
      <c r="AG42" s="33"/>
      <c r="AH42" s="33">
        <v>45000</v>
      </c>
      <c r="AI42" s="33">
        <v>45383</v>
      </c>
      <c r="AJ42" s="42"/>
      <c r="AK42" s="37" t="s">
        <v>307</v>
      </c>
      <c r="AL42" s="37" t="s">
        <v>308</v>
      </c>
      <c r="AM42" s="37" t="s">
        <v>309</v>
      </c>
      <c r="AN42" s="37" t="s">
        <v>50</v>
      </c>
      <c r="AO42" s="43">
        <v>100</v>
      </c>
      <c r="AP42" s="35">
        <v>0</v>
      </c>
      <c r="AQ42" s="35" t="s">
        <v>144</v>
      </c>
      <c r="AR42" s="44">
        <v>28</v>
      </c>
      <c r="AS42" s="37" t="s">
        <v>176</v>
      </c>
    </row>
    <row r="43" spans="1:45" ht="76.5" customHeight="1" x14ac:dyDescent="0.25">
      <c r="A43" s="36" t="s">
        <v>310</v>
      </c>
      <c r="B43" s="33">
        <v>44708</v>
      </c>
      <c r="C43" s="35">
        <v>1416</v>
      </c>
      <c r="D43" s="36" t="s">
        <v>311</v>
      </c>
      <c r="E43" s="1" t="s">
        <v>312</v>
      </c>
      <c r="F43" s="33">
        <v>44739</v>
      </c>
      <c r="G43" s="35" t="s">
        <v>313</v>
      </c>
      <c r="H43" s="37" t="s">
        <v>314</v>
      </c>
      <c r="I43" s="37" t="s">
        <v>315</v>
      </c>
      <c r="J43" s="38">
        <v>761721856</v>
      </c>
      <c r="K43" s="40">
        <v>0</v>
      </c>
      <c r="L43" s="41">
        <v>0</v>
      </c>
      <c r="M43" s="38">
        <v>761721856</v>
      </c>
      <c r="N43" s="41">
        <v>0</v>
      </c>
      <c r="O43" s="38">
        <v>380860928</v>
      </c>
      <c r="P43" s="27">
        <v>380860928</v>
      </c>
      <c r="Q43" s="27">
        <v>761721856</v>
      </c>
      <c r="R43" s="27">
        <f>Q43/U43</f>
        <v>258.39999999999998</v>
      </c>
      <c r="S43" s="38">
        <f>Q43/U43</f>
        <v>258.39999999999998</v>
      </c>
      <c r="T43" s="38">
        <f>S43*AR43</f>
        <v>7235.1999999999989</v>
      </c>
      <c r="U43" s="38">
        <v>2947840</v>
      </c>
      <c r="V43" s="38"/>
      <c r="W43" s="38">
        <v>1473920</v>
      </c>
      <c r="X43" s="38"/>
      <c r="Y43" s="38">
        <v>1820</v>
      </c>
      <c r="Z43" s="38">
        <f t="shared" si="2"/>
        <v>470287.99999999994</v>
      </c>
      <c r="AA43" s="38">
        <v>1472100</v>
      </c>
      <c r="AB43" s="38">
        <f t="shared" si="3"/>
        <v>380390639.99999994</v>
      </c>
      <c r="AC43" s="38">
        <v>105280</v>
      </c>
      <c r="AD43" s="38">
        <v>105280</v>
      </c>
      <c r="AE43" s="33">
        <v>44958</v>
      </c>
      <c r="AF43" s="33">
        <v>45323</v>
      </c>
      <c r="AG43" s="33"/>
      <c r="AH43" s="33">
        <v>44972</v>
      </c>
      <c r="AI43" s="33">
        <v>45352</v>
      </c>
      <c r="AJ43" s="42"/>
      <c r="AK43" s="37" t="s">
        <v>195</v>
      </c>
      <c r="AL43" s="37" t="s">
        <v>316</v>
      </c>
      <c r="AM43" s="37" t="s">
        <v>317</v>
      </c>
      <c r="AN43" s="37" t="s">
        <v>50</v>
      </c>
      <c r="AO43" s="35">
        <v>100</v>
      </c>
      <c r="AP43" s="35">
        <v>0</v>
      </c>
      <c r="AQ43" s="35" t="s">
        <v>164</v>
      </c>
      <c r="AR43" s="44">
        <v>28</v>
      </c>
      <c r="AS43" s="37" t="s">
        <v>176</v>
      </c>
    </row>
    <row r="44" spans="1:45" ht="76.5" customHeight="1" x14ac:dyDescent="0.25">
      <c r="A44" s="36" t="s">
        <v>318</v>
      </c>
      <c r="B44" s="33">
        <v>44706</v>
      </c>
      <c r="C44" s="35">
        <v>1416</v>
      </c>
      <c r="D44" s="36" t="s">
        <v>319</v>
      </c>
      <c r="E44" s="1" t="s">
        <v>320</v>
      </c>
      <c r="F44" s="33">
        <v>44729</v>
      </c>
      <c r="G44" s="35" t="s">
        <v>321</v>
      </c>
      <c r="H44" s="37" t="s">
        <v>219</v>
      </c>
      <c r="I44" s="37" t="s">
        <v>322</v>
      </c>
      <c r="J44" s="38">
        <v>274032460.80000001</v>
      </c>
      <c r="K44" s="40">
        <f>((J44-M44)/J44)*100</f>
        <v>0</v>
      </c>
      <c r="L44" s="41">
        <f>J44-M44</f>
        <v>0</v>
      </c>
      <c r="M44" s="27">
        <v>274032460.80000001</v>
      </c>
      <c r="N44" s="41">
        <v>0</v>
      </c>
      <c r="O44" s="38">
        <v>137016230.40000001</v>
      </c>
      <c r="P44" s="27">
        <v>136875267.19999999</v>
      </c>
      <c r="Q44" s="27">
        <v>273891497.60000002</v>
      </c>
      <c r="R44" s="27">
        <f>Q44/U44</f>
        <v>2013.7600000000002</v>
      </c>
      <c r="S44" s="38">
        <f>Q44/U44</f>
        <v>2013.7600000000002</v>
      </c>
      <c r="T44" s="38">
        <f>S44*AR44</f>
        <v>20137.600000000002</v>
      </c>
      <c r="U44" s="38">
        <v>136010</v>
      </c>
      <c r="V44" s="38"/>
      <c r="W44" s="38">
        <v>67970</v>
      </c>
      <c r="X44" s="38"/>
      <c r="Y44" s="38">
        <v>51570</v>
      </c>
      <c r="Z44" s="38">
        <f t="shared" si="2"/>
        <v>103849603.20000002</v>
      </c>
      <c r="AA44" s="38">
        <v>16400</v>
      </c>
      <c r="AB44" s="38">
        <f t="shared" si="3"/>
        <v>33025664.000000004</v>
      </c>
      <c r="AC44" s="38">
        <f>U44/AR44</f>
        <v>13601</v>
      </c>
      <c r="AD44" s="38">
        <f>_xlfn.CEILING.MATH(AC44)</f>
        <v>13601</v>
      </c>
      <c r="AE44" s="33">
        <v>45031</v>
      </c>
      <c r="AF44" s="33">
        <v>45397</v>
      </c>
      <c r="AG44" s="33"/>
      <c r="AH44" s="33">
        <v>45061</v>
      </c>
      <c r="AI44" s="33">
        <v>45427</v>
      </c>
      <c r="AJ44" s="42"/>
      <c r="AK44" s="37" t="s">
        <v>323</v>
      </c>
      <c r="AL44" s="37" t="s">
        <v>324</v>
      </c>
      <c r="AM44" s="37" t="s">
        <v>325</v>
      </c>
      <c r="AN44" s="37" t="s">
        <v>326</v>
      </c>
      <c r="AO44" s="43">
        <v>0</v>
      </c>
      <c r="AP44" s="35">
        <v>100</v>
      </c>
      <c r="AQ44" s="35" t="s">
        <v>164</v>
      </c>
      <c r="AR44" s="44">
        <v>10</v>
      </c>
      <c r="AS44" s="37" t="s">
        <v>176</v>
      </c>
    </row>
    <row r="45" spans="1:45" ht="76.5" customHeight="1" x14ac:dyDescent="0.25">
      <c r="A45" s="36" t="s">
        <v>327</v>
      </c>
      <c r="B45" s="33">
        <v>44715</v>
      </c>
      <c r="C45" s="35">
        <v>1416</v>
      </c>
      <c r="D45" s="36" t="s">
        <v>328</v>
      </c>
      <c r="E45" s="1" t="s">
        <v>329</v>
      </c>
      <c r="F45" s="33">
        <v>44746</v>
      </c>
      <c r="G45" s="35" t="s">
        <v>330</v>
      </c>
      <c r="H45" s="37" t="s">
        <v>331</v>
      </c>
      <c r="I45" s="37" t="s">
        <v>332</v>
      </c>
      <c r="J45" s="38">
        <v>1240064812.8</v>
      </c>
      <c r="K45" s="40">
        <v>0</v>
      </c>
      <c r="L45" s="41">
        <v>0</v>
      </c>
      <c r="M45" s="38">
        <v>1240064812.8</v>
      </c>
      <c r="N45" s="41">
        <v>620032406.39999998</v>
      </c>
      <c r="O45" s="38">
        <v>620032406.39999998</v>
      </c>
      <c r="P45" s="27">
        <v>992041578</v>
      </c>
      <c r="Q45" s="27">
        <v>1612073984.4000001</v>
      </c>
      <c r="R45" s="27">
        <f>Q45/U45</f>
        <v>142.67000000000002</v>
      </c>
      <c r="S45" s="38">
        <f>Q45/U45</f>
        <v>142.67000000000002</v>
      </c>
      <c r="T45" s="38">
        <f>S45*AR45</f>
        <v>17120.400000000001</v>
      </c>
      <c r="U45" s="38">
        <v>11299320</v>
      </c>
      <c r="V45" s="38"/>
      <c r="W45" s="38">
        <f>47880+6905520</f>
        <v>6953400</v>
      </c>
      <c r="X45" s="38"/>
      <c r="Y45" s="38">
        <v>47880</v>
      </c>
      <c r="Z45" s="38">
        <f t="shared" si="2"/>
        <v>6831039.6000000006</v>
      </c>
      <c r="AA45" s="38">
        <v>6905520</v>
      </c>
      <c r="AB45" s="38">
        <f t="shared" si="3"/>
        <v>985210538.4000001</v>
      </c>
      <c r="AC45" s="38">
        <v>72432</v>
      </c>
      <c r="AD45" s="38">
        <v>72432</v>
      </c>
      <c r="AE45" s="33">
        <v>44986</v>
      </c>
      <c r="AF45" s="33">
        <v>45352</v>
      </c>
      <c r="AG45" s="33"/>
      <c r="AH45" s="33">
        <v>45000</v>
      </c>
      <c r="AI45" s="33">
        <v>45383</v>
      </c>
      <c r="AJ45" s="42"/>
      <c r="AK45" s="37" t="s">
        <v>333</v>
      </c>
      <c r="AL45" s="37" t="s">
        <v>334</v>
      </c>
      <c r="AM45" s="37" t="s">
        <v>335</v>
      </c>
      <c r="AN45" s="37" t="s">
        <v>336</v>
      </c>
      <c r="AO45" s="43">
        <v>0</v>
      </c>
      <c r="AP45" s="35">
        <v>100</v>
      </c>
      <c r="AQ45" s="35" t="s">
        <v>337</v>
      </c>
      <c r="AR45" s="44">
        <v>120</v>
      </c>
      <c r="AS45" s="37" t="s">
        <v>176</v>
      </c>
    </row>
    <row r="46" spans="1:45" ht="76.5" customHeight="1" x14ac:dyDescent="0.25">
      <c r="A46" s="36" t="s">
        <v>338</v>
      </c>
      <c r="B46" s="33">
        <v>44719</v>
      </c>
      <c r="C46" s="35">
        <v>1416</v>
      </c>
      <c r="D46" s="36" t="s">
        <v>339</v>
      </c>
      <c r="E46" s="1" t="s">
        <v>340</v>
      </c>
      <c r="F46" s="33">
        <v>44746</v>
      </c>
      <c r="G46" s="36" t="s">
        <v>341</v>
      </c>
      <c r="H46" s="37" t="s">
        <v>169</v>
      </c>
      <c r="I46" s="37" t="s">
        <v>342</v>
      </c>
      <c r="J46" s="38">
        <v>117119160</v>
      </c>
      <c r="K46" s="40">
        <v>0</v>
      </c>
      <c r="L46" s="41">
        <v>0</v>
      </c>
      <c r="M46" s="38">
        <v>117119160</v>
      </c>
      <c r="N46" s="41">
        <v>0</v>
      </c>
      <c r="O46" s="38">
        <v>58559580</v>
      </c>
      <c r="P46" s="27">
        <v>93665640</v>
      </c>
      <c r="Q46" s="27">
        <v>152225220</v>
      </c>
      <c r="R46" s="27">
        <f>Q46/U46</f>
        <v>12.37</v>
      </c>
      <c r="S46" s="38">
        <f>Q46/U46</f>
        <v>12.37</v>
      </c>
      <c r="T46" s="38">
        <f>S46*AR46</f>
        <v>37110</v>
      </c>
      <c r="U46" s="38">
        <v>12306000</v>
      </c>
      <c r="V46" s="38"/>
      <c r="W46" s="38">
        <v>7572000</v>
      </c>
      <c r="X46" s="38"/>
      <c r="Y46" s="38">
        <v>0</v>
      </c>
      <c r="Z46" s="38">
        <f t="shared" si="2"/>
        <v>0</v>
      </c>
      <c r="AA46" s="38">
        <v>7572000</v>
      </c>
      <c r="AB46" s="38">
        <f t="shared" si="3"/>
        <v>93665640</v>
      </c>
      <c r="AC46" s="38">
        <v>3156</v>
      </c>
      <c r="AD46" s="38">
        <v>3156</v>
      </c>
      <c r="AE46" s="33">
        <v>44986</v>
      </c>
      <c r="AF46" s="33">
        <v>45352</v>
      </c>
      <c r="AG46" s="33"/>
      <c r="AH46" s="33">
        <v>45000</v>
      </c>
      <c r="AI46" s="33">
        <v>45383</v>
      </c>
      <c r="AJ46" s="42"/>
      <c r="AK46" s="37" t="s">
        <v>171</v>
      </c>
      <c r="AL46" s="37" t="s">
        <v>343</v>
      </c>
      <c r="AM46" s="37" t="s">
        <v>173</v>
      </c>
      <c r="AN46" s="37" t="s">
        <v>174</v>
      </c>
      <c r="AO46" s="43">
        <v>0</v>
      </c>
      <c r="AP46" s="35">
        <v>100</v>
      </c>
      <c r="AQ46" s="35" t="s">
        <v>175</v>
      </c>
      <c r="AR46" s="44">
        <v>3000</v>
      </c>
      <c r="AS46" s="37" t="s">
        <v>176</v>
      </c>
    </row>
    <row r="47" spans="1:45" ht="76.5" customHeight="1" x14ac:dyDescent="0.25">
      <c r="A47" s="36" t="s">
        <v>344</v>
      </c>
      <c r="B47" s="33">
        <v>44719</v>
      </c>
      <c r="C47" s="35">
        <v>1416</v>
      </c>
      <c r="D47" s="36" t="s">
        <v>345</v>
      </c>
      <c r="E47" s="1" t="s">
        <v>346</v>
      </c>
      <c r="F47" s="33">
        <v>44750</v>
      </c>
      <c r="G47" s="36" t="s">
        <v>347</v>
      </c>
      <c r="H47" s="37" t="s">
        <v>169</v>
      </c>
      <c r="I47" s="37" t="s">
        <v>348</v>
      </c>
      <c r="J47" s="38">
        <v>1322673000</v>
      </c>
      <c r="K47" s="40">
        <v>0</v>
      </c>
      <c r="L47" s="41">
        <v>0</v>
      </c>
      <c r="M47" s="38">
        <v>1322673000</v>
      </c>
      <c r="N47" s="41">
        <v>0</v>
      </c>
      <c r="O47" s="38">
        <v>661336500</v>
      </c>
      <c r="P47" s="27">
        <v>1058027437.5</v>
      </c>
      <c r="Q47" s="38">
        <v>1719363937.5</v>
      </c>
      <c r="R47" s="27">
        <f>Q47/U47</f>
        <v>3698.75</v>
      </c>
      <c r="S47" s="38">
        <f>Q47/U47</f>
        <v>3698.75</v>
      </c>
      <c r="T47" s="38">
        <f>S47*AR47</f>
        <v>3698.75</v>
      </c>
      <c r="U47" s="38">
        <v>464850</v>
      </c>
      <c r="V47" s="38"/>
      <c r="W47" s="38">
        <v>286050</v>
      </c>
      <c r="X47" s="38"/>
      <c r="Y47" s="38">
        <v>219300</v>
      </c>
      <c r="Z47" s="38">
        <f t="shared" si="2"/>
        <v>811135875</v>
      </c>
      <c r="AA47" s="38">
        <v>66750</v>
      </c>
      <c r="AB47" s="38">
        <f t="shared" si="3"/>
        <v>246891562.5</v>
      </c>
      <c r="AC47" s="38">
        <v>357600</v>
      </c>
      <c r="AD47" s="38">
        <v>357600</v>
      </c>
      <c r="AE47" s="33">
        <v>44986</v>
      </c>
      <c r="AF47" s="33">
        <v>45352</v>
      </c>
      <c r="AG47" s="33"/>
      <c r="AH47" s="33">
        <v>45000</v>
      </c>
      <c r="AI47" s="33">
        <v>45383</v>
      </c>
      <c r="AJ47" s="42"/>
      <c r="AK47" s="37" t="s">
        <v>349</v>
      </c>
      <c r="AL47" s="37" t="s">
        <v>350</v>
      </c>
      <c r="AM47" s="37" t="s">
        <v>351</v>
      </c>
      <c r="AN47" s="37" t="s">
        <v>352</v>
      </c>
      <c r="AO47" s="43">
        <v>0</v>
      </c>
      <c r="AP47" s="35">
        <v>100</v>
      </c>
      <c r="AQ47" s="37" t="s">
        <v>353</v>
      </c>
      <c r="AR47" s="44">
        <v>1</v>
      </c>
      <c r="AS47" s="37" t="s">
        <v>176</v>
      </c>
    </row>
    <row r="48" spans="1:45" ht="76.5" customHeight="1" x14ac:dyDescent="0.25">
      <c r="A48" s="36" t="s">
        <v>354</v>
      </c>
      <c r="B48" s="33">
        <v>44721</v>
      </c>
      <c r="C48" s="35">
        <v>1416</v>
      </c>
      <c r="D48" s="36" t="s">
        <v>355</v>
      </c>
      <c r="E48" s="1" t="s">
        <v>356</v>
      </c>
      <c r="F48" s="33">
        <v>44746</v>
      </c>
      <c r="G48" s="35" t="s">
        <v>357</v>
      </c>
      <c r="H48" s="37" t="s">
        <v>219</v>
      </c>
      <c r="I48" s="37" t="s">
        <v>358</v>
      </c>
      <c r="J48" s="38">
        <v>132241909.8</v>
      </c>
      <c r="K48" s="40">
        <v>0</v>
      </c>
      <c r="L48" s="41">
        <v>0</v>
      </c>
      <c r="M48" s="38">
        <v>132241909.8</v>
      </c>
      <c r="N48" s="41">
        <v>0</v>
      </c>
      <c r="O48" s="38">
        <v>48848723</v>
      </c>
      <c r="P48" s="27">
        <v>63519448.299999997</v>
      </c>
      <c r="Q48" s="27">
        <v>146912635.09999999</v>
      </c>
      <c r="R48" s="27">
        <f>Q48/U48</f>
        <v>2013.55</v>
      </c>
      <c r="S48" s="38">
        <f>Q48/U48</f>
        <v>2013.55</v>
      </c>
      <c r="T48" s="38">
        <f>S48*AR48</f>
        <v>8054.2</v>
      </c>
      <c r="U48" s="38">
        <v>72962</v>
      </c>
      <c r="V48" s="38"/>
      <c r="W48" s="38">
        <v>31546</v>
      </c>
      <c r="X48" s="38"/>
      <c r="Y48" s="38">
        <v>26078</v>
      </c>
      <c r="Z48" s="38">
        <f t="shared" si="2"/>
        <v>52509356.899999999</v>
      </c>
      <c r="AA48" s="38">
        <v>5468</v>
      </c>
      <c r="AB48" s="38">
        <f t="shared" si="3"/>
        <v>11010091.4</v>
      </c>
      <c r="AC48" s="38">
        <v>16419</v>
      </c>
      <c r="AD48" s="38">
        <v>16419</v>
      </c>
      <c r="AE48" s="33">
        <v>44986</v>
      </c>
      <c r="AF48" s="33">
        <v>45352</v>
      </c>
      <c r="AG48" s="33"/>
      <c r="AH48" s="33">
        <v>45000</v>
      </c>
      <c r="AI48" s="33">
        <v>45383</v>
      </c>
      <c r="AJ48" s="42"/>
      <c r="AK48" s="37" t="s">
        <v>323</v>
      </c>
      <c r="AL48" s="37" t="s">
        <v>359</v>
      </c>
      <c r="AM48" s="37" t="s">
        <v>325</v>
      </c>
      <c r="AN48" s="37" t="s">
        <v>326</v>
      </c>
      <c r="AO48" s="43">
        <v>0</v>
      </c>
      <c r="AP48" s="35">
        <v>100</v>
      </c>
      <c r="AQ48" s="35" t="s">
        <v>164</v>
      </c>
      <c r="AR48" s="44">
        <v>4</v>
      </c>
      <c r="AS48" s="37" t="s">
        <v>176</v>
      </c>
    </row>
    <row r="49" spans="1:45" ht="76.5" customHeight="1" x14ac:dyDescent="0.25">
      <c r="A49" s="46" t="s">
        <v>360</v>
      </c>
      <c r="B49" s="33">
        <v>45044</v>
      </c>
      <c r="C49" s="35">
        <v>1688</v>
      </c>
      <c r="D49" s="36" t="s">
        <v>361</v>
      </c>
      <c r="E49" s="1" t="s">
        <v>362</v>
      </c>
      <c r="F49" s="33">
        <v>45072</v>
      </c>
      <c r="G49" s="35" t="s">
        <v>363</v>
      </c>
      <c r="H49" s="37" t="s">
        <v>364</v>
      </c>
      <c r="I49" s="37" t="s">
        <v>365</v>
      </c>
      <c r="J49" s="38">
        <v>6205835185.9200001</v>
      </c>
      <c r="K49" s="40">
        <v>0</v>
      </c>
      <c r="L49" s="41">
        <v>0</v>
      </c>
      <c r="M49" s="38">
        <v>6205835185.9200001</v>
      </c>
      <c r="N49" s="41">
        <v>0</v>
      </c>
      <c r="O49" s="38">
        <v>3102917592.96</v>
      </c>
      <c r="P49" s="27">
        <v>3102917592.96</v>
      </c>
      <c r="Q49" s="27">
        <v>6205835185.9200001</v>
      </c>
      <c r="R49" s="27">
        <f>Q49/U49</f>
        <v>1137.6600000000001</v>
      </c>
      <c r="S49" s="38">
        <f>Q49/U49</f>
        <v>1137.6600000000001</v>
      </c>
      <c r="T49" s="38">
        <f>S49*AR49</f>
        <v>1137.6600000000001</v>
      </c>
      <c r="U49" s="38">
        <v>5454912</v>
      </c>
      <c r="V49" s="38"/>
      <c r="W49" s="38"/>
      <c r="X49" s="38">
        <v>2727456</v>
      </c>
      <c r="Y49" s="38">
        <v>0</v>
      </c>
      <c r="Z49" s="38">
        <f t="shared" si="2"/>
        <v>0</v>
      </c>
      <c r="AA49" s="38">
        <v>0</v>
      </c>
      <c r="AB49" s="38">
        <f t="shared" si="3"/>
        <v>0</v>
      </c>
      <c r="AC49" s="38">
        <v>5454912</v>
      </c>
      <c r="AD49" s="38">
        <v>5454912</v>
      </c>
      <c r="AE49" s="33">
        <v>45107</v>
      </c>
      <c r="AF49" s="33">
        <v>45214</v>
      </c>
      <c r="AG49" s="33">
        <v>45323</v>
      </c>
      <c r="AH49" s="33">
        <v>45122</v>
      </c>
      <c r="AI49" s="33">
        <v>45229</v>
      </c>
      <c r="AJ49" s="42">
        <v>45352</v>
      </c>
      <c r="AK49" s="37" t="s">
        <v>366</v>
      </c>
      <c r="AL49" s="37" t="s">
        <v>367</v>
      </c>
      <c r="AM49" s="37" t="s">
        <v>368</v>
      </c>
      <c r="AN49" s="37" t="s">
        <v>369</v>
      </c>
      <c r="AO49" s="43">
        <v>0</v>
      </c>
      <c r="AP49" s="35">
        <v>100</v>
      </c>
      <c r="AQ49" s="35" t="s">
        <v>51</v>
      </c>
      <c r="AR49" s="44">
        <v>1</v>
      </c>
      <c r="AS49" s="37" t="s">
        <v>176</v>
      </c>
    </row>
    <row r="50" spans="1:45" ht="76.5" customHeight="1" x14ac:dyDescent="0.25">
      <c r="A50" s="46" t="s">
        <v>370</v>
      </c>
      <c r="B50" s="42">
        <v>45167</v>
      </c>
      <c r="C50" s="37">
        <v>545</v>
      </c>
      <c r="D50" s="36" t="s">
        <v>371</v>
      </c>
      <c r="E50" s="1" t="s">
        <v>372</v>
      </c>
      <c r="F50" s="33">
        <v>45196</v>
      </c>
      <c r="G50" s="35" t="s">
        <v>373</v>
      </c>
      <c r="H50" s="37" t="s">
        <v>374</v>
      </c>
      <c r="I50" s="37" t="s">
        <v>375</v>
      </c>
      <c r="J50" s="39">
        <v>1214876062.4000001</v>
      </c>
      <c r="K50" s="40">
        <f>((J50-M50)/J50)*100</f>
        <v>0</v>
      </c>
      <c r="L50" s="41">
        <f>J50-M50</f>
        <v>0</v>
      </c>
      <c r="M50" s="38">
        <v>1214876062.4000001</v>
      </c>
      <c r="N50" s="41">
        <f>J50-O50</f>
        <v>0</v>
      </c>
      <c r="O50" s="38">
        <v>1214876062.4000001</v>
      </c>
      <c r="P50" s="27">
        <v>1573611177.5999999</v>
      </c>
      <c r="Q50" s="27">
        <f t="shared" ref="Q50:Q109" si="7">P50</f>
        <v>1573611177.5999999</v>
      </c>
      <c r="R50" s="27">
        <f>Q50/U50</f>
        <v>10766.359999999999</v>
      </c>
      <c r="S50" s="38">
        <f>Q50/U50</f>
        <v>10766.359999999999</v>
      </c>
      <c r="T50" s="38">
        <f>S50*AR50</f>
        <v>1507290.4</v>
      </c>
      <c r="U50" s="38">
        <v>146160</v>
      </c>
      <c r="V50" s="38">
        <v>49980</v>
      </c>
      <c r="W50" s="38">
        <v>96180</v>
      </c>
      <c r="X50" s="38">
        <v>0</v>
      </c>
      <c r="Y50" s="38"/>
      <c r="Z50" s="38">
        <f t="shared" si="2"/>
        <v>0</v>
      </c>
      <c r="AA50" s="38"/>
      <c r="AB50" s="38">
        <f t="shared" si="3"/>
        <v>0</v>
      </c>
      <c r="AC50" s="38">
        <f>U50/AR50</f>
        <v>1044</v>
      </c>
      <c r="AD50" s="38">
        <f t="shared" ref="AD50:AD109" si="8">_xlfn.CEILING.MATH(AC50)</f>
        <v>1044</v>
      </c>
      <c r="AE50" s="33">
        <v>45300</v>
      </c>
      <c r="AF50" s="33">
        <v>45413</v>
      </c>
      <c r="AG50" s="33"/>
      <c r="AH50" s="33">
        <v>45315</v>
      </c>
      <c r="AI50" s="33">
        <v>45444</v>
      </c>
      <c r="AJ50" s="42"/>
      <c r="AK50" s="37" t="s">
        <v>376</v>
      </c>
      <c r="AL50" s="37" t="s">
        <v>377</v>
      </c>
      <c r="AM50" s="37" t="s">
        <v>378</v>
      </c>
      <c r="AN50" s="37" t="s">
        <v>224</v>
      </c>
      <c r="AO50" s="43">
        <v>0</v>
      </c>
      <c r="AP50" s="35">
        <v>100</v>
      </c>
      <c r="AQ50" s="35" t="s">
        <v>379</v>
      </c>
      <c r="AR50" s="44">
        <v>140</v>
      </c>
      <c r="AS50" s="37" t="s">
        <v>380</v>
      </c>
    </row>
    <row r="51" spans="1:45" ht="76.5" customHeight="1" x14ac:dyDescent="0.25">
      <c r="A51" s="46" t="s">
        <v>381</v>
      </c>
      <c r="B51" s="42">
        <v>45160</v>
      </c>
      <c r="C51" s="37">
        <v>545</v>
      </c>
      <c r="D51" s="36" t="s">
        <v>382</v>
      </c>
      <c r="E51" s="1" t="s">
        <v>383</v>
      </c>
      <c r="F51" s="33">
        <v>45190</v>
      </c>
      <c r="G51" s="35" t="s">
        <v>384</v>
      </c>
      <c r="H51" s="37" t="s">
        <v>169</v>
      </c>
      <c r="I51" s="37" t="s">
        <v>385</v>
      </c>
      <c r="J51" s="39">
        <v>1916291597.4000001</v>
      </c>
      <c r="K51" s="40">
        <f>((J51-M51)/J51)*100</f>
        <v>0</v>
      </c>
      <c r="L51" s="41">
        <f>J51-M51</f>
        <v>0</v>
      </c>
      <c r="M51" s="38">
        <v>1916291597.4000001</v>
      </c>
      <c r="N51" s="41">
        <f>J51-O51</f>
        <v>0</v>
      </c>
      <c r="O51" s="38">
        <v>1916291597.4000001</v>
      </c>
      <c r="P51" s="27">
        <v>2487576463.3499999</v>
      </c>
      <c r="Q51" s="27">
        <f t="shared" si="7"/>
        <v>2487576463.3499999</v>
      </c>
      <c r="R51" s="27">
        <f>Q51/U51</f>
        <v>18666.39</v>
      </c>
      <c r="S51" s="38">
        <f>Q51/U51</f>
        <v>18666.39</v>
      </c>
      <c r="T51" s="38">
        <f>S51*AR51</f>
        <v>93331.95</v>
      </c>
      <c r="U51" s="38">
        <f>V51+W51+X51</f>
        <v>133265</v>
      </c>
      <c r="V51" s="38">
        <v>29000</v>
      </c>
      <c r="W51" s="38">
        <v>48500</v>
      </c>
      <c r="X51" s="38">
        <v>55765</v>
      </c>
      <c r="Y51" s="38"/>
      <c r="Z51" s="38">
        <f t="shared" si="2"/>
        <v>0</v>
      </c>
      <c r="AA51" s="38"/>
      <c r="AB51" s="38">
        <f t="shared" si="3"/>
        <v>0</v>
      </c>
      <c r="AC51" s="38">
        <f>U51/AR51</f>
        <v>26653</v>
      </c>
      <c r="AD51" s="38">
        <f t="shared" si="8"/>
        <v>26653</v>
      </c>
      <c r="AE51" s="33">
        <v>45300</v>
      </c>
      <c r="AF51" s="33">
        <v>45382</v>
      </c>
      <c r="AG51" s="33">
        <v>45535</v>
      </c>
      <c r="AH51" s="33">
        <v>45331</v>
      </c>
      <c r="AI51" s="33">
        <v>45413</v>
      </c>
      <c r="AJ51" s="42">
        <v>45383</v>
      </c>
      <c r="AK51" s="37" t="s">
        <v>386</v>
      </c>
      <c r="AL51" s="37" t="s">
        <v>387</v>
      </c>
      <c r="AM51" s="37" t="s">
        <v>388</v>
      </c>
      <c r="AN51" s="37" t="s">
        <v>174</v>
      </c>
      <c r="AO51" s="43">
        <v>0</v>
      </c>
      <c r="AP51" s="35">
        <v>100</v>
      </c>
      <c r="AQ51" s="35" t="s">
        <v>164</v>
      </c>
      <c r="AR51" s="44">
        <v>5</v>
      </c>
      <c r="AS51" s="37" t="s">
        <v>380</v>
      </c>
    </row>
    <row r="52" spans="1:45" ht="76.5" customHeight="1" x14ac:dyDescent="0.25">
      <c r="A52" s="46" t="s">
        <v>389</v>
      </c>
      <c r="B52" s="42">
        <v>45163</v>
      </c>
      <c r="C52" s="37">
        <v>545</v>
      </c>
      <c r="D52" s="36" t="s">
        <v>390</v>
      </c>
      <c r="E52" s="1" t="s">
        <v>391</v>
      </c>
      <c r="F52" s="33">
        <v>45191</v>
      </c>
      <c r="G52" s="35" t="s">
        <v>392</v>
      </c>
      <c r="H52" s="37" t="s">
        <v>169</v>
      </c>
      <c r="I52" s="37" t="s">
        <v>393</v>
      </c>
      <c r="J52" s="39">
        <v>4843869498</v>
      </c>
      <c r="K52" s="40">
        <f>((J52-M52)/J52)*100</f>
        <v>0</v>
      </c>
      <c r="L52" s="41">
        <f>J52-M52</f>
        <v>0</v>
      </c>
      <c r="M52" s="38">
        <v>4843869498</v>
      </c>
      <c r="N52" s="41">
        <f>J52-O52</f>
        <v>0</v>
      </c>
      <c r="O52" s="38">
        <v>4843869498</v>
      </c>
      <c r="P52" s="27">
        <v>6296643147.6000004</v>
      </c>
      <c r="Q52" s="27">
        <f t="shared" si="7"/>
        <v>6296643147.6000004</v>
      </c>
      <c r="R52" s="27">
        <f>Q52/U52</f>
        <v>25813.320000000003</v>
      </c>
      <c r="S52" s="38">
        <f>Q52/U52</f>
        <v>25813.320000000003</v>
      </c>
      <c r="T52" s="38">
        <f>S52*AR52</f>
        <v>774399.60000000009</v>
      </c>
      <c r="U52" s="38">
        <v>243930</v>
      </c>
      <c r="V52" s="38">
        <v>45000</v>
      </c>
      <c r="W52" s="38">
        <v>198930</v>
      </c>
      <c r="X52" s="38">
        <v>0</v>
      </c>
      <c r="Y52" s="38"/>
      <c r="Z52" s="38">
        <f t="shared" si="2"/>
        <v>0</v>
      </c>
      <c r="AA52" s="38"/>
      <c r="AB52" s="38">
        <f t="shared" si="3"/>
        <v>0</v>
      </c>
      <c r="AC52" s="38">
        <f>U52/AR52</f>
        <v>8131</v>
      </c>
      <c r="AD52" s="38">
        <f t="shared" si="8"/>
        <v>8131</v>
      </c>
      <c r="AE52" s="33">
        <v>45300</v>
      </c>
      <c r="AF52" s="33">
        <v>45337</v>
      </c>
      <c r="AG52" s="33"/>
      <c r="AH52" s="33">
        <v>45323</v>
      </c>
      <c r="AI52" s="33">
        <v>45366</v>
      </c>
      <c r="AJ52" s="42"/>
      <c r="AK52" s="37" t="s">
        <v>394</v>
      </c>
      <c r="AL52" s="37" t="s">
        <v>395</v>
      </c>
      <c r="AM52" s="37" t="s">
        <v>396</v>
      </c>
      <c r="AN52" s="37" t="s">
        <v>397</v>
      </c>
      <c r="AO52" s="43">
        <v>0</v>
      </c>
      <c r="AP52" s="35">
        <v>100</v>
      </c>
      <c r="AQ52" s="35" t="s">
        <v>398</v>
      </c>
      <c r="AR52" s="44">
        <v>30</v>
      </c>
      <c r="AS52" s="37" t="s">
        <v>380</v>
      </c>
    </row>
    <row r="53" spans="1:45" ht="126" x14ac:dyDescent="0.25">
      <c r="A53" s="46" t="s">
        <v>399</v>
      </c>
      <c r="B53" s="42">
        <v>45163</v>
      </c>
      <c r="C53" s="37">
        <v>545</v>
      </c>
      <c r="D53" s="36" t="s">
        <v>400</v>
      </c>
      <c r="E53" s="1" t="s">
        <v>401</v>
      </c>
      <c r="F53" s="33">
        <v>45191</v>
      </c>
      <c r="G53" s="35" t="s">
        <v>402</v>
      </c>
      <c r="H53" s="37" t="s">
        <v>219</v>
      </c>
      <c r="I53" s="37" t="s">
        <v>403</v>
      </c>
      <c r="J53" s="39">
        <v>5912667070.5</v>
      </c>
      <c r="K53" s="40">
        <f>((J53-M53)/J53)*100</f>
        <v>0</v>
      </c>
      <c r="L53" s="41">
        <f>J53-M53</f>
        <v>0</v>
      </c>
      <c r="M53" s="38">
        <v>5912667070.5</v>
      </c>
      <c r="N53" s="41">
        <f>J53-O53</f>
        <v>0</v>
      </c>
      <c r="O53" s="38">
        <v>5912667070.5</v>
      </c>
      <c r="P53" s="27">
        <v>7232381306.5</v>
      </c>
      <c r="Q53" s="27">
        <f t="shared" si="7"/>
        <v>7232381306.5</v>
      </c>
      <c r="R53" s="27">
        <f>Q53/U53</f>
        <v>868233.05</v>
      </c>
      <c r="S53" s="38">
        <f>Q53/U53</f>
        <v>868233.05</v>
      </c>
      <c r="T53" s="38">
        <f>S53*AR53</f>
        <v>4341165.25</v>
      </c>
      <c r="U53" s="38">
        <v>8330</v>
      </c>
      <c r="V53" s="38">
        <v>8330</v>
      </c>
      <c r="W53" s="38">
        <v>0</v>
      </c>
      <c r="X53" s="38">
        <v>0</v>
      </c>
      <c r="Y53" s="38"/>
      <c r="Z53" s="38">
        <f t="shared" si="2"/>
        <v>0</v>
      </c>
      <c r="AA53" s="38"/>
      <c r="AB53" s="38">
        <f t="shared" si="3"/>
        <v>0</v>
      </c>
      <c r="AC53" s="38">
        <f>U53/AR53</f>
        <v>1666</v>
      </c>
      <c r="AD53" s="38">
        <f t="shared" si="8"/>
        <v>1666</v>
      </c>
      <c r="AE53" s="33">
        <v>45300</v>
      </c>
      <c r="AF53" s="33"/>
      <c r="AG53" s="33"/>
      <c r="AH53" s="33">
        <v>45331</v>
      </c>
      <c r="AI53" s="33"/>
      <c r="AJ53" s="42"/>
      <c r="AK53" s="37" t="s">
        <v>404</v>
      </c>
      <c r="AL53" s="37" t="s">
        <v>405</v>
      </c>
      <c r="AM53" s="37" t="s">
        <v>406</v>
      </c>
      <c r="AN53" s="37" t="s">
        <v>224</v>
      </c>
      <c r="AO53" s="43">
        <v>0</v>
      </c>
      <c r="AP53" s="35">
        <v>100</v>
      </c>
      <c r="AQ53" s="35" t="s">
        <v>164</v>
      </c>
      <c r="AR53" s="44">
        <v>5</v>
      </c>
      <c r="AS53" s="37" t="s">
        <v>176</v>
      </c>
    </row>
    <row r="54" spans="1:45" ht="76.5" customHeight="1" x14ac:dyDescent="0.25">
      <c r="A54" s="46" t="s">
        <v>407</v>
      </c>
      <c r="B54" s="42">
        <v>45163</v>
      </c>
      <c r="C54" s="37">
        <v>545</v>
      </c>
      <c r="D54" s="36" t="s">
        <v>408</v>
      </c>
      <c r="E54" s="1" t="s">
        <v>409</v>
      </c>
      <c r="F54" s="33">
        <v>45191</v>
      </c>
      <c r="G54" s="35" t="s">
        <v>410</v>
      </c>
      <c r="H54" s="37" t="s">
        <v>411</v>
      </c>
      <c r="I54" s="37" t="s">
        <v>412</v>
      </c>
      <c r="J54" s="39">
        <v>6140047413.5</v>
      </c>
      <c r="K54" s="40">
        <f>((J54-M54)/J54)*100</f>
        <v>0</v>
      </c>
      <c r="L54" s="41">
        <f>J54-M54</f>
        <v>0</v>
      </c>
      <c r="M54" s="38">
        <v>6140047413.5</v>
      </c>
      <c r="N54" s="41">
        <f>J54-O54</f>
        <v>0</v>
      </c>
      <c r="O54" s="38">
        <v>6140047413.5</v>
      </c>
      <c r="P54" s="27">
        <v>7692213028.5</v>
      </c>
      <c r="Q54" s="27">
        <f t="shared" si="7"/>
        <v>7692213028.5</v>
      </c>
      <c r="R54" s="27">
        <f>Q54/U54</f>
        <v>333082.75</v>
      </c>
      <c r="S54" s="38">
        <f>Q54/U54</f>
        <v>333082.75</v>
      </c>
      <c r="T54" s="38">
        <f>S54*AR54</f>
        <v>666165.5</v>
      </c>
      <c r="U54" s="38">
        <v>23094</v>
      </c>
      <c r="V54" s="38">
        <v>23094</v>
      </c>
      <c r="W54" s="38">
        <v>0</v>
      </c>
      <c r="X54" s="38">
        <v>0</v>
      </c>
      <c r="Y54" s="38"/>
      <c r="Z54" s="38">
        <f t="shared" si="2"/>
        <v>0</v>
      </c>
      <c r="AA54" s="38"/>
      <c r="AB54" s="38">
        <f t="shared" si="3"/>
        <v>0</v>
      </c>
      <c r="AC54" s="38">
        <f>U54/AR54</f>
        <v>11547</v>
      </c>
      <c r="AD54" s="38">
        <f t="shared" si="8"/>
        <v>11547</v>
      </c>
      <c r="AE54" s="33">
        <v>45306</v>
      </c>
      <c r="AF54" s="33"/>
      <c r="AG54" s="33"/>
      <c r="AH54" s="33">
        <v>45337</v>
      </c>
      <c r="AI54" s="33"/>
      <c r="AJ54" s="42"/>
      <c r="AK54" s="37" t="s">
        <v>413</v>
      </c>
      <c r="AL54" s="37" t="s">
        <v>414</v>
      </c>
      <c r="AM54" s="37" t="s">
        <v>415</v>
      </c>
      <c r="AN54" s="37" t="s">
        <v>352</v>
      </c>
      <c r="AO54" s="43">
        <v>0</v>
      </c>
      <c r="AP54" s="35">
        <v>100</v>
      </c>
      <c r="AQ54" s="35" t="s">
        <v>398</v>
      </c>
      <c r="AR54" s="44">
        <v>2</v>
      </c>
      <c r="AS54" s="37" t="s">
        <v>176</v>
      </c>
    </row>
    <row r="55" spans="1:45" ht="76.5" customHeight="1" x14ac:dyDescent="0.25">
      <c r="A55" s="46" t="s">
        <v>416</v>
      </c>
      <c r="B55" s="42">
        <v>45163</v>
      </c>
      <c r="C55" s="37">
        <v>545</v>
      </c>
      <c r="D55" s="36" t="s">
        <v>417</v>
      </c>
      <c r="E55" s="1" t="s">
        <v>418</v>
      </c>
      <c r="F55" s="33">
        <v>45191</v>
      </c>
      <c r="G55" s="35" t="s">
        <v>419</v>
      </c>
      <c r="H55" s="37" t="s">
        <v>169</v>
      </c>
      <c r="I55" s="37" t="s">
        <v>420</v>
      </c>
      <c r="J55" s="39">
        <v>931850515.20000005</v>
      </c>
      <c r="K55" s="40">
        <f>((J55-M55)/J55)*100</f>
        <v>0</v>
      </c>
      <c r="L55" s="41">
        <f>J55-M55</f>
        <v>0</v>
      </c>
      <c r="M55" s="38">
        <v>931850515.20000005</v>
      </c>
      <c r="N55" s="41">
        <f>J55-O55</f>
        <v>0</v>
      </c>
      <c r="O55" s="38">
        <v>931850515.20000005</v>
      </c>
      <c r="P55" s="27">
        <v>1193006073.5999999</v>
      </c>
      <c r="Q55" s="27">
        <f t="shared" si="7"/>
        <v>1193006073.5999999</v>
      </c>
      <c r="R55" s="27">
        <f>Q55/U55</f>
        <v>618266</v>
      </c>
      <c r="S55" s="38">
        <f>Q55/U55</f>
        <v>618266</v>
      </c>
      <c r="T55" s="38">
        <f>S55*AR55</f>
        <v>5935353.5999999996</v>
      </c>
      <c r="U55" s="38">
        <v>1929.6</v>
      </c>
      <c r="V55" s="38">
        <v>1929.6</v>
      </c>
      <c r="W55" s="38">
        <v>0</v>
      </c>
      <c r="X55" s="38">
        <v>0</v>
      </c>
      <c r="Y55" s="38"/>
      <c r="Z55" s="38">
        <f t="shared" si="2"/>
        <v>0</v>
      </c>
      <c r="AA55" s="38"/>
      <c r="AB55" s="38">
        <f t="shared" si="3"/>
        <v>0</v>
      </c>
      <c r="AC55" s="38">
        <f>U55/AR55</f>
        <v>201</v>
      </c>
      <c r="AD55" s="38">
        <f t="shared" si="8"/>
        <v>201</v>
      </c>
      <c r="AE55" s="33">
        <v>45322</v>
      </c>
      <c r="AF55" s="33"/>
      <c r="AG55" s="33"/>
      <c r="AH55" s="33">
        <v>45352</v>
      </c>
      <c r="AI55" s="33"/>
      <c r="AJ55" s="42"/>
      <c r="AK55" s="37" t="s">
        <v>421</v>
      </c>
      <c r="AL55" s="37" t="s">
        <v>422</v>
      </c>
      <c r="AM55" s="37" t="s">
        <v>423</v>
      </c>
      <c r="AN55" s="37" t="s">
        <v>143</v>
      </c>
      <c r="AO55" s="43">
        <v>0</v>
      </c>
      <c r="AP55" s="35">
        <v>100</v>
      </c>
      <c r="AQ55" s="35" t="s">
        <v>164</v>
      </c>
      <c r="AR55" s="49">
        <v>9.6</v>
      </c>
      <c r="AS55" s="37" t="s">
        <v>176</v>
      </c>
    </row>
    <row r="56" spans="1:45" ht="86.25" customHeight="1" x14ac:dyDescent="0.25">
      <c r="A56" s="46" t="s">
        <v>424</v>
      </c>
      <c r="B56" s="42">
        <v>45167</v>
      </c>
      <c r="C56" s="37">
        <v>545</v>
      </c>
      <c r="D56" s="36" t="s">
        <v>425</v>
      </c>
      <c r="E56" s="1" t="s">
        <v>426</v>
      </c>
      <c r="F56" s="33">
        <v>45198</v>
      </c>
      <c r="G56" s="35" t="s">
        <v>427</v>
      </c>
      <c r="H56" s="37" t="s">
        <v>169</v>
      </c>
      <c r="I56" s="37" t="s">
        <v>428</v>
      </c>
      <c r="J56" s="39">
        <v>332379801.60000002</v>
      </c>
      <c r="K56" s="40">
        <f>((J56-M56)/J56)*100</f>
        <v>0</v>
      </c>
      <c r="L56" s="41">
        <f>J56-M56</f>
        <v>0</v>
      </c>
      <c r="M56" s="38">
        <v>332379801.60000002</v>
      </c>
      <c r="N56" s="41">
        <f>J56-O56</f>
        <v>0</v>
      </c>
      <c r="O56" s="38">
        <v>332379801.60000002</v>
      </c>
      <c r="P56" s="27">
        <v>430313136</v>
      </c>
      <c r="Q56" s="27">
        <f t="shared" si="7"/>
        <v>430313136</v>
      </c>
      <c r="R56" s="27">
        <f>Q56/U56</f>
        <v>247306.4</v>
      </c>
      <c r="S56" s="38">
        <f>Q56/U56</f>
        <v>247306.4</v>
      </c>
      <c r="T56" s="38">
        <f>S56*AR56</f>
        <v>2967676.8</v>
      </c>
      <c r="U56" s="38">
        <v>1740</v>
      </c>
      <c r="V56" s="38">
        <v>468</v>
      </c>
      <c r="W56" s="38">
        <v>1272</v>
      </c>
      <c r="X56" s="38">
        <v>0</v>
      </c>
      <c r="Y56" s="38"/>
      <c r="Z56" s="38">
        <f t="shared" si="2"/>
        <v>0</v>
      </c>
      <c r="AA56" s="38"/>
      <c r="AB56" s="38">
        <f t="shared" si="3"/>
        <v>0</v>
      </c>
      <c r="AC56" s="38">
        <f>U56/AR56</f>
        <v>145</v>
      </c>
      <c r="AD56" s="38">
        <f t="shared" si="8"/>
        <v>145</v>
      </c>
      <c r="AE56" s="33">
        <v>45300</v>
      </c>
      <c r="AF56" s="33">
        <v>45322</v>
      </c>
      <c r="AG56" s="33"/>
      <c r="AH56" s="33">
        <v>45331</v>
      </c>
      <c r="AI56" s="33">
        <v>45352</v>
      </c>
      <c r="AJ56" s="42"/>
      <c r="AK56" s="37" t="s">
        <v>429</v>
      </c>
      <c r="AL56" s="37" t="s">
        <v>430</v>
      </c>
      <c r="AM56" s="37" t="s">
        <v>431</v>
      </c>
      <c r="AN56" s="37" t="s">
        <v>143</v>
      </c>
      <c r="AO56" s="43">
        <v>0</v>
      </c>
      <c r="AP56" s="35">
        <v>100</v>
      </c>
      <c r="AQ56" s="35" t="s">
        <v>164</v>
      </c>
      <c r="AR56" s="52">
        <v>12</v>
      </c>
      <c r="AS56" s="37" t="s">
        <v>176</v>
      </c>
    </row>
    <row r="57" spans="1:45" ht="76.5" customHeight="1" x14ac:dyDescent="0.25">
      <c r="A57" s="46" t="s">
        <v>432</v>
      </c>
      <c r="B57" s="42">
        <v>45166</v>
      </c>
      <c r="C57" s="37">
        <v>545</v>
      </c>
      <c r="D57" s="36" t="s">
        <v>433</v>
      </c>
      <c r="E57" s="1" t="s">
        <v>434</v>
      </c>
      <c r="F57" s="33">
        <v>45201</v>
      </c>
      <c r="G57" s="35" t="s">
        <v>435</v>
      </c>
      <c r="H57" s="37" t="s">
        <v>169</v>
      </c>
      <c r="I57" s="37" t="s">
        <v>436</v>
      </c>
      <c r="J57" s="39">
        <v>689040000</v>
      </c>
      <c r="K57" s="40">
        <f>((J57-M57)/J57)*100</f>
        <v>0</v>
      </c>
      <c r="L57" s="41">
        <f>J57-M57</f>
        <v>0</v>
      </c>
      <c r="M57" s="38">
        <v>689040000</v>
      </c>
      <c r="N57" s="41">
        <f>J57-O57</f>
        <v>0</v>
      </c>
      <c r="O57" s="38">
        <v>689040000</v>
      </c>
      <c r="P57" s="27">
        <v>895752000</v>
      </c>
      <c r="Q57" s="27">
        <f t="shared" si="7"/>
        <v>895752000</v>
      </c>
      <c r="R57" s="27">
        <f>Q57/U57</f>
        <v>15950</v>
      </c>
      <c r="S57" s="38">
        <f>Q57/U57</f>
        <v>15950</v>
      </c>
      <c r="T57" s="38">
        <f>S57*AR57</f>
        <v>957000</v>
      </c>
      <c r="U57" s="38">
        <v>56160</v>
      </c>
      <c r="V57" s="38">
        <v>56160</v>
      </c>
      <c r="W57" s="38">
        <v>0</v>
      </c>
      <c r="X57" s="38">
        <v>0</v>
      </c>
      <c r="Y57" s="38"/>
      <c r="Z57" s="38">
        <f t="shared" si="2"/>
        <v>0</v>
      </c>
      <c r="AA57" s="38"/>
      <c r="AB57" s="38">
        <f t="shared" si="3"/>
        <v>0</v>
      </c>
      <c r="AC57" s="38">
        <f>U57/AR57</f>
        <v>936</v>
      </c>
      <c r="AD57" s="38">
        <f t="shared" si="8"/>
        <v>936</v>
      </c>
      <c r="AE57" s="33">
        <v>45322</v>
      </c>
      <c r="AF57" s="33"/>
      <c r="AG57" s="33"/>
      <c r="AH57" s="33">
        <v>45352</v>
      </c>
      <c r="AI57" s="33"/>
      <c r="AJ57" s="42"/>
      <c r="AK57" s="37" t="s">
        <v>437</v>
      </c>
      <c r="AL57" s="37" t="s">
        <v>438</v>
      </c>
      <c r="AM57" s="37" t="s">
        <v>439</v>
      </c>
      <c r="AN57" s="37" t="s">
        <v>440</v>
      </c>
      <c r="AO57" s="43">
        <v>0</v>
      </c>
      <c r="AP57" s="35">
        <v>100</v>
      </c>
      <c r="AQ57" s="35" t="s">
        <v>441</v>
      </c>
      <c r="AR57" s="44">
        <v>60</v>
      </c>
      <c r="AS57" s="37" t="s">
        <v>176</v>
      </c>
    </row>
    <row r="58" spans="1:45" ht="49.5" customHeight="1" x14ac:dyDescent="0.25">
      <c r="A58" s="46" t="s">
        <v>442</v>
      </c>
      <c r="B58" s="42">
        <v>45167</v>
      </c>
      <c r="C58" s="37">
        <v>545</v>
      </c>
      <c r="D58" s="36" t="s">
        <v>443</v>
      </c>
      <c r="E58" s="1" t="s">
        <v>444</v>
      </c>
      <c r="F58" s="33">
        <v>45198</v>
      </c>
      <c r="G58" s="35" t="s">
        <v>445</v>
      </c>
      <c r="H58" s="37" t="s">
        <v>169</v>
      </c>
      <c r="I58" s="37" t="s">
        <v>446</v>
      </c>
      <c r="J58" s="39">
        <v>323280775.83999997</v>
      </c>
      <c r="K58" s="40">
        <f>((J58-M58)/J58)*100</f>
        <v>0</v>
      </c>
      <c r="L58" s="41">
        <f>J58-M58</f>
        <v>0</v>
      </c>
      <c r="M58" s="38">
        <v>323280775.83999997</v>
      </c>
      <c r="N58" s="41">
        <f>J58-O58</f>
        <v>0</v>
      </c>
      <c r="O58" s="38">
        <v>323280775.83999997</v>
      </c>
      <c r="P58" s="27">
        <v>419765947.36000001</v>
      </c>
      <c r="Q58" s="27">
        <f t="shared" si="7"/>
        <v>419765947.36000001</v>
      </c>
      <c r="R58" s="27">
        <f>Q58/U58</f>
        <v>554512.48</v>
      </c>
      <c r="S58" s="38">
        <f>Q58/U58</f>
        <v>554512.48</v>
      </c>
      <c r="T58" s="38">
        <f>S58*AR58</f>
        <v>554512.48</v>
      </c>
      <c r="U58" s="38">
        <v>757</v>
      </c>
      <c r="V58" s="38">
        <v>757</v>
      </c>
      <c r="W58" s="38">
        <v>0</v>
      </c>
      <c r="X58" s="38">
        <v>0</v>
      </c>
      <c r="Y58" s="38"/>
      <c r="Z58" s="38">
        <f t="shared" si="2"/>
        <v>0</v>
      </c>
      <c r="AA58" s="38"/>
      <c r="AB58" s="38">
        <f t="shared" si="3"/>
        <v>0</v>
      </c>
      <c r="AC58" s="38">
        <f>U58/AR58</f>
        <v>757</v>
      </c>
      <c r="AD58" s="38">
        <f t="shared" si="8"/>
        <v>757</v>
      </c>
      <c r="AE58" s="33">
        <v>45300</v>
      </c>
      <c r="AF58" s="33"/>
      <c r="AG58" s="33"/>
      <c r="AH58" s="33">
        <v>45331</v>
      </c>
      <c r="AI58" s="33"/>
      <c r="AJ58" s="42"/>
      <c r="AK58" s="37" t="s">
        <v>349</v>
      </c>
      <c r="AL58" s="37" t="s">
        <v>447</v>
      </c>
      <c r="AM58" s="37" t="s">
        <v>351</v>
      </c>
      <c r="AN58" s="37" t="s">
        <v>352</v>
      </c>
      <c r="AO58" s="43">
        <v>0</v>
      </c>
      <c r="AP58" s="35">
        <v>100</v>
      </c>
      <c r="AQ58" s="35" t="s">
        <v>164</v>
      </c>
      <c r="AR58" s="44">
        <v>1</v>
      </c>
      <c r="AS58" s="37" t="s">
        <v>176</v>
      </c>
    </row>
    <row r="59" spans="1:45" ht="53.25" customHeight="1" x14ac:dyDescent="0.25">
      <c r="A59" s="46" t="s">
        <v>448</v>
      </c>
      <c r="B59" s="42">
        <v>45167</v>
      </c>
      <c r="C59" s="37">
        <v>545</v>
      </c>
      <c r="D59" s="36" t="s">
        <v>449</v>
      </c>
      <c r="E59" s="1" t="s">
        <v>450</v>
      </c>
      <c r="F59" s="33">
        <v>45198</v>
      </c>
      <c r="G59" s="35" t="s">
        <v>451</v>
      </c>
      <c r="H59" s="37" t="s">
        <v>169</v>
      </c>
      <c r="I59" s="37" t="s">
        <v>452</v>
      </c>
      <c r="J59" s="39">
        <v>1035540624</v>
      </c>
      <c r="K59" s="40">
        <f>((J59-M59)/J59)*100</f>
        <v>0</v>
      </c>
      <c r="L59" s="41">
        <f>J59-M59</f>
        <v>0</v>
      </c>
      <c r="M59" s="38">
        <v>1035540624</v>
      </c>
      <c r="N59" s="41">
        <f>J59-O59</f>
        <v>0</v>
      </c>
      <c r="O59" s="38">
        <v>1035540624</v>
      </c>
      <c r="P59" s="27">
        <v>1231300358.4000001</v>
      </c>
      <c r="Q59" s="27">
        <f t="shared" si="7"/>
        <v>1231300358.4000001</v>
      </c>
      <c r="R59" s="27">
        <f>Q59/U59</f>
        <v>47284.960000000006</v>
      </c>
      <c r="S59" s="38">
        <f>Q59/U59</f>
        <v>47284.960000000006</v>
      </c>
      <c r="T59" s="38">
        <f>S59*AR59</f>
        <v>472849.60000000009</v>
      </c>
      <c r="U59" s="38">
        <v>26040</v>
      </c>
      <c r="V59" s="38">
        <v>26040</v>
      </c>
      <c r="W59" s="38">
        <v>0</v>
      </c>
      <c r="X59" s="38">
        <v>0</v>
      </c>
      <c r="Y59" s="38"/>
      <c r="Z59" s="38">
        <f t="shared" si="2"/>
        <v>0</v>
      </c>
      <c r="AA59" s="38"/>
      <c r="AB59" s="38">
        <f t="shared" si="3"/>
        <v>0</v>
      </c>
      <c r="AC59" s="38">
        <f>U59/AR59</f>
        <v>2604</v>
      </c>
      <c r="AD59" s="38">
        <f t="shared" si="8"/>
        <v>2604</v>
      </c>
      <c r="AE59" s="33">
        <v>45322</v>
      </c>
      <c r="AF59" s="33"/>
      <c r="AG59" s="33"/>
      <c r="AH59" s="33">
        <v>45352</v>
      </c>
      <c r="AI59" s="33"/>
      <c r="AJ59" s="42"/>
      <c r="AK59" s="37" t="s">
        <v>453</v>
      </c>
      <c r="AL59" s="37" t="s">
        <v>454</v>
      </c>
      <c r="AM59" s="37" t="s">
        <v>455</v>
      </c>
      <c r="AN59" s="37" t="s">
        <v>456</v>
      </c>
      <c r="AO59" s="43">
        <v>0</v>
      </c>
      <c r="AP59" s="35">
        <v>100</v>
      </c>
      <c r="AQ59" s="35" t="s">
        <v>164</v>
      </c>
      <c r="AR59" s="44">
        <v>10</v>
      </c>
      <c r="AS59" s="37" t="s">
        <v>176</v>
      </c>
    </row>
    <row r="60" spans="1:45" ht="53.25" customHeight="1" x14ac:dyDescent="0.25">
      <c r="A60" s="46" t="s">
        <v>457</v>
      </c>
      <c r="B60" s="33">
        <v>45170</v>
      </c>
      <c r="C60" s="37">
        <v>545</v>
      </c>
      <c r="D60" s="36" t="s">
        <v>458</v>
      </c>
      <c r="E60" s="1" t="s">
        <v>459</v>
      </c>
      <c r="F60" s="33">
        <v>45203</v>
      </c>
      <c r="G60" s="35" t="s">
        <v>460</v>
      </c>
      <c r="H60" s="37" t="s">
        <v>169</v>
      </c>
      <c r="I60" s="37" t="s">
        <v>461</v>
      </c>
      <c r="J60" s="38">
        <v>1882610400</v>
      </c>
      <c r="K60" s="40">
        <f>((J60-M60)/J60)*100</f>
        <v>0</v>
      </c>
      <c r="L60" s="41">
        <f>J60-M60</f>
        <v>0</v>
      </c>
      <c r="M60" s="38">
        <v>1882610400</v>
      </c>
      <c r="N60" s="41">
        <f>J60-O60</f>
        <v>0</v>
      </c>
      <c r="O60" s="38">
        <v>1882610400</v>
      </c>
      <c r="P60" s="27">
        <v>2447240400</v>
      </c>
      <c r="Q60" s="27">
        <f t="shared" si="7"/>
        <v>2447240400</v>
      </c>
      <c r="R60" s="27">
        <f>Q60/U60</f>
        <v>6380</v>
      </c>
      <c r="S60" s="38">
        <f>Q60/U60</f>
        <v>6380</v>
      </c>
      <c r="T60" s="38">
        <f>S60*AR60</f>
        <v>382800</v>
      </c>
      <c r="U60" s="38">
        <v>383580</v>
      </c>
      <c r="V60" s="38">
        <v>383580</v>
      </c>
      <c r="W60" s="38">
        <v>0</v>
      </c>
      <c r="X60" s="38">
        <v>0</v>
      </c>
      <c r="Y60" s="38"/>
      <c r="Z60" s="38">
        <f t="shared" si="2"/>
        <v>0</v>
      </c>
      <c r="AA60" s="38"/>
      <c r="AB60" s="38">
        <f t="shared" si="3"/>
        <v>0</v>
      </c>
      <c r="AC60" s="38">
        <f>U60/AR60</f>
        <v>6393</v>
      </c>
      <c r="AD60" s="38">
        <f t="shared" si="8"/>
        <v>6393</v>
      </c>
      <c r="AE60" s="33">
        <v>45322</v>
      </c>
      <c r="AF60" s="33"/>
      <c r="AG60" s="33"/>
      <c r="AH60" s="33">
        <v>45352</v>
      </c>
      <c r="AI60" s="33"/>
      <c r="AJ60" s="42"/>
      <c r="AK60" s="37" t="s">
        <v>437</v>
      </c>
      <c r="AL60" s="37" t="s">
        <v>462</v>
      </c>
      <c r="AM60" s="37" t="s">
        <v>439</v>
      </c>
      <c r="AN60" s="37" t="s">
        <v>440</v>
      </c>
      <c r="AO60" s="43">
        <v>0</v>
      </c>
      <c r="AP60" s="35">
        <v>100</v>
      </c>
      <c r="AQ60" s="35" t="s">
        <v>441</v>
      </c>
      <c r="AR60" s="44">
        <v>60</v>
      </c>
      <c r="AS60" s="37" t="s">
        <v>176</v>
      </c>
    </row>
    <row r="61" spans="1:45" ht="53.25" customHeight="1" x14ac:dyDescent="0.25">
      <c r="A61" s="46" t="s">
        <v>463</v>
      </c>
      <c r="B61" s="33">
        <v>45170</v>
      </c>
      <c r="C61" s="37">
        <v>545</v>
      </c>
      <c r="D61" s="36" t="s">
        <v>464</v>
      </c>
      <c r="E61" s="1" t="s">
        <v>465</v>
      </c>
      <c r="F61" s="33">
        <v>45202</v>
      </c>
      <c r="G61" s="35" t="s">
        <v>466</v>
      </c>
      <c r="H61" s="37" t="s">
        <v>169</v>
      </c>
      <c r="I61" s="37" t="s">
        <v>467</v>
      </c>
      <c r="J61" s="38">
        <v>789501921.45000005</v>
      </c>
      <c r="K61" s="40">
        <f>((J61-M61)/J61)*100</f>
        <v>0</v>
      </c>
      <c r="L61" s="41">
        <f>J61-M61</f>
        <v>0</v>
      </c>
      <c r="M61" s="38">
        <v>789501921.45000005</v>
      </c>
      <c r="N61" s="41">
        <f>J61-O61</f>
        <v>0</v>
      </c>
      <c r="O61" s="38">
        <v>789501921.45000005</v>
      </c>
      <c r="P61" s="27">
        <v>1023758254.2</v>
      </c>
      <c r="Q61" s="27">
        <f t="shared" si="7"/>
        <v>1023758254.2</v>
      </c>
      <c r="R61" s="27">
        <f>Q61/U61</f>
        <v>25813.370000000003</v>
      </c>
      <c r="S61" s="38">
        <f>Q61/U61</f>
        <v>25813.370000000003</v>
      </c>
      <c r="T61" s="38">
        <f>S61*AR61</f>
        <v>387200.55000000005</v>
      </c>
      <c r="U61" s="38">
        <v>39660</v>
      </c>
      <c r="V61" s="38">
        <v>25005</v>
      </c>
      <c r="W61" s="38">
        <v>14655</v>
      </c>
      <c r="X61" s="38">
        <v>0</v>
      </c>
      <c r="Y61" s="38"/>
      <c r="Z61" s="38">
        <f t="shared" si="2"/>
        <v>0</v>
      </c>
      <c r="AA61" s="38"/>
      <c r="AB61" s="38">
        <f t="shared" si="3"/>
        <v>0</v>
      </c>
      <c r="AC61" s="38">
        <f>U61/AR61</f>
        <v>2644</v>
      </c>
      <c r="AD61" s="38">
        <f t="shared" si="8"/>
        <v>2644</v>
      </c>
      <c r="AE61" s="33">
        <v>45300</v>
      </c>
      <c r="AF61" s="33">
        <v>45337</v>
      </c>
      <c r="AG61" s="33"/>
      <c r="AH61" s="33">
        <v>45331</v>
      </c>
      <c r="AI61" s="33">
        <v>45366</v>
      </c>
      <c r="AJ61" s="42"/>
      <c r="AK61" s="37" t="s">
        <v>394</v>
      </c>
      <c r="AL61" s="37" t="s">
        <v>468</v>
      </c>
      <c r="AM61" s="37" t="s">
        <v>469</v>
      </c>
      <c r="AN61" s="37" t="s">
        <v>397</v>
      </c>
      <c r="AO61" s="43">
        <v>0</v>
      </c>
      <c r="AP61" s="35">
        <v>100</v>
      </c>
      <c r="AQ61" s="35" t="s">
        <v>398</v>
      </c>
      <c r="AR61" s="44">
        <v>15</v>
      </c>
      <c r="AS61" s="37" t="s">
        <v>176</v>
      </c>
    </row>
    <row r="62" spans="1:45" ht="53.25" customHeight="1" x14ac:dyDescent="0.25">
      <c r="A62" s="46" t="s">
        <v>470</v>
      </c>
      <c r="B62" s="33">
        <v>45170</v>
      </c>
      <c r="C62" s="37">
        <v>545</v>
      </c>
      <c r="D62" s="36" t="s">
        <v>471</v>
      </c>
      <c r="E62" s="1" t="s">
        <v>472</v>
      </c>
      <c r="F62" s="33">
        <v>45201</v>
      </c>
      <c r="G62" s="35" t="s">
        <v>473</v>
      </c>
      <c r="H62" s="37" t="s">
        <v>169</v>
      </c>
      <c r="I62" s="37" t="s">
        <v>474</v>
      </c>
      <c r="J62" s="38">
        <v>653594528.39999998</v>
      </c>
      <c r="K62" s="40">
        <f>((J62-M62)/J62)*100</f>
        <v>0</v>
      </c>
      <c r="L62" s="41">
        <f>J62-M62</f>
        <v>0</v>
      </c>
      <c r="M62" s="38">
        <v>653594528.39999998</v>
      </c>
      <c r="N62" s="41">
        <f>J62-O62</f>
        <v>0</v>
      </c>
      <c r="O62" s="38">
        <v>653594528.39999998</v>
      </c>
      <c r="P62" s="27">
        <v>848743605.60000002</v>
      </c>
      <c r="Q62" s="27">
        <f t="shared" si="7"/>
        <v>848743605.60000002</v>
      </c>
      <c r="R62" s="27">
        <f>Q62/U62</f>
        <v>25813.37</v>
      </c>
      <c r="S62" s="38">
        <f>Q62/U62</f>
        <v>25813.37</v>
      </c>
      <c r="T62" s="38">
        <f>S62*AR62</f>
        <v>3097604.4</v>
      </c>
      <c r="U62" s="38">
        <v>32880</v>
      </c>
      <c r="V62" s="38">
        <v>12960</v>
      </c>
      <c r="W62" s="38">
        <v>19920</v>
      </c>
      <c r="X62" s="38">
        <v>0</v>
      </c>
      <c r="Y62" s="38"/>
      <c r="Z62" s="38">
        <f t="shared" si="2"/>
        <v>0</v>
      </c>
      <c r="AA62" s="38"/>
      <c r="AB62" s="38">
        <f t="shared" si="3"/>
        <v>0</v>
      </c>
      <c r="AC62" s="38">
        <f>U62/AR62</f>
        <v>274</v>
      </c>
      <c r="AD62" s="38">
        <f t="shared" si="8"/>
        <v>274</v>
      </c>
      <c r="AE62" s="33">
        <v>45300</v>
      </c>
      <c r="AF62" s="33">
        <v>45382</v>
      </c>
      <c r="AG62" s="33"/>
      <c r="AH62" s="33">
        <v>45331</v>
      </c>
      <c r="AI62" s="33">
        <v>45413</v>
      </c>
      <c r="AJ62" s="42"/>
      <c r="AK62" s="37" t="s">
        <v>394</v>
      </c>
      <c r="AL62" s="37" t="s">
        <v>475</v>
      </c>
      <c r="AM62" s="37" t="s">
        <v>396</v>
      </c>
      <c r="AN62" s="37" t="s">
        <v>397</v>
      </c>
      <c r="AO62" s="43">
        <v>0</v>
      </c>
      <c r="AP62" s="35">
        <v>100</v>
      </c>
      <c r="AQ62" s="35" t="s">
        <v>398</v>
      </c>
      <c r="AR62" s="44">
        <v>120</v>
      </c>
      <c r="AS62" s="37" t="s">
        <v>176</v>
      </c>
    </row>
    <row r="63" spans="1:45" ht="53.25" customHeight="1" x14ac:dyDescent="0.25">
      <c r="A63" s="46" t="s">
        <v>476</v>
      </c>
      <c r="B63" s="33">
        <v>45173</v>
      </c>
      <c r="C63" s="37">
        <v>545</v>
      </c>
      <c r="D63" s="36" t="s">
        <v>477</v>
      </c>
      <c r="E63" s="1" t="s">
        <v>478</v>
      </c>
      <c r="F63" s="33">
        <v>45194</v>
      </c>
      <c r="G63" s="35" t="s">
        <v>479</v>
      </c>
      <c r="H63" s="37" t="s">
        <v>331</v>
      </c>
      <c r="I63" s="37" t="s">
        <v>480</v>
      </c>
      <c r="J63" s="38">
        <v>21558787.800000001</v>
      </c>
      <c r="K63" s="40">
        <f>((J63-M63)/J63)*100</f>
        <v>0</v>
      </c>
      <c r="L63" s="41">
        <f>J63-M63</f>
        <v>0</v>
      </c>
      <c r="M63" s="38">
        <v>21558787.800000001</v>
      </c>
      <c r="N63" s="41">
        <f>J63-O63</f>
        <v>0</v>
      </c>
      <c r="O63" s="38">
        <v>21558787.800000001</v>
      </c>
      <c r="P63" s="27">
        <v>27616629</v>
      </c>
      <c r="Q63" s="27">
        <f t="shared" si="7"/>
        <v>27616629</v>
      </c>
      <c r="R63" s="27">
        <f>Q63/U63</f>
        <v>2969.53</v>
      </c>
      <c r="S63" s="38">
        <f>Q63/U63</f>
        <v>2969.53</v>
      </c>
      <c r="T63" s="38">
        <f>S63*AR63</f>
        <v>178171.80000000002</v>
      </c>
      <c r="U63" s="38">
        <v>9300</v>
      </c>
      <c r="V63" s="38">
        <v>9300</v>
      </c>
      <c r="W63" s="38">
        <v>0</v>
      </c>
      <c r="X63" s="38">
        <v>0</v>
      </c>
      <c r="Y63" s="38"/>
      <c r="Z63" s="38">
        <f t="shared" si="2"/>
        <v>0</v>
      </c>
      <c r="AA63" s="38"/>
      <c r="AB63" s="38">
        <f t="shared" si="3"/>
        <v>0</v>
      </c>
      <c r="AC63" s="38">
        <f>U63/AR63</f>
        <v>155</v>
      </c>
      <c r="AD63" s="38">
        <f t="shared" si="8"/>
        <v>155</v>
      </c>
      <c r="AE63" s="33">
        <v>45300</v>
      </c>
      <c r="AF63" s="33"/>
      <c r="AG63" s="33"/>
      <c r="AH63" s="33">
        <v>45331</v>
      </c>
      <c r="AI63" s="33"/>
      <c r="AJ63" s="42"/>
      <c r="AK63" s="37" t="s">
        <v>481</v>
      </c>
      <c r="AL63" s="37" t="s">
        <v>482</v>
      </c>
      <c r="AM63" s="37" t="s">
        <v>483</v>
      </c>
      <c r="AN63" s="37" t="s">
        <v>174</v>
      </c>
      <c r="AO63" s="43">
        <v>0</v>
      </c>
      <c r="AP63" s="35">
        <v>100</v>
      </c>
      <c r="AQ63" s="35" t="s">
        <v>441</v>
      </c>
      <c r="AR63" s="44">
        <v>60</v>
      </c>
      <c r="AS63" s="37" t="s">
        <v>176</v>
      </c>
    </row>
    <row r="64" spans="1:45" ht="53.25" customHeight="1" x14ac:dyDescent="0.25">
      <c r="A64" s="46" t="s">
        <v>484</v>
      </c>
      <c r="B64" s="33">
        <v>45174</v>
      </c>
      <c r="C64" s="37" t="s">
        <v>486</v>
      </c>
      <c r="D64" s="36" t="s">
        <v>485</v>
      </c>
      <c r="E64" s="1" t="s">
        <v>487</v>
      </c>
      <c r="F64" s="33" t="s">
        <v>485</v>
      </c>
      <c r="G64" s="35" t="s">
        <v>485</v>
      </c>
      <c r="H64" s="37"/>
      <c r="I64" s="37" t="s">
        <v>488</v>
      </c>
      <c r="J64" s="38">
        <v>161212603.05000001</v>
      </c>
      <c r="K64" s="40">
        <f>((J64-M64)/J64)*100</f>
        <v>100</v>
      </c>
      <c r="L64" s="41">
        <f>J64-M64</f>
        <v>161212603.05000001</v>
      </c>
      <c r="M64" s="38"/>
      <c r="N64" s="41">
        <f>J64-O64</f>
        <v>161212603.05000001</v>
      </c>
      <c r="O64" s="38">
        <v>0</v>
      </c>
      <c r="P64" s="27">
        <f>O64</f>
        <v>0</v>
      </c>
      <c r="Q64" s="27">
        <f t="shared" si="7"/>
        <v>0</v>
      </c>
      <c r="R64" s="27" t="e">
        <f>Q64/U64</f>
        <v>#DIV/0!</v>
      </c>
      <c r="S64" s="38" t="e">
        <f>Q64/U64</f>
        <v>#DIV/0!</v>
      </c>
      <c r="T64" s="38" t="e">
        <f>S64*AR64</f>
        <v>#DIV/0!</v>
      </c>
      <c r="U64" s="38">
        <v>0</v>
      </c>
      <c r="V64" s="38">
        <v>0</v>
      </c>
      <c r="W64" s="38">
        <v>0</v>
      </c>
      <c r="X64" s="38">
        <v>0</v>
      </c>
      <c r="Y64" s="38"/>
      <c r="Z64" s="38" t="e">
        <f t="shared" si="2"/>
        <v>#DIV/0!</v>
      </c>
      <c r="AA64" s="38"/>
      <c r="AB64" s="38" t="e">
        <f t="shared" si="3"/>
        <v>#DIV/0!</v>
      </c>
      <c r="AC64" s="38" t="e">
        <f>U64/AR64</f>
        <v>#DIV/0!</v>
      </c>
      <c r="AD64" s="38" t="e">
        <f t="shared" si="8"/>
        <v>#DIV/0!</v>
      </c>
      <c r="AE64" s="33">
        <v>45301</v>
      </c>
      <c r="AF64" s="33"/>
      <c r="AG64" s="33"/>
      <c r="AH64" s="33"/>
      <c r="AI64" s="33"/>
      <c r="AJ64" s="42"/>
      <c r="AK64" s="37"/>
      <c r="AL64" s="37"/>
      <c r="AM64" s="37"/>
      <c r="AN64" s="37"/>
      <c r="AO64" s="43"/>
      <c r="AP64" s="35"/>
      <c r="AQ64" s="35"/>
      <c r="AR64" s="44"/>
      <c r="AS64" s="36" t="s">
        <v>485</v>
      </c>
    </row>
    <row r="65" spans="1:45" ht="53.25" customHeight="1" x14ac:dyDescent="0.25">
      <c r="A65" s="46" t="s">
        <v>489</v>
      </c>
      <c r="B65" s="33">
        <v>45175</v>
      </c>
      <c r="C65" s="37">
        <v>545</v>
      </c>
      <c r="D65" s="36" t="s">
        <v>490</v>
      </c>
      <c r="E65" s="1" t="s">
        <v>491</v>
      </c>
      <c r="F65" s="33">
        <v>45198</v>
      </c>
      <c r="G65" s="35" t="s">
        <v>492</v>
      </c>
      <c r="H65" s="37" t="s">
        <v>331</v>
      </c>
      <c r="I65" s="37" t="s">
        <v>493</v>
      </c>
      <c r="J65" s="38">
        <v>42364594.799999997</v>
      </c>
      <c r="K65" s="40">
        <f>((J65-M65)/J65)*100</f>
        <v>0</v>
      </c>
      <c r="L65" s="41">
        <f>J65-M65</f>
        <v>0</v>
      </c>
      <c r="M65" s="38">
        <v>42364594.799999997</v>
      </c>
      <c r="N65" s="41">
        <f>J65-O65</f>
        <v>0</v>
      </c>
      <c r="O65" s="38">
        <v>42364594.799999997</v>
      </c>
      <c r="P65" s="27">
        <v>46004164.799999997</v>
      </c>
      <c r="Q65" s="27">
        <f t="shared" si="7"/>
        <v>46004164.799999997</v>
      </c>
      <c r="R65" s="27">
        <f>Q65/U65</f>
        <v>2426.3799999999997</v>
      </c>
      <c r="S65" s="38">
        <f>Q65/U65</f>
        <v>2426.3799999999997</v>
      </c>
      <c r="T65" s="38">
        <f>S65*AR65</f>
        <v>72791.399999999994</v>
      </c>
      <c r="U65" s="38">
        <v>18960</v>
      </c>
      <c r="V65" s="38">
        <v>18960</v>
      </c>
      <c r="W65" s="38">
        <v>0</v>
      </c>
      <c r="X65" s="38">
        <v>0</v>
      </c>
      <c r="Y65" s="38"/>
      <c r="Z65" s="38">
        <f t="shared" si="2"/>
        <v>0</v>
      </c>
      <c r="AA65" s="38"/>
      <c r="AB65" s="38">
        <f t="shared" si="3"/>
        <v>0</v>
      </c>
      <c r="AC65" s="38">
        <f>U65/AR65</f>
        <v>632</v>
      </c>
      <c r="AD65" s="38">
        <f t="shared" si="8"/>
        <v>632</v>
      </c>
      <c r="AE65" s="33">
        <v>45300</v>
      </c>
      <c r="AF65" s="33"/>
      <c r="AG65" s="33"/>
      <c r="AH65" s="33">
        <v>45331</v>
      </c>
      <c r="AI65" s="33"/>
      <c r="AJ65" s="42"/>
      <c r="AK65" s="37" t="s">
        <v>494</v>
      </c>
      <c r="AL65" s="37" t="s">
        <v>495</v>
      </c>
      <c r="AM65" s="37" t="s">
        <v>496</v>
      </c>
      <c r="AN65" s="37" t="s">
        <v>352</v>
      </c>
      <c r="AO65" s="43">
        <v>0</v>
      </c>
      <c r="AP65" s="35">
        <v>100</v>
      </c>
      <c r="AQ65" s="35" t="s">
        <v>441</v>
      </c>
      <c r="AR65" s="44">
        <v>30</v>
      </c>
      <c r="AS65" s="37" t="s">
        <v>176</v>
      </c>
    </row>
    <row r="66" spans="1:45" ht="53.25" customHeight="1" x14ac:dyDescent="0.25">
      <c r="A66" s="46" t="s">
        <v>497</v>
      </c>
      <c r="B66" s="33">
        <v>45175</v>
      </c>
      <c r="C66" s="37">
        <v>545</v>
      </c>
      <c r="D66" s="36" t="s">
        <v>498</v>
      </c>
      <c r="E66" s="1" t="s">
        <v>499</v>
      </c>
      <c r="F66" s="33">
        <v>45198</v>
      </c>
      <c r="G66" s="35" t="s">
        <v>500</v>
      </c>
      <c r="H66" s="37" t="s">
        <v>331</v>
      </c>
      <c r="I66" s="37" t="s">
        <v>501</v>
      </c>
      <c r="J66" s="38">
        <v>11592979.199999999</v>
      </c>
      <c r="K66" s="40">
        <f>((J66-M66)/J66)*100</f>
        <v>0</v>
      </c>
      <c r="L66" s="41">
        <f>J66-M66</f>
        <v>0</v>
      </c>
      <c r="M66" s="38">
        <v>11592979.199999999</v>
      </c>
      <c r="N66" s="41">
        <f>J66-O66</f>
        <v>0</v>
      </c>
      <c r="O66" s="38">
        <v>11592979.199999999</v>
      </c>
      <c r="P66" s="27">
        <v>14491224</v>
      </c>
      <c r="Q66" s="27">
        <f t="shared" si="7"/>
        <v>14491224</v>
      </c>
      <c r="R66" s="27">
        <f>Q66/U66</f>
        <v>2683.56</v>
      </c>
      <c r="S66" s="38">
        <f>Q66/U66</f>
        <v>2683.56</v>
      </c>
      <c r="T66" s="38">
        <f>S66*AR66</f>
        <v>161013.6</v>
      </c>
      <c r="U66" s="38">
        <v>5400</v>
      </c>
      <c r="V66" s="38">
        <v>5400</v>
      </c>
      <c r="W66" s="38">
        <v>0</v>
      </c>
      <c r="X66" s="38">
        <v>0</v>
      </c>
      <c r="Y66" s="38"/>
      <c r="Z66" s="38">
        <f t="shared" si="2"/>
        <v>0</v>
      </c>
      <c r="AA66" s="38"/>
      <c r="AB66" s="38">
        <f t="shared" si="3"/>
        <v>0</v>
      </c>
      <c r="AC66" s="38">
        <f>U66/AR66</f>
        <v>90</v>
      </c>
      <c r="AD66" s="38">
        <f t="shared" si="8"/>
        <v>90</v>
      </c>
      <c r="AE66" s="33">
        <v>45300</v>
      </c>
      <c r="AF66" s="33"/>
      <c r="AG66" s="33"/>
      <c r="AH66" s="33">
        <v>45331</v>
      </c>
      <c r="AI66" s="33"/>
      <c r="AJ66" s="42"/>
      <c r="AK66" s="37" t="s">
        <v>481</v>
      </c>
      <c r="AL66" s="37" t="s">
        <v>502</v>
      </c>
      <c r="AM66" s="37" t="s">
        <v>483</v>
      </c>
      <c r="AN66" s="37" t="s">
        <v>174</v>
      </c>
      <c r="AO66" s="43">
        <v>0</v>
      </c>
      <c r="AP66" s="35">
        <v>100</v>
      </c>
      <c r="AQ66" s="35" t="s">
        <v>441</v>
      </c>
      <c r="AR66" s="44">
        <v>60</v>
      </c>
      <c r="AS66" s="37" t="s">
        <v>176</v>
      </c>
    </row>
    <row r="67" spans="1:45" ht="43.5" customHeight="1" x14ac:dyDescent="0.25">
      <c r="A67" s="46" t="s">
        <v>503</v>
      </c>
      <c r="B67" s="33">
        <v>45175</v>
      </c>
      <c r="C67" s="37" t="s">
        <v>486</v>
      </c>
      <c r="D67" s="36" t="s">
        <v>504</v>
      </c>
      <c r="E67" s="1" t="s">
        <v>505</v>
      </c>
      <c r="F67" s="33">
        <v>45202</v>
      </c>
      <c r="G67" s="35" t="s">
        <v>506</v>
      </c>
      <c r="H67" s="37" t="s">
        <v>507</v>
      </c>
      <c r="I67" s="37" t="s">
        <v>508</v>
      </c>
      <c r="J67" s="38">
        <v>32334852.550000001</v>
      </c>
      <c r="K67" s="40">
        <f>((J67-M67)/J67)*100</f>
        <v>51.772188489537427</v>
      </c>
      <c r="L67" s="41">
        <f>J67-M67</f>
        <v>16740460.810000001</v>
      </c>
      <c r="M67" s="38">
        <v>15594391.74</v>
      </c>
      <c r="N67" s="41">
        <f>J67-O67</f>
        <v>16747922.100000001</v>
      </c>
      <c r="O67" s="38">
        <v>15586930.449999999</v>
      </c>
      <c r="P67" s="27">
        <f>O67</f>
        <v>15586930.449999999</v>
      </c>
      <c r="Q67" s="27">
        <f t="shared" si="7"/>
        <v>15586930.449999999</v>
      </c>
      <c r="R67" s="27">
        <f>Q67/U67</f>
        <v>44.169999999999995</v>
      </c>
      <c r="S67" s="38">
        <f>Q67/U67</f>
        <v>44.169999999999995</v>
      </c>
      <c r="T67" s="38">
        <f>S67*AR67</f>
        <v>2650.2</v>
      </c>
      <c r="U67" s="38">
        <v>352885</v>
      </c>
      <c r="V67" s="38">
        <v>352885</v>
      </c>
      <c r="W67" s="38">
        <v>0</v>
      </c>
      <c r="X67" s="38">
        <v>0</v>
      </c>
      <c r="Y67" s="38"/>
      <c r="Z67" s="38">
        <f t="shared" si="2"/>
        <v>0</v>
      </c>
      <c r="AA67" s="38"/>
      <c r="AB67" s="38">
        <f t="shared" si="3"/>
        <v>0</v>
      </c>
      <c r="AC67" s="38">
        <f>U67/AR67</f>
        <v>5881.416666666667</v>
      </c>
      <c r="AD67" s="38">
        <f t="shared" si="8"/>
        <v>5882</v>
      </c>
      <c r="AE67" s="33">
        <v>45301</v>
      </c>
      <c r="AF67" s="33"/>
      <c r="AG67" s="33"/>
      <c r="AH67" s="33">
        <v>45332</v>
      </c>
      <c r="AI67" s="33"/>
      <c r="AJ67" s="42"/>
      <c r="AK67" s="37" t="s">
        <v>509</v>
      </c>
      <c r="AL67" s="37" t="s">
        <v>510</v>
      </c>
      <c r="AM67" s="37" t="s">
        <v>511</v>
      </c>
      <c r="AN67" s="37" t="s">
        <v>50</v>
      </c>
      <c r="AO67" s="43">
        <v>100</v>
      </c>
      <c r="AP67" s="35">
        <v>0</v>
      </c>
      <c r="AQ67" s="35" t="s">
        <v>441</v>
      </c>
      <c r="AR67" s="44">
        <v>60</v>
      </c>
      <c r="AS67" s="37" t="s">
        <v>52</v>
      </c>
    </row>
    <row r="68" spans="1:45" ht="43.5" customHeight="1" x14ac:dyDescent="0.25">
      <c r="A68" s="46" t="s">
        <v>512</v>
      </c>
      <c r="B68" s="42">
        <v>45176</v>
      </c>
      <c r="C68" s="37">
        <v>545</v>
      </c>
      <c r="D68" s="36" t="s">
        <v>513</v>
      </c>
      <c r="E68" s="1" t="s">
        <v>514</v>
      </c>
      <c r="F68" s="33">
        <v>45201</v>
      </c>
      <c r="G68" s="35" t="s">
        <v>515</v>
      </c>
      <c r="H68" s="37" t="s">
        <v>331</v>
      </c>
      <c r="I68" s="37" t="s">
        <v>516</v>
      </c>
      <c r="J68" s="39">
        <v>33848512.5</v>
      </c>
      <c r="K68" s="40">
        <f>((J68-M68)/J68)*100</f>
        <v>0</v>
      </c>
      <c r="L68" s="41">
        <f>J68-M68</f>
        <v>0</v>
      </c>
      <c r="M68" s="38">
        <v>33848512.5</v>
      </c>
      <c r="N68" s="41">
        <f>J68-O68</f>
        <v>0</v>
      </c>
      <c r="O68" s="38">
        <v>33848512.5</v>
      </c>
      <c r="P68" s="27">
        <v>43937553</v>
      </c>
      <c r="Q68" s="27">
        <f t="shared" si="7"/>
        <v>43937553</v>
      </c>
      <c r="R68" s="27">
        <f>Q68/U68</f>
        <v>1455.85</v>
      </c>
      <c r="S68" s="38">
        <f>Q68/U68</f>
        <v>1455.85</v>
      </c>
      <c r="T68" s="38">
        <f>S68*AR68</f>
        <v>43675.5</v>
      </c>
      <c r="U68" s="38">
        <f>V68+W68</f>
        <v>30180</v>
      </c>
      <c r="V68" s="38">
        <v>17730</v>
      </c>
      <c r="W68" s="38">
        <v>12450</v>
      </c>
      <c r="X68" s="38">
        <v>0</v>
      </c>
      <c r="Y68" s="38"/>
      <c r="Z68" s="38">
        <f t="shared" si="2"/>
        <v>0</v>
      </c>
      <c r="AA68" s="38"/>
      <c r="AB68" s="38">
        <f t="shared" si="3"/>
        <v>0</v>
      </c>
      <c r="AC68" s="38">
        <f>U68/AR68</f>
        <v>1006</v>
      </c>
      <c r="AD68" s="38">
        <f t="shared" si="8"/>
        <v>1006</v>
      </c>
      <c r="AE68" s="33">
        <v>45300</v>
      </c>
      <c r="AF68" s="33">
        <v>45443</v>
      </c>
      <c r="AG68" s="33"/>
      <c r="AH68" s="33">
        <v>45331</v>
      </c>
      <c r="AI68" s="33">
        <v>45474</v>
      </c>
      <c r="AJ68" s="42"/>
      <c r="AK68" s="37" t="s">
        <v>494</v>
      </c>
      <c r="AL68" s="37" t="s">
        <v>517</v>
      </c>
      <c r="AM68" s="37" t="s">
        <v>496</v>
      </c>
      <c r="AN68" s="37" t="s">
        <v>352</v>
      </c>
      <c r="AO68" s="43">
        <v>0</v>
      </c>
      <c r="AP68" s="35">
        <v>100</v>
      </c>
      <c r="AQ68" s="35" t="s">
        <v>441</v>
      </c>
      <c r="AR68" s="44">
        <v>30</v>
      </c>
      <c r="AS68" s="37" t="s">
        <v>176</v>
      </c>
    </row>
    <row r="69" spans="1:45" ht="50.25" customHeight="1" x14ac:dyDescent="0.25">
      <c r="A69" s="46" t="s">
        <v>518</v>
      </c>
      <c r="B69" s="42">
        <v>45176</v>
      </c>
      <c r="C69" s="37">
        <v>545</v>
      </c>
      <c r="D69" s="36" t="s">
        <v>519</v>
      </c>
      <c r="E69" s="1" t="s">
        <v>520</v>
      </c>
      <c r="F69" s="33">
        <v>45201</v>
      </c>
      <c r="G69" s="35" t="s">
        <v>521</v>
      </c>
      <c r="H69" s="37" t="s">
        <v>374</v>
      </c>
      <c r="I69" s="37" t="s">
        <v>522</v>
      </c>
      <c r="J69" s="39">
        <v>259547640</v>
      </c>
      <c r="K69" s="40">
        <f>((J69-M69)/J69)*100</f>
        <v>0</v>
      </c>
      <c r="L69" s="41">
        <f>J69-M69</f>
        <v>0</v>
      </c>
      <c r="M69" s="38">
        <v>259547640</v>
      </c>
      <c r="N69" s="41">
        <f>J69-O69</f>
        <v>0</v>
      </c>
      <c r="O69" s="38">
        <v>259547640</v>
      </c>
      <c r="P69" s="27">
        <v>336682280</v>
      </c>
      <c r="Q69" s="27">
        <f t="shared" si="7"/>
        <v>336682280</v>
      </c>
      <c r="R69" s="27">
        <f>Q69/U69</f>
        <v>521180</v>
      </c>
      <c r="S69" s="38">
        <f>Q69/U69</f>
        <v>521180</v>
      </c>
      <c r="T69" s="38">
        <f>S69*AR69</f>
        <v>1042360</v>
      </c>
      <c r="U69" s="38">
        <v>646</v>
      </c>
      <c r="V69" s="38">
        <v>646</v>
      </c>
      <c r="W69" s="38">
        <v>0</v>
      </c>
      <c r="X69" s="38">
        <v>0</v>
      </c>
      <c r="Y69" s="38"/>
      <c r="Z69" s="38">
        <f t="shared" si="2"/>
        <v>0</v>
      </c>
      <c r="AA69" s="38"/>
      <c r="AB69" s="38">
        <f t="shared" si="3"/>
        <v>0</v>
      </c>
      <c r="AC69" s="38">
        <f>U69/AR69</f>
        <v>323</v>
      </c>
      <c r="AD69" s="38">
        <f t="shared" si="8"/>
        <v>323</v>
      </c>
      <c r="AE69" s="33">
        <v>45300</v>
      </c>
      <c r="AF69" s="33"/>
      <c r="AG69" s="33"/>
      <c r="AH69" s="33">
        <v>45331</v>
      </c>
      <c r="AI69" s="33"/>
      <c r="AJ69" s="42"/>
      <c r="AK69" s="37" t="s">
        <v>523</v>
      </c>
      <c r="AL69" s="37" t="s">
        <v>524</v>
      </c>
      <c r="AM69" s="37" t="s">
        <v>525</v>
      </c>
      <c r="AN69" s="37" t="s">
        <v>174</v>
      </c>
      <c r="AO69" s="43">
        <v>0</v>
      </c>
      <c r="AP69" s="35">
        <v>100</v>
      </c>
      <c r="AQ69" s="35" t="s">
        <v>164</v>
      </c>
      <c r="AR69" s="44">
        <v>2</v>
      </c>
      <c r="AS69" s="37" t="s">
        <v>176</v>
      </c>
    </row>
    <row r="70" spans="1:45" ht="50.25" customHeight="1" x14ac:dyDescent="0.25">
      <c r="A70" s="46" t="s">
        <v>526</v>
      </c>
      <c r="B70" s="42">
        <v>45176</v>
      </c>
      <c r="C70" s="37">
        <v>545</v>
      </c>
      <c r="D70" s="36" t="s">
        <v>527</v>
      </c>
      <c r="E70" s="1" t="s">
        <v>528</v>
      </c>
      <c r="F70" s="33">
        <v>45201</v>
      </c>
      <c r="G70" s="35" t="s">
        <v>529</v>
      </c>
      <c r="H70" s="37" t="s">
        <v>331</v>
      </c>
      <c r="I70" s="37" t="s">
        <v>530</v>
      </c>
      <c r="J70" s="39">
        <v>294623792.10000002</v>
      </c>
      <c r="K70" s="40">
        <f>((J70-M70)/J70)*100</f>
        <v>0</v>
      </c>
      <c r="L70" s="41">
        <f>J70-M70</f>
        <v>0</v>
      </c>
      <c r="M70" s="38">
        <v>294623792.10000002</v>
      </c>
      <c r="N70" s="41">
        <f>J70-O70</f>
        <v>0</v>
      </c>
      <c r="O70" s="38">
        <v>294623792.10000002</v>
      </c>
      <c r="P70" s="27">
        <v>344382865.19999999</v>
      </c>
      <c r="Q70" s="27">
        <f t="shared" si="7"/>
        <v>344382865.19999999</v>
      </c>
      <c r="R70" s="27">
        <f>Q70/U70</f>
        <v>970.53</v>
      </c>
      <c r="S70" s="38">
        <f>Q70/U70</f>
        <v>970.53</v>
      </c>
      <c r="T70" s="38">
        <f>S70*AR70</f>
        <v>29115.899999999998</v>
      </c>
      <c r="U70" s="38">
        <v>354840</v>
      </c>
      <c r="V70" s="38">
        <v>254520</v>
      </c>
      <c r="W70" s="38">
        <v>100320</v>
      </c>
      <c r="X70" s="38">
        <v>0</v>
      </c>
      <c r="Y70" s="38"/>
      <c r="Z70" s="38">
        <f t="shared" si="2"/>
        <v>0</v>
      </c>
      <c r="AA70" s="38"/>
      <c r="AB70" s="38">
        <f t="shared" si="3"/>
        <v>0</v>
      </c>
      <c r="AC70" s="38">
        <f>U70/AR70</f>
        <v>11828</v>
      </c>
      <c r="AD70" s="38">
        <f t="shared" si="8"/>
        <v>11828</v>
      </c>
      <c r="AE70" s="33">
        <v>45300</v>
      </c>
      <c r="AF70" s="33">
        <v>45443</v>
      </c>
      <c r="AG70" s="33"/>
      <c r="AH70" s="33">
        <v>45331</v>
      </c>
      <c r="AI70" s="33">
        <v>45474</v>
      </c>
      <c r="AJ70" s="42"/>
      <c r="AK70" s="37" t="s">
        <v>494</v>
      </c>
      <c r="AL70" s="37" t="s">
        <v>531</v>
      </c>
      <c r="AM70" s="37" t="s">
        <v>496</v>
      </c>
      <c r="AN70" s="37" t="s">
        <v>352</v>
      </c>
      <c r="AO70" s="43">
        <v>0</v>
      </c>
      <c r="AP70" s="35">
        <v>100</v>
      </c>
      <c r="AQ70" s="35" t="s">
        <v>441</v>
      </c>
      <c r="AR70" s="44">
        <v>30</v>
      </c>
      <c r="AS70" s="37" t="s">
        <v>176</v>
      </c>
    </row>
    <row r="71" spans="1:45" ht="50.25" customHeight="1" x14ac:dyDescent="0.25">
      <c r="A71" s="46" t="s">
        <v>532</v>
      </c>
      <c r="B71" s="42">
        <v>45177</v>
      </c>
      <c r="C71" s="37">
        <v>545</v>
      </c>
      <c r="D71" s="36" t="s">
        <v>533</v>
      </c>
      <c r="E71" s="1" t="s">
        <v>534</v>
      </c>
      <c r="F71" s="33">
        <v>45201</v>
      </c>
      <c r="G71" s="35" t="s">
        <v>535</v>
      </c>
      <c r="H71" s="37" t="s">
        <v>536</v>
      </c>
      <c r="I71" s="37" t="s">
        <v>537</v>
      </c>
      <c r="J71" s="39">
        <v>215384400</v>
      </c>
      <c r="K71" s="40">
        <f>((J71-M71)/J71)*100</f>
        <v>0</v>
      </c>
      <c r="L71" s="41">
        <f>J71-M71</f>
        <v>0</v>
      </c>
      <c r="M71" s="38">
        <v>215384400</v>
      </c>
      <c r="N71" s="41">
        <f>J71-O71</f>
        <v>0</v>
      </c>
      <c r="O71" s="38">
        <v>215384400</v>
      </c>
      <c r="P71" s="27">
        <v>279833400</v>
      </c>
      <c r="Q71" s="27">
        <f t="shared" si="7"/>
        <v>279833400</v>
      </c>
      <c r="R71" s="27">
        <f>Q71/U71</f>
        <v>6930</v>
      </c>
      <c r="S71" s="38">
        <f>Q71/U71</f>
        <v>6930</v>
      </c>
      <c r="T71" s="38">
        <f>S71*AR71</f>
        <v>415800</v>
      </c>
      <c r="U71" s="38">
        <v>40380</v>
      </c>
      <c r="V71" s="38">
        <v>40380</v>
      </c>
      <c r="W71" s="38">
        <v>0</v>
      </c>
      <c r="X71" s="38">
        <v>0</v>
      </c>
      <c r="Y71" s="38"/>
      <c r="Z71" s="38">
        <f t="shared" si="2"/>
        <v>0</v>
      </c>
      <c r="AA71" s="38"/>
      <c r="AB71" s="38">
        <f t="shared" si="3"/>
        <v>0</v>
      </c>
      <c r="AC71" s="38">
        <f>U71/AR71</f>
        <v>673</v>
      </c>
      <c r="AD71" s="38">
        <f t="shared" si="8"/>
        <v>673</v>
      </c>
      <c r="AE71" s="33">
        <v>45322</v>
      </c>
      <c r="AF71" s="33"/>
      <c r="AG71" s="33"/>
      <c r="AH71" s="33">
        <v>45352</v>
      </c>
      <c r="AI71" s="33"/>
      <c r="AJ71" s="42"/>
      <c r="AK71" s="37" t="s">
        <v>538</v>
      </c>
      <c r="AL71" s="37" t="s">
        <v>539</v>
      </c>
      <c r="AM71" s="37" t="s">
        <v>540</v>
      </c>
      <c r="AN71" s="37" t="s">
        <v>541</v>
      </c>
      <c r="AO71" s="43">
        <v>0</v>
      </c>
      <c r="AP71" s="35">
        <v>100</v>
      </c>
      <c r="AQ71" s="35" t="s">
        <v>441</v>
      </c>
      <c r="AR71" s="44">
        <v>60</v>
      </c>
      <c r="AS71" s="37" t="s">
        <v>176</v>
      </c>
    </row>
    <row r="72" spans="1:45" ht="50.25" customHeight="1" x14ac:dyDescent="0.25">
      <c r="A72" s="46" t="s">
        <v>542</v>
      </c>
      <c r="B72" s="42">
        <v>45181</v>
      </c>
      <c r="C72" s="37" t="s">
        <v>486</v>
      </c>
      <c r="D72" s="36" t="s">
        <v>543</v>
      </c>
      <c r="E72" s="1" t="s">
        <v>544</v>
      </c>
      <c r="F72" s="33" t="s">
        <v>543</v>
      </c>
      <c r="G72" s="35" t="s">
        <v>543</v>
      </c>
      <c r="H72" s="37" t="s">
        <v>543</v>
      </c>
      <c r="I72" s="37" t="s">
        <v>545</v>
      </c>
      <c r="J72" s="39">
        <v>3271104.3</v>
      </c>
      <c r="K72" s="40">
        <f>((J72-M72)/J72)*100</f>
        <v>100</v>
      </c>
      <c r="L72" s="41">
        <f>J72-M72</f>
        <v>3271104.3</v>
      </c>
      <c r="M72" s="38"/>
      <c r="N72" s="41">
        <f>J72-O72</f>
        <v>3271104.3</v>
      </c>
      <c r="O72" s="38">
        <v>0</v>
      </c>
      <c r="P72" s="27">
        <f>O72</f>
        <v>0</v>
      </c>
      <c r="Q72" s="27">
        <f t="shared" si="7"/>
        <v>0</v>
      </c>
      <c r="R72" s="27" t="e">
        <f>Q72/U72</f>
        <v>#DIV/0!</v>
      </c>
      <c r="S72" s="38" t="e">
        <f>Q72/U72</f>
        <v>#DIV/0!</v>
      </c>
      <c r="T72" s="38" t="e">
        <f>S72*AR72</f>
        <v>#DIV/0!</v>
      </c>
      <c r="U72" s="38">
        <v>0</v>
      </c>
      <c r="V72" s="38">
        <v>0</v>
      </c>
      <c r="W72" s="38">
        <v>0</v>
      </c>
      <c r="X72" s="38">
        <v>0</v>
      </c>
      <c r="Y72" s="38"/>
      <c r="Z72" s="38" t="e">
        <f t="shared" si="2"/>
        <v>#DIV/0!</v>
      </c>
      <c r="AA72" s="38"/>
      <c r="AB72" s="38" t="e">
        <f t="shared" si="3"/>
        <v>#DIV/0!</v>
      </c>
      <c r="AC72" s="38" t="e">
        <f>U72/AR72</f>
        <v>#DIV/0!</v>
      </c>
      <c r="AD72" s="38" t="e">
        <f t="shared" si="8"/>
        <v>#DIV/0!</v>
      </c>
      <c r="AE72" s="33">
        <v>45301</v>
      </c>
      <c r="AF72" s="33"/>
      <c r="AG72" s="33"/>
      <c r="AH72" s="33">
        <v>45332</v>
      </c>
      <c r="AI72" s="33"/>
      <c r="AJ72" s="42"/>
      <c r="AK72" s="37"/>
      <c r="AL72" s="37"/>
      <c r="AM72" s="37"/>
      <c r="AN72" s="37"/>
      <c r="AO72" s="43"/>
      <c r="AP72" s="35"/>
      <c r="AQ72" s="35"/>
      <c r="AR72" s="44"/>
      <c r="AS72" s="37" t="s">
        <v>543</v>
      </c>
    </row>
    <row r="73" spans="1:45" ht="50.25" customHeight="1" x14ac:dyDescent="0.25">
      <c r="A73" s="46" t="s">
        <v>546</v>
      </c>
      <c r="B73" s="42">
        <v>45181</v>
      </c>
      <c r="C73" s="37" t="s">
        <v>548</v>
      </c>
      <c r="D73" s="35" t="s">
        <v>547</v>
      </c>
      <c r="E73" s="1" t="s">
        <v>549</v>
      </c>
      <c r="F73" s="35" t="s">
        <v>547</v>
      </c>
      <c r="G73" s="35" t="s">
        <v>550</v>
      </c>
      <c r="H73" s="37" t="s">
        <v>485</v>
      </c>
      <c r="I73" s="37" t="s">
        <v>551</v>
      </c>
      <c r="J73" s="39">
        <v>445239478.80000001</v>
      </c>
      <c r="K73" s="40">
        <f>((J73-M73)/J73)*100</f>
        <v>100</v>
      </c>
      <c r="L73" s="41">
        <f>J73-M73</f>
        <v>445239478.80000001</v>
      </c>
      <c r="M73" s="38"/>
      <c r="N73" s="41">
        <f>J73-O73</f>
        <v>445239478.80000001</v>
      </c>
      <c r="O73" s="38">
        <v>0</v>
      </c>
      <c r="P73" s="27">
        <f>O73</f>
        <v>0</v>
      </c>
      <c r="Q73" s="27">
        <f t="shared" si="7"/>
        <v>0</v>
      </c>
      <c r="R73" s="27" t="e">
        <f>Q73/U73</f>
        <v>#DIV/0!</v>
      </c>
      <c r="S73" s="38" t="e">
        <f>Q73/U73</f>
        <v>#DIV/0!</v>
      </c>
      <c r="T73" s="38" t="e">
        <f>S73*AR73</f>
        <v>#DIV/0!</v>
      </c>
      <c r="U73" s="38">
        <v>0</v>
      </c>
      <c r="V73" s="38">
        <v>0</v>
      </c>
      <c r="W73" s="38">
        <v>0</v>
      </c>
      <c r="X73" s="38">
        <v>0</v>
      </c>
      <c r="Y73" s="38"/>
      <c r="Z73" s="38" t="e">
        <f t="shared" si="2"/>
        <v>#DIV/0!</v>
      </c>
      <c r="AA73" s="38"/>
      <c r="AB73" s="38" t="e">
        <f t="shared" si="3"/>
        <v>#DIV/0!</v>
      </c>
      <c r="AC73" s="38" t="e">
        <f>U73/AR73</f>
        <v>#DIV/0!</v>
      </c>
      <c r="AD73" s="38" t="e">
        <f t="shared" si="8"/>
        <v>#DIV/0!</v>
      </c>
      <c r="AE73" s="33">
        <v>45301</v>
      </c>
      <c r="AF73" s="33"/>
      <c r="AG73" s="33"/>
      <c r="AH73" s="33">
        <v>45332</v>
      </c>
      <c r="AI73" s="33"/>
      <c r="AJ73" s="42"/>
      <c r="AK73" s="37"/>
      <c r="AL73" s="37"/>
      <c r="AM73" s="37"/>
      <c r="AN73" s="37"/>
      <c r="AO73" s="43"/>
      <c r="AP73" s="35"/>
      <c r="AQ73" s="35"/>
      <c r="AR73" s="44"/>
      <c r="AS73" s="37" t="s">
        <v>485</v>
      </c>
    </row>
    <row r="74" spans="1:45" ht="50.25" customHeight="1" x14ac:dyDescent="0.25">
      <c r="A74" s="46" t="s">
        <v>552</v>
      </c>
      <c r="B74" s="42">
        <v>45182</v>
      </c>
      <c r="C74" s="37">
        <v>545</v>
      </c>
      <c r="D74" s="36" t="s">
        <v>553</v>
      </c>
      <c r="E74" s="1" t="s">
        <v>554</v>
      </c>
      <c r="F74" s="33">
        <v>45202</v>
      </c>
      <c r="G74" s="35" t="s">
        <v>555</v>
      </c>
      <c r="H74" s="37" t="s">
        <v>556</v>
      </c>
      <c r="I74" s="37" t="s">
        <v>557</v>
      </c>
      <c r="J74" s="39">
        <v>242453837.5</v>
      </c>
      <c r="K74" s="40">
        <f>((J74-M74)/J74)*100</f>
        <v>0</v>
      </c>
      <c r="L74" s="41">
        <f>J74-M74</f>
        <v>0</v>
      </c>
      <c r="M74" s="38">
        <v>242453837.5</v>
      </c>
      <c r="N74" s="41">
        <f>J74-O74</f>
        <v>0</v>
      </c>
      <c r="O74" s="38">
        <v>242453837.5</v>
      </c>
      <c r="P74" s="27">
        <v>315114614.5</v>
      </c>
      <c r="Q74" s="27">
        <f t="shared" si="7"/>
        <v>315114614.5</v>
      </c>
      <c r="R74" s="27">
        <f>Q74/U74</f>
        <v>1004.99</v>
      </c>
      <c r="S74" s="38">
        <f>Q74/U74</f>
        <v>1004.99</v>
      </c>
      <c r="T74" s="38">
        <f>S74*AR74</f>
        <v>50249.5</v>
      </c>
      <c r="U74" s="38">
        <f>V74+W74</f>
        <v>313550</v>
      </c>
      <c r="V74" s="38">
        <v>255600</v>
      </c>
      <c r="W74" s="38">
        <f>47950+10000</f>
        <v>57950</v>
      </c>
      <c r="X74" s="38">
        <v>0</v>
      </c>
      <c r="Y74" s="38"/>
      <c r="Z74" s="38">
        <f t="shared" si="2"/>
        <v>0</v>
      </c>
      <c r="AA74" s="38"/>
      <c r="AB74" s="38">
        <f t="shared" si="3"/>
        <v>0</v>
      </c>
      <c r="AC74" s="38">
        <f>U74/AR74</f>
        <v>6271</v>
      </c>
      <c r="AD74" s="38">
        <f t="shared" si="8"/>
        <v>6271</v>
      </c>
      <c r="AE74" s="33">
        <v>45322</v>
      </c>
      <c r="AF74" s="33">
        <v>45412</v>
      </c>
      <c r="AG74" s="33"/>
      <c r="AH74" s="33">
        <v>45352</v>
      </c>
      <c r="AI74" s="33">
        <v>45442</v>
      </c>
      <c r="AJ74" s="42"/>
      <c r="AK74" s="37" t="s">
        <v>558</v>
      </c>
      <c r="AL74" s="37" t="s">
        <v>559</v>
      </c>
      <c r="AM74" s="37" t="s">
        <v>560</v>
      </c>
      <c r="AN74" s="37" t="s">
        <v>143</v>
      </c>
      <c r="AO74" s="43">
        <v>0</v>
      </c>
      <c r="AP74" s="35">
        <v>100</v>
      </c>
      <c r="AQ74" s="35" t="s">
        <v>379</v>
      </c>
      <c r="AR74" s="44">
        <v>50</v>
      </c>
      <c r="AS74" s="37" t="s">
        <v>176</v>
      </c>
    </row>
    <row r="75" spans="1:45" ht="57" customHeight="1" x14ac:dyDescent="0.25">
      <c r="A75" s="46" t="s">
        <v>561</v>
      </c>
      <c r="B75" s="33">
        <v>45196</v>
      </c>
      <c r="C75" s="35" t="s">
        <v>486</v>
      </c>
      <c r="D75" s="36" t="s">
        <v>562</v>
      </c>
      <c r="E75" s="1" t="s">
        <v>563</v>
      </c>
      <c r="F75" s="33">
        <v>45216</v>
      </c>
      <c r="G75" s="35" t="s">
        <v>564</v>
      </c>
      <c r="H75" s="37" t="s">
        <v>138</v>
      </c>
      <c r="I75" s="37" t="s">
        <v>565</v>
      </c>
      <c r="J75" s="38">
        <v>161212603.05000001</v>
      </c>
      <c r="K75" s="40">
        <f>((J75-M75)/J75)*100</f>
        <v>0</v>
      </c>
      <c r="L75" s="41">
        <f>J75-M75</f>
        <v>0</v>
      </c>
      <c r="M75" s="38">
        <v>161212603.05000001</v>
      </c>
      <c r="N75" s="41">
        <f>J75-O75</f>
        <v>0</v>
      </c>
      <c r="O75" s="38">
        <v>161212603.05000001</v>
      </c>
      <c r="P75" s="27">
        <f t="shared" ref="P75:P84" si="9">O75</f>
        <v>161212603.05000001</v>
      </c>
      <c r="Q75" s="27">
        <f t="shared" si="7"/>
        <v>161212603.05000001</v>
      </c>
      <c r="R75" s="27">
        <f>Q75/U75</f>
        <v>414.21000000000004</v>
      </c>
      <c r="S75" s="38">
        <f>Q75/U75</f>
        <v>414.21000000000004</v>
      </c>
      <c r="T75" s="38">
        <f>S75*AR75</f>
        <v>12426.300000000001</v>
      </c>
      <c r="U75" s="38">
        <v>389205</v>
      </c>
      <c r="V75" s="38">
        <v>389205</v>
      </c>
      <c r="W75" s="38">
        <v>0</v>
      </c>
      <c r="X75" s="38">
        <v>0</v>
      </c>
      <c r="Y75" s="38"/>
      <c r="Z75" s="38">
        <f t="shared" si="2"/>
        <v>0</v>
      </c>
      <c r="AA75" s="38"/>
      <c r="AB75" s="38">
        <f t="shared" si="3"/>
        <v>0</v>
      </c>
      <c r="AC75" s="38">
        <f>U75/AR75</f>
        <v>12973.5</v>
      </c>
      <c r="AD75" s="38">
        <f t="shared" si="8"/>
        <v>12974</v>
      </c>
      <c r="AE75" s="33">
        <v>45366</v>
      </c>
      <c r="AF75" s="33"/>
      <c r="AG75" s="33"/>
      <c r="AH75" s="33">
        <v>45397</v>
      </c>
      <c r="AI75" s="33"/>
      <c r="AJ75" s="42"/>
      <c r="AK75" s="37" t="s">
        <v>566</v>
      </c>
      <c r="AL75" s="37" t="s">
        <v>567</v>
      </c>
      <c r="AM75" s="37" t="s">
        <v>568</v>
      </c>
      <c r="AN75" s="37" t="s">
        <v>143</v>
      </c>
      <c r="AO75" s="43">
        <v>0</v>
      </c>
      <c r="AP75" s="35">
        <v>100</v>
      </c>
      <c r="AQ75" s="35" t="s">
        <v>441</v>
      </c>
      <c r="AR75" s="44">
        <v>30</v>
      </c>
      <c r="AS75" s="37" t="s">
        <v>52</v>
      </c>
    </row>
    <row r="76" spans="1:45" ht="57" customHeight="1" x14ac:dyDescent="0.25">
      <c r="A76" s="46" t="s">
        <v>569</v>
      </c>
      <c r="B76" s="42">
        <v>45211</v>
      </c>
      <c r="C76" s="37">
        <v>545</v>
      </c>
      <c r="D76" s="36" t="s">
        <v>570</v>
      </c>
      <c r="E76" s="1" t="s">
        <v>571</v>
      </c>
      <c r="F76" s="33">
        <v>45230</v>
      </c>
      <c r="G76" s="35" t="s">
        <v>572</v>
      </c>
      <c r="H76" s="37" t="s">
        <v>556</v>
      </c>
      <c r="I76" s="37" t="s">
        <v>573</v>
      </c>
      <c r="J76" s="39">
        <v>7108442.8799999999</v>
      </c>
      <c r="K76" s="40">
        <f>((J76-M76)/J76)*100</f>
        <v>0</v>
      </c>
      <c r="L76" s="41">
        <f>J76-M76</f>
        <v>0</v>
      </c>
      <c r="M76" s="38">
        <v>7108442.8799999999</v>
      </c>
      <c r="N76" s="41">
        <f>J76-O76</f>
        <v>0</v>
      </c>
      <c r="O76" s="38">
        <v>7108442.8799999999</v>
      </c>
      <c r="P76" s="27">
        <f t="shared" si="9"/>
        <v>7108442.8799999999</v>
      </c>
      <c r="Q76" s="27">
        <f t="shared" si="7"/>
        <v>7108442.8799999999</v>
      </c>
      <c r="R76" s="27">
        <f>Q76/U76</f>
        <v>31.9</v>
      </c>
      <c r="S76" s="38">
        <f>Q76/U76</f>
        <v>31.9</v>
      </c>
      <c r="T76" s="38">
        <f>S76*AR76</f>
        <v>888555.36</v>
      </c>
      <c r="U76" s="38">
        <v>222835.20000000001</v>
      </c>
      <c r="V76" s="38">
        <v>222835.20000000001</v>
      </c>
      <c r="W76" s="38">
        <v>0</v>
      </c>
      <c r="X76" s="38">
        <v>0</v>
      </c>
      <c r="Y76" s="38"/>
      <c r="Z76" s="38">
        <f t="shared" ref="Z76:Z139" si="10">Y76*S76</f>
        <v>0</v>
      </c>
      <c r="AA76" s="38"/>
      <c r="AB76" s="38">
        <f t="shared" ref="AB76:AB139" si="11">AA76*S76</f>
        <v>0</v>
      </c>
      <c r="AC76" s="38">
        <f>U76/AR76</f>
        <v>8</v>
      </c>
      <c r="AD76" s="38">
        <f t="shared" si="8"/>
        <v>8</v>
      </c>
      <c r="AE76" s="33">
        <v>45300</v>
      </c>
      <c r="AF76" s="33"/>
      <c r="AG76" s="33"/>
      <c r="AH76" s="33">
        <v>45332</v>
      </c>
      <c r="AI76" s="33"/>
      <c r="AJ76" s="42"/>
      <c r="AK76" s="37" t="s">
        <v>574</v>
      </c>
      <c r="AL76" s="37" t="s">
        <v>575</v>
      </c>
      <c r="AM76" s="37" t="s">
        <v>576</v>
      </c>
      <c r="AN76" s="37" t="s">
        <v>577</v>
      </c>
      <c r="AO76" s="43">
        <v>0</v>
      </c>
      <c r="AP76" s="35">
        <v>100</v>
      </c>
      <c r="AQ76" s="35" t="s">
        <v>379</v>
      </c>
      <c r="AR76" s="49">
        <v>27854.400000000001</v>
      </c>
      <c r="AS76" s="37" t="s">
        <v>176</v>
      </c>
    </row>
    <row r="77" spans="1:45" ht="57" customHeight="1" x14ac:dyDescent="0.25">
      <c r="A77" s="46" t="s">
        <v>578</v>
      </c>
      <c r="B77" s="42">
        <v>45211</v>
      </c>
      <c r="C77" s="37">
        <v>545</v>
      </c>
      <c r="D77" s="36" t="s">
        <v>579</v>
      </c>
      <c r="E77" s="1" t="s">
        <v>580</v>
      </c>
      <c r="F77" s="33">
        <v>45230</v>
      </c>
      <c r="G77" s="35" t="s">
        <v>581</v>
      </c>
      <c r="H77" s="37" t="s">
        <v>169</v>
      </c>
      <c r="I77" s="37" t="s">
        <v>582</v>
      </c>
      <c r="J77" s="39">
        <v>17806060.800000001</v>
      </c>
      <c r="K77" s="40">
        <f>((J77-M77)/J77)*100</f>
        <v>0</v>
      </c>
      <c r="L77" s="41">
        <f>J77-M77</f>
        <v>0</v>
      </c>
      <c r="M77" s="38">
        <v>17806060.800000001</v>
      </c>
      <c r="N77" s="41">
        <f>J77-O77</f>
        <v>0</v>
      </c>
      <c r="O77" s="38">
        <v>17806060.800000001</v>
      </c>
      <c r="P77" s="27">
        <f t="shared" si="9"/>
        <v>17806060.800000001</v>
      </c>
      <c r="Q77" s="27">
        <f t="shared" si="7"/>
        <v>17806060.800000001</v>
      </c>
      <c r="R77" s="27">
        <f>Q77/U77</f>
        <v>247306.40000000002</v>
      </c>
      <c r="S77" s="38">
        <f>Q77/U77</f>
        <v>247306.40000000002</v>
      </c>
      <c r="T77" s="38">
        <f>S77*AR77</f>
        <v>2967676.8000000003</v>
      </c>
      <c r="U77" s="38">
        <v>72</v>
      </c>
      <c r="V77" s="38">
        <v>72</v>
      </c>
      <c r="W77" s="38">
        <v>0</v>
      </c>
      <c r="X77" s="38">
        <v>0</v>
      </c>
      <c r="Y77" s="38"/>
      <c r="Z77" s="38">
        <f t="shared" si="10"/>
        <v>0</v>
      </c>
      <c r="AA77" s="38"/>
      <c r="AB77" s="38">
        <f t="shared" si="11"/>
        <v>0</v>
      </c>
      <c r="AC77" s="38">
        <f>U77/AR77</f>
        <v>6</v>
      </c>
      <c r="AD77" s="38">
        <f t="shared" si="8"/>
        <v>6</v>
      </c>
      <c r="AE77" s="33">
        <v>45300</v>
      </c>
      <c r="AF77" s="33"/>
      <c r="AG77" s="33"/>
      <c r="AH77" s="33">
        <v>45331</v>
      </c>
      <c r="AI77" s="33"/>
      <c r="AJ77" s="42"/>
      <c r="AK77" s="37" t="s">
        <v>429</v>
      </c>
      <c r="AL77" s="37" t="s">
        <v>430</v>
      </c>
      <c r="AM77" s="37" t="s">
        <v>583</v>
      </c>
      <c r="AN77" s="37" t="s">
        <v>143</v>
      </c>
      <c r="AO77" s="43">
        <v>0</v>
      </c>
      <c r="AP77" s="35">
        <v>100</v>
      </c>
      <c r="AQ77" s="35" t="s">
        <v>164</v>
      </c>
      <c r="AR77" s="44">
        <v>12</v>
      </c>
      <c r="AS77" s="37" t="s">
        <v>176</v>
      </c>
    </row>
    <row r="78" spans="1:45" ht="57" customHeight="1" x14ac:dyDescent="0.25">
      <c r="A78" s="46" t="s">
        <v>584</v>
      </c>
      <c r="B78" s="42">
        <v>45211</v>
      </c>
      <c r="C78" s="37" t="s">
        <v>548</v>
      </c>
      <c r="D78" s="36" t="s">
        <v>585</v>
      </c>
      <c r="E78" s="1" t="s">
        <v>586</v>
      </c>
      <c r="F78" s="33">
        <v>45230</v>
      </c>
      <c r="G78" s="35" t="s">
        <v>587</v>
      </c>
      <c r="H78" s="37" t="s">
        <v>219</v>
      </c>
      <c r="I78" s="37" t="s">
        <v>551</v>
      </c>
      <c r="J78" s="39">
        <v>288944067.75</v>
      </c>
      <c r="K78" s="40">
        <f>((J78-M78)/J78)*100</f>
        <v>0</v>
      </c>
      <c r="L78" s="41">
        <f>J78-M78</f>
        <v>0</v>
      </c>
      <c r="M78" s="38">
        <v>288944067.75</v>
      </c>
      <c r="N78" s="41">
        <f>J78-O78</f>
        <v>0</v>
      </c>
      <c r="O78" s="38">
        <v>288944067.75</v>
      </c>
      <c r="P78" s="27">
        <f t="shared" si="9"/>
        <v>288944067.75</v>
      </c>
      <c r="Q78" s="27">
        <f t="shared" si="7"/>
        <v>288944067.75</v>
      </c>
      <c r="R78" s="27">
        <f>Q78/U78</f>
        <v>574.54999999999995</v>
      </c>
      <c r="S78" s="38">
        <f>Q78/U78</f>
        <v>574.54999999999995</v>
      </c>
      <c r="T78" s="38">
        <f>S78*AR78</f>
        <v>108015.4</v>
      </c>
      <c r="U78" s="38">
        <v>502905</v>
      </c>
      <c r="V78" s="38">
        <v>502905</v>
      </c>
      <c r="W78" s="38">
        <v>0</v>
      </c>
      <c r="X78" s="38">
        <v>0</v>
      </c>
      <c r="Y78" s="38"/>
      <c r="Z78" s="38">
        <f t="shared" si="10"/>
        <v>0</v>
      </c>
      <c r="AA78" s="38"/>
      <c r="AB78" s="38">
        <f t="shared" si="11"/>
        <v>0</v>
      </c>
      <c r="AC78" s="38">
        <f>U78/AR78</f>
        <v>2675.0265957446809</v>
      </c>
      <c r="AD78" s="38">
        <f t="shared" si="8"/>
        <v>2676</v>
      </c>
      <c r="AE78" s="33">
        <v>45301</v>
      </c>
      <c r="AF78" s="33"/>
      <c r="AG78" s="33"/>
      <c r="AH78" s="33">
        <v>45332</v>
      </c>
      <c r="AI78" s="33"/>
      <c r="AJ78" s="42"/>
      <c r="AK78" s="37" t="s">
        <v>588</v>
      </c>
      <c r="AL78" s="37" t="s">
        <v>589</v>
      </c>
      <c r="AM78" s="37" t="s">
        <v>590</v>
      </c>
      <c r="AN78" s="37" t="s">
        <v>50</v>
      </c>
      <c r="AO78" s="43">
        <v>100</v>
      </c>
      <c r="AP78" s="35">
        <v>0</v>
      </c>
      <c r="AQ78" s="35" t="s">
        <v>441</v>
      </c>
      <c r="AR78" s="44">
        <v>188</v>
      </c>
      <c r="AS78" s="37" t="s">
        <v>176</v>
      </c>
    </row>
    <row r="79" spans="1:45" ht="57" customHeight="1" x14ac:dyDescent="0.25">
      <c r="A79" s="46" t="s">
        <v>591</v>
      </c>
      <c r="B79" s="42">
        <v>45211</v>
      </c>
      <c r="C79" s="37">
        <v>545</v>
      </c>
      <c r="D79" s="36" t="s">
        <v>592</v>
      </c>
      <c r="E79" s="1" t="s">
        <v>593</v>
      </c>
      <c r="F79" s="33">
        <v>45230</v>
      </c>
      <c r="G79" s="35" t="s">
        <v>594</v>
      </c>
      <c r="H79" s="37" t="s">
        <v>169</v>
      </c>
      <c r="I79" s="37" t="s">
        <v>393</v>
      </c>
      <c r="J79" s="39">
        <v>24780777.600000001</v>
      </c>
      <c r="K79" s="40">
        <f>((J79-M79)/J79)*100</f>
        <v>0</v>
      </c>
      <c r="L79" s="41">
        <f>J79-M79</f>
        <v>0</v>
      </c>
      <c r="M79" s="39">
        <v>24780777.600000001</v>
      </c>
      <c r="N79" s="41">
        <f>J79-O79</f>
        <v>0</v>
      </c>
      <c r="O79" s="38">
        <v>24780777.600000001</v>
      </c>
      <c r="P79" s="27">
        <f t="shared" si="9"/>
        <v>24780777.600000001</v>
      </c>
      <c r="Q79" s="27">
        <f t="shared" si="7"/>
        <v>24780777.600000001</v>
      </c>
      <c r="R79" s="27">
        <f>Q79/U79</f>
        <v>25813.31</v>
      </c>
      <c r="S79" s="38">
        <f>Q79/U79</f>
        <v>25813.31</v>
      </c>
      <c r="T79" s="38">
        <f>S79*AR79</f>
        <v>774399.3</v>
      </c>
      <c r="U79" s="38">
        <v>960</v>
      </c>
      <c r="V79" s="38">
        <v>960</v>
      </c>
      <c r="W79" s="38">
        <v>0</v>
      </c>
      <c r="X79" s="38">
        <v>0</v>
      </c>
      <c r="Y79" s="38"/>
      <c r="Z79" s="38">
        <f t="shared" si="10"/>
        <v>0</v>
      </c>
      <c r="AA79" s="38"/>
      <c r="AB79" s="38">
        <f t="shared" si="11"/>
        <v>0</v>
      </c>
      <c r="AC79" s="38">
        <f>U79/AR79</f>
        <v>32</v>
      </c>
      <c r="AD79" s="38">
        <f t="shared" si="8"/>
        <v>32</v>
      </c>
      <c r="AE79" s="33">
        <v>45300</v>
      </c>
      <c r="AF79" s="33"/>
      <c r="AG79" s="33"/>
      <c r="AH79" s="33">
        <v>45332</v>
      </c>
      <c r="AI79" s="33"/>
      <c r="AJ79" s="42"/>
      <c r="AK79" s="37" t="s">
        <v>394</v>
      </c>
      <c r="AL79" s="37" t="s">
        <v>395</v>
      </c>
      <c r="AM79" s="37" t="s">
        <v>396</v>
      </c>
      <c r="AN79" s="37" t="s">
        <v>397</v>
      </c>
      <c r="AO79" s="43">
        <v>0</v>
      </c>
      <c r="AP79" s="35">
        <v>100</v>
      </c>
      <c r="AQ79" s="35" t="s">
        <v>398</v>
      </c>
      <c r="AR79" s="44">
        <v>30</v>
      </c>
      <c r="AS79" s="37" t="s">
        <v>176</v>
      </c>
    </row>
    <row r="80" spans="1:45" ht="57" customHeight="1" x14ac:dyDescent="0.25">
      <c r="A80" s="46" t="s">
        <v>595</v>
      </c>
      <c r="B80" s="42">
        <v>45215</v>
      </c>
      <c r="C80" s="37">
        <v>545</v>
      </c>
      <c r="D80" s="36" t="s">
        <v>596</v>
      </c>
      <c r="E80" s="1" t="s">
        <v>597</v>
      </c>
      <c r="F80" s="33">
        <v>45237</v>
      </c>
      <c r="G80" s="35" t="s">
        <v>598</v>
      </c>
      <c r="H80" s="37" t="s">
        <v>169</v>
      </c>
      <c r="I80" s="37" t="s">
        <v>467</v>
      </c>
      <c r="J80" s="39">
        <v>5420807.7000000002</v>
      </c>
      <c r="K80" s="40">
        <f>((J80-M80)/J80)*100</f>
        <v>0</v>
      </c>
      <c r="L80" s="41">
        <f>J80-M80</f>
        <v>0</v>
      </c>
      <c r="M80" s="38">
        <v>5420807.7000000002</v>
      </c>
      <c r="N80" s="41">
        <f>J80-O80</f>
        <v>0</v>
      </c>
      <c r="O80" s="38">
        <v>5420807.7000000002</v>
      </c>
      <c r="P80" s="27">
        <f t="shared" si="9"/>
        <v>5420807.7000000002</v>
      </c>
      <c r="Q80" s="27">
        <f t="shared" si="7"/>
        <v>5420807.7000000002</v>
      </c>
      <c r="R80" s="27">
        <f>Q80/U80</f>
        <v>25813.370000000003</v>
      </c>
      <c r="S80" s="38">
        <f>Q80/U80</f>
        <v>25813.370000000003</v>
      </c>
      <c r="T80" s="38">
        <f>S80*AR80</f>
        <v>387200.55000000005</v>
      </c>
      <c r="U80" s="38">
        <v>210</v>
      </c>
      <c r="V80" s="38">
        <v>210</v>
      </c>
      <c r="W80" s="38">
        <v>0</v>
      </c>
      <c r="X80" s="38">
        <v>0</v>
      </c>
      <c r="Y80" s="38"/>
      <c r="Z80" s="38">
        <f t="shared" si="10"/>
        <v>0</v>
      </c>
      <c r="AA80" s="38"/>
      <c r="AB80" s="38">
        <f t="shared" si="11"/>
        <v>0</v>
      </c>
      <c r="AC80" s="38">
        <f>U80/AR80</f>
        <v>14</v>
      </c>
      <c r="AD80" s="38">
        <f t="shared" si="8"/>
        <v>14</v>
      </c>
      <c r="AE80" s="33">
        <v>45300</v>
      </c>
      <c r="AF80" s="33"/>
      <c r="AG80" s="33"/>
      <c r="AH80" s="33">
        <v>45332</v>
      </c>
      <c r="AI80" s="33"/>
      <c r="AJ80" s="42"/>
      <c r="AK80" s="37" t="s">
        <v>394</v>
      </c>
      <c r="AL80" s="37" t="s">
        <v>599</v>
      </c>
      <c r="AM80" s="37" t="s">
        <v>600</v>
      </c>
      <c r="AN80" s="37" t="s">
        <v>397</v>
      </c>
      <c r="AO80" s="43">
        <v>0</v>
      </c>
      <c r="AP80" s="35">
        <v>100</v>
      </c>
      <c r="AQ80" s="35" t="s">
        <v>398</v>
      </c>
      <c r="AR80" s="44">
        <v>15</v>
      </c>
      <c r="AS80" s="37" t="s">
        <v>176</v>
      </c>
    </row>
    <row r="81" spans="1:45" ht="57" customHeight="1" x14ac:dyDescent="0.25">
      <c r="A81" s="46" t="s">
        <v>601</v>
      </c>
      <c r="B81" s="33">
        <v>45215</v>
      </c>
      <c r="C81" s="35">
        <v>545</v>
      </c>
      <c r="D81" s="36" t="s">
        <v>602</v>
      </c>
      <c r="E81" s="1" t="s">
        <v>603</v>
      </c>
      <c r="F81" s="33">
        <v>45237</v>
      </c>
      <c r="G81" s="35" t="s">
        <v>604</v>
      </c>
      <c r="H81" s="37" t="s">
        <v>169</v>
      </c>
      <c r="I81" s="37" t="s">
        <v>420</v>
      </c>
      <c r="J81" s="38">
        <v>17806060.800000001</v>
      </c>
      <c r="K81" s="40">
        <f>((J81-M81)/J81)*100</f>
        <v>0</v>
      </c>
      <c r="L81" s="41">
        <v>17806060.800000001</v>
      </c>
      <c r="M81" s="38">
        <v>17806060.800000001</v>
      </c>
      <c r="N81" s="41">
        <f>J81-O81</f>
        <v>0</v>
      </c>
      <c r="O81" s="38">
        <v>17806060.800000001</v>
      </c>
      <c r="P81" s="27">
        <f t="shared" si="9"/>
        <v>17806060.800000001</v>
      </c>
      <c r="Q81" s="27">
        <f t="shared" si="7"/>
        <v>17806060.800000001</v>
      </c>
      <c r="R81" s="27">
        <f>Q81/U81</f>
        <v>618266</v>
      </c>
      <c r="S81" s="38">
        <f>Q81/U81</f>
        <v>618266</v>
      </c>
      <c r="T81" s="38">
        <f>S81*AR81</f>
        <v>5935353.5999999996</v>
      </c>
      <c r="U81" s="38">
        <v>28.8</v>
      </c>
      <c r="V81" s="38">
        <v>28.8</v>
      </c>
      <c r="W81" s="38">
        <v>0</v>
      </c>
      <c r="X81" s="38">
        <v>0</v>
      </c>
      <c r="Y81" s="38"/>
      <c r="Z81" s="38">
        <f t="shared" si="10"/>
        <v>0</v>
      </c>
      <c r="AA81" s="38"/>
      <c r="AB81" s="38">
        <f t="shared" si="11"/>
        <v>0</v>
      </c>
      <c r="AC81" s="38">
        <f>U81/AR81</f>
        <v>3</v>
      </c>
      <c r="AD81" s="38">
        <f t="shared" si="8"/>
        <v>3</v>
      </c>
      <c r="AE81" s="33">
        <v>45300</v>
      </c>
      <c r="AF81" s="33"/>
      <c r="AG81" s="33"/>
      <c r="AH81" s="33">
        <v>45332</v>
      </c>
      <c r="AI81" s="33"/>
      <c r="AJ81" s="42"/>
      <c r="AK81" s="37" t="s">
        <v>421</v>
      </c>
      <c r="AL81" s="37" t="s">
        <v>605</v>
      </c>
      <c r="AM81" s="37" t="s">
        <v>423</v>
      </c>
      <c r="AN81" s="37" t="s">
        <v>143</v>
      </c>
      <c r="AO81" s="43">
        <v>0</v>
      </c>
      <c r="AP81" s="35">
        <v>100</v>
      </c>
      <c r="AQ81" s="35" t="s">
        <v>164</v>
      </c>
      <c r="AR81" s="49">
        <v>9.6</v>
      </c>
      <c r="AS81" s="37" t="s">
        <v>176</v>
      </c>
    </row>
    <row r="82" spans="1:45" ht="57" customHeight="1" x14ac:dyDescent="0.25">
      <c r="A82" s="46" t="s">
        <v>606</v>
      </c>
      <c r="B82" s="33">
        <v>45217</v>
      </c>
      <c r="C82" s="35">
        <v>545</v>
      </c>
      <c r="D82" s="36" t="s">
        <v>607</v>
      </c>
      <c r="E82" s="1" t="s">
        <v>608</v>
      </c>
      <c r="F82" s="33">
        <v>45237</v>
      </c>
      <c r="G82" s="35" t="s">
        <v>609</v>
      </c>
      <c r="H82" s="37" t="s">
        <v>556</v>
      </c>
      <c r="I82" s="37" t="s">
        <v>557</v>
      </c>
      <c r="J82" s="38">
        <v>2210956</v>
      </c>
      <c r="K82" s="40">
        <f>((J82-M82)/J82)*100</f>
        <v>0</v>
      </c>
      <c r="L82" s="41">
        <v>2210956</v>
      </c>
      <c r="M82" s="38">
        <v>2210956</v>
      </c>
      <c r="N82" s="41">
        <f>J82-O82</f>
        <v>0</v>
      </c>
      <c r="O82" s="38">
        <v>2210956</v>
      </c>
      <c r="P82" s="27">
        <f t="shared" si="9"/>
        <v>2210956</v>
      </c>
      <c r="Q82" s="27">
        <f t="shared" si="7"/>
        <v>2210956</v>
      </c>
      <c r="R82" s="27">
        <f>Q82/U82</f>
        <v>1004.98</v>
      </c>
      <c r="S82" s="38">
        <f>Q82/U82</f>
        <v>1004.98</v>
      </c>
      <c r="T82" s="38">
        <f>S82*AR82</f>
        <v>50249</v>
      </c>
      <c r="U82" s="38">
        <v>2200</v>
      </c>
      <c r="V82" s="38">
        <v>2200</v>
      </c>
      <c r="W82" s="38">
        <v>0</v>
      </c>
      <c r="X82" s="38">
        <v>0</v>
      </c>
      <c r="Y82" s="38"/>
      <c r="Z82" s="38">
        <f t="shared" si="10"/>
        <v>0</v>
      </c>
      <c r="AA82" s="38"/>
      <c r="AB82" s="38">
        <f t="shared" si="11"/>
        <v>0</v>
      </c>
      <c r="AC82" s="38">
        <f>U82/AR82</f>
        <v>44</v>
      </c>
      <c r="AD82" s="38">
        <f t="shared" si="8"/>
        <v>44</v>
      </c>
      <c r="AE82" s="33">
        <v>45300</v>
      </c>
      <c r="AF82" s="33"/>
      <c r="AG82" s="33"/>
      <c r="AH82" s="33">
        <v>45332</v>
      </c>
      <c r="AI82" s="33"/>
      <c r="AJ82" s="42"/>
      <c r="AK82" s="37" t="s">
        <v>610</v>
      </c>
      <c r="AL82" s="37" t="s">
        <v>611</v>
      </c>
      <c r="AM82" s="37" t="s">
        <v>612</v>
      </c>
      <c r="AN82" s="37" t="s">
        <v>143</v>
      </c>
      <c r="AO82" s="43">
        <v>0</v>
      </c>
      <c r="AP82" s="35">
        <v>100</v>
      </c>
      <c r="AQ82" s="35" t="s">
        <v>379</v>
      </c>
      <c r="AR82" s="44">
        <v>50</v>
      </c>
      <c r="AS82" s="37" t="s">
        <v>176</v>
      </c>
    </row>
    <row r="83" spans="1:45" ht="57" customHeight="1" x14ac:dyDescent="0.25">
      <c r="A83" s="46" t="s">
        <v>613</v>
      </c>
      <c r="B83" s="33">
        <v>45217</v>
      </c>
      <c r="C83" s="35">
        <v>545</v>
      </c>
      <c r="D83" s="36" t="s">
        <v>614</v>
      </c>
      <c r="E83" s="1" t="s">
        <v>615</v>
      </c>
      <c r="F83" s="33">
        <v>45237</v>
      </c>
      <c r="G83" s="35" t="s">
        <v>616</v>
      </c>
      <c r="H83" s="37" t="s">
        <v>617</v>
      </c>
      <c r="I83" s="37" t="s">
        <v>618</v>
      </c>
      <c r="J83" s="38">
        <v>3519984.6</v>
      </c>
      <c r="K83" s="40">
        <f>((J83-M83)/J83)*100</f>
        <v>0</v>
      </c>
      <c r="L83" s="41">
        <v>3519984.6</v>
      </c>
      <c r="M83" s="38">
        <v>3519984.6</v>
      </c>
      <c r="N83" s="41">
        <f>J83-O83</f>
        <v>0</v>
      </c>
      <c r="O83" s="38">
        <v>3519984.6</v>
      </c>
      <c r="P83" s="27">
        <f t="shared" si="9"/>
        <v>3519984.6</v>
      </c>
      <c r="Q83" s="27">
        <f t="shared" si="7"/>
        <v>3519984.6</v>
      </c>
      <c r="R83" s="27">
        <f>Q83/U83</f>
        <v>5333.31</v>
      </c>
      <c r="S83" s="38">
        <f>Q83/U83</f>
        <v>5333.31</v>
      </c>
      <c r="T83" s="38">
        <f>S83*AR83</f>
        <v>319998.60000000003</v>
      </c>
      <c r="U83" s="38">
        <v>660</v>
      </c>
      <c r="V83" s="38">
        <v>660</v>
      </c>
      <c r="W83" s="38">
        <v>0</v>
      </c>
      <c r="X83" s="38">
        <v>0</v>
      </c>
      <c r="Y83" s="38"/>
      <c r="Z83" s="38">
        <f t="shared" si="10"/>
        <v>0</v>
      </c>
      <c r="AA83" s="38"/>
      <c r="AB83" s="38">
        <f t="shared" si="11"/>
        <v>0</v>
      </c>
      <c r="AC83" s="38">
        <f>U83/AR83</f>
        <v>11</v>
      </c>
      <c r="AD83" s="38">
        <f t="shared" si="8"/>
        <v>11</v>
      </c>
      <c r="AE83" s="33">
        <v>45300</v>
      </c>
      <c r="AF83" s="33"/>
      <c r="AG83" s="33"/>
      <c r="AH83" s="33">
        <v>45332</v>
      </c>
      <c r="AI83" s="33"/>
      <c r="AJ83" s="42"/>
      <c r="AK83" s="37" t="s">
        <v>619</v>
      </c>
      <c r="AL83" s="37" t="s">
        <v>620</v>
      </c>
      <c r="AM83" s="37" t="s">
        <v>621</v>
      </c>
      <c r="AN83" s="37" t="s">
        <v>50</v>
      </c>
      <c r="AO83" s="43">
        <v>100</v>
      </c>
      <c r="AP83" s="35">
        <v>0</v>
      </c>
      <c r="AQ83" s="35" t="s">
        <v>441</v>
      </c>
      <c r="AR83" s="44">
        <v>60</v>
      </c>
      <c r="AS83" s="37" t="s">
        <v>176</v>
      </c>
    </row>
    <row r="84" spans="1:45" ht="63" customHeight="1" x14ac:dyDescent="0.25">
      <c r="A84" s="46" t="s">
        <v>622</v>
      </c>
      <c r="B84" s="33">
        <v>45219</v>
      </c>
      <c r="C84" s="35">
        <v>545</v>
      </c>
      <c r="D84" s="36" t="s">
        <v>623</v>
      </c>
      <c r="E84" s="1" t="s">
        <v>624</v>
      </c>
      <c r="F84" s="33">
        <v>45240</v>
      </c>
      <c r="G84" s="35" t="s">
        <v>625</v>
      </c>
      <c r="H84" s="37" t="s">
        <v>374</v>
      </c>
      <c r="I84" s="37" t="s">
        <v>375</v>
      </c>
      <c r="J84" s="38">
        <v>18087484.800000001</v>
      </c>
      <c r="K84" s="40">
        <f>((J84-M84)/J84)*100</f>
        <v>0</v>
      </c>
      <c r="L84" s="41">
        <v>18087484.800000001</v>
      </c>
      <c r="M84" s="38">
        <v>18087484.800000001</v>
      </c>
      <c r="N84" s="41">
        <f>J84-O84</f>
        <v>0</v>
      </c>
      <c r="O84" s="38">
        <v>18087484.800000001</v>
      </c>
      <c r="P84" s="27">
        <f t="shared" si="9"/>
        <v>18087484.800000001</v>
      </c>
      <c r="Q84" s="27">
        <f t="shared" si="7"/>
        <v>18087484.800000001</v>
      </c>
      <c r="R84" s="27">
        <f>Q84/U84</f>
        <v>10766.36</v>
      </c>
      <c r="S84" s="38">
        <f>Q84/U84</f>
        <v>10766.36</v>
      </c>
      <c r="T84" s="38">
        <f>S84*AR84</f>
        <v>1507290.4000000001</v>
      </c>
      <c r="U84" s="38">
        <v>1680</v>
      </c>
      <c r="V84" s="38">
        <v>1680</v>
      </c>
      <c r="W84" s="38">
        <v>0</v>
      </c>
      <c r="X84" s="38">
        <v>0</v>
      </c>
      <c r="Y84" s="38"/>
      <c r="Z84" s="38">
        <f t="shared" si="10"/>
        <v>0</v>
      </c>
      <c r="AA84" s="38"/>
      <c r="AB84" s="38">
        <f t="shared" si="11"/>
        <v>0</v>
      </c>
      <c r="AC84" s="38">
        <f>U84/AR84</f>
        <v>12</v>
      </c>
      <c r="AD84" s="38">
        <f t="shared" si="8"/>
        <v>12</v>
      </c>
      <c r="AE84" s="33">
        <v>45300</v>
      </c>
      <c r="AF84" s="33"/>
      <c r="AG84" s="33"/>
      <c r="AH84" s="33">
        <v>45332</v>
      </c>
      <c r="AI84" s="33"/>
      <c r="AJ84" s="42"/>
      <c r="AK84" s="37" t="s">
        <v>376</v>
      </c>
      <c r="AL84" s="37" t="s">
        <v>377</v>
      </c>
      <c r="AM84" s="37" t="s">
        <v>378</v>
      </c>
      <c r="AN84" s="37" t="s">
        <v>224</v>
      </c>
      <c r="AO84" s="43">
        <v>0</v>
      </c>
      <c r="AP84" s="35">
        <v>100</v>
      </c>
      <c r="AQ84" s="35" t="s">
        <v>379</v>
      </c>
      <c r="AR84" s="44">
        <v>140</v>
      </c>
      <c r="AS84" s="37" t="s">
        <v>176</v>
      </c>
    </row>
    <row r="85" spans="1:45" ht="44.25" customHeight="1" x14ac:dyDescent="0.25">
      <c r="A85" s="46" t="s">
        <v>626</v>
      </c>
      <c r="B85" s="33">
        <v>45219</v>
      </c>
      <c r="C85" s="35">
        <v>545</v>
      </c>
      <c r="D85" s="36" t="s">
        <v>627</v>
      </c>
      <c r="E85" s="1" t="s">
        <v>628</v>
      </c>
      <c r="F85" s="33">
        <v>45240</v>
      </c>
      <c r="G85" s="35" t="s">
        <v>629</v>
      </c>
      <c r="H85" s="37" t="s">
        <v>138</v>
      </c>
      <c r="I85" s="37" t="s">
        <v>630</v>
      </c>
      <c r="J85" s="38">
        <v>96768822.079999998</v>
      </c>
      <c r="K85" s="40">
        <f>((J85-M85)/J85)*100</f>
        <v>0</v>
      </c>
      <c r="L85" s="41">
        <v>96768822.079999998</v>
      </c>
      <c r="M85" s="38">
        <v>96768822.079999998</v>
      </c>
      <c r="N85" s="41">
        <f>J85-O85</f>
        <v>0</v>
      </c>
      <c r="O85" s="38">
        <v>96768822.079999998</v>
      </c>
      <c r="P85" s="27">
        <v>125663073.48</v>
      </c>
      <c r="Q85" s="27">
        <f t="shared" si="7"/>
        <v>125663073.48</v>
      </c>
      <c r="R85" s="27">
        <f>Q85/U85</f>
        <v>1281.9100000000001</v>
      </c>
      <c r="S85" s="38">
        <f>Q85/U85</f>
        <v>1281.9100000000001</v>
      </c>
      <c r="T85" s="38">
        <f>S85*AR85</f>
        <v>35893.480000000003</v>
      </c>
      <c r="U85" s="38">
        <f>V85</f>
        <v>98028</v>
      </c>
      <c r="V85" s="38">
        <v>98028</v>
      </c>
      <c r="W85" s="38">
        <v>0</v>
      </c>
      <c r="X85" s="38">
        <v>0</v>
      </c>
      <c r="Y85" s="38"/>
      <c r="Z85" s="38">
        <f t="shared" si="10"/>
        <v>0</v>
      </c>
      <c r="AA85" s="38"/>
      <c r="AB85" s="38">
        <f t="shared" si="11"/>
        <v>0</v>
      </c>
      <c r="AC85" s="38">
        <f>U85/AR85</f>
        <v>3501</v>
      </c>
      <c r="AD85" s="38">
        <f t="shared" si="8"/>
        <v>3501</v>
      </c>
      <c r="AE85" s="33">
        <v>45352</v>
      </c>
      <c r="AF85" s="33"/>
      <c r="AG85" s="33"/>
      <c r="AH85" s="33">
        <v>45383</v>
      </c>
      <c r="AI85" s="33"/>
      <c r="AJ85" s="42"/>
      <c r="AK85" s="37" t="s">
        <v>631</v>
      </c>
      <c r="AL85" s="37" t="s">
        <v>632</v>
      </c>
      <c r="AM85" s="37" t="s">
        <v>633</v>
      </c>
      <c r="AN85" s="37" t="s">
        <v>440</v>
      </c>
      <c r="AO85" s="43">
        <v>0</v>
      </c>
      <c r="AP85" s="35">
        <v>100</v>
      </c>
      <c r="AQ85" s="35" t="s">
        <v>441</v>
      </c>
      <c r="AR85" s="44">
        <v>28</v>
      </c>
      <c r="AS85" s="37" t="s">
        <v>176</v>
      </c>
    </row>
    <row r="86" spans="1:45" ht="44.25" customHeight="1" x14ac:dyDescent="0.25">
      <c r="A86" s="46" t="s">
        <v>634</v>
      </c>
      <c r="B86" s="33">
        <v>45222</v>
      </c>
      <c r="C86" s="35">
        <v>545</v>
      </c>
      <c r="D86" s="36" t="s">
        <v>635</v>
      </c>
      <c r="E86" s="1" t="s">
        <v>636</v>
      </c>
      <c r="F86" s="33">
        <v>45243</v>
      </c>
      <c r="G86" s="35" t="s">
        <v>637</v>
      </c>
      <c r="H86" s="37" t="s">
        <v>331</v>
      </c>
      <c r="I86" s="37" t="s">
        <v>638</v>
      </c>
      <c r="J86" s="38">
        <v>21516462</v>
      </c>
      <c r="K86" s="40">
        <f>((J86-M86)/J86)*100</f>
        <v>0</v>
      </c>
      <c r="L86" s="41">
        <v>21516462</v>
      </c>
      <c r="M86" s="38">
        <v>21516462</v>
      </c>
      <c r="N86" s="41">
        <f>J86-O86</f>
        <v>0</v>
      </c>
      <c r="O86" s="38">
        <v>21516462</v>
      </c>
      <c r="P86" s="27">
        <v>27076896</v>
      </c>
      <c r="Q86" s="27">
        <f t="shared" si="7"/>
        <v>27076896</v>
      </c>
      <c r="R86" s="27">
        <f>Q86/U86</f>
        <v>4029.3</v>
      </c>
      <c r="S86" s="38">
        <f>Q86/U86</f>
        <v>4029.3</v>
      </c>
      <c r="T86" s="38">
        <f>S86*AR86</f>
        <v>241758</v>
      </c>
      <c r="U86" s="38">
        <v>6720</v>
      </c>
      <c r="V86" s="38">
        <v>6720</v>
      </c>
      <c r="W86" s="38">
        <v>0</v>
      </c>
      <c r="X86" s="38">
        <v>0</v>
      </c>
      <c r="Y86" s="38"/>
      <c r="Z86" s="38">
        <f t="shared" si="10"/>
        <v>0</v>
      </c>
      <c r="AA86" s="38"/>
      <c r="AB86" s="38">
        <f t="shared" si="11"/>
        <v>0</v>
      </c>
      <c r="AC86" s="38">
        <f>U86/AR86</f>
        <v>112</v>
      </c>
      <c r="AD86" s="38">
        <f t="shared" si="8"/>
        <v>112</v>
      </c>
      <c r="AE86" s="33">
        <v>45306</v>
      </c>
      <c r="AF86" s="33"/>
      <c r="AG86" s="33"/>
      <c r="AH86" s="33">
        <v>45337</v>
      </c>
      <c r="AI86" s="33"/>
      <c r="AJ86" s="42"/>
      <c r="AK86" s="37" t="s">
        <v>639</v>
      </c>
      <c r="AL86" s="37" t="s">
        <v>640</v>
      </c>
      <c r="AM86" s="37" t="s">
        <v>641</v>
      </c>
      <c r="AN86" s="37" t="s">
        <v>174</v>
      </c>
      <c r="AO86" s="43">
        <v>0</v>
      </c>
      <c r="AP86" s="35">
        <v>100</v>
      </c>
      <c r="AQ86" s="35" t="s">
        <v>441</v>
      </c>
      <c r="AR86" s="44">
        <v>60</v>
      </c>
      <c r="AS86" s="37" t="s">
        <v>176</v>
      </c>
    </row>
    <row r="87" spans="1:45" ht="44.25" customHeight="1" x14ac:dyDescent="0.25">
      <c r="A87" s="46" t="s">
        <v>642</v>
      </c>
      <c r="B87" s="33">
        <v>45222</v>
      </c>
      <c r="C87" s="35">
        <v>545</v>
      </c>
      <c r="D87" s="36" t="s">
        <v>485</v>
      </c>
      <c r="E87" s="1" t="s">
        <v>643</v>
      </c>
      <c r="F87" s="33" t="s">
        <v>485</v>
      </c>
      <c r="G87" s="35" t="s">
        <v>485</v>
      </c>
      <c r="H87" s="37" t="s">
        <v>485</v>
      </c>
      <c r="I87" s="37" t="s">
        <v>644</v>
      </c>
      <c r="J87" s="38">
        <v>11962491.300000001</v>
      </c>
      <c r="K87" s="40">
        <f>((J87-M87)/J87)*100</f>
        <v>100</v>
      </c>
      <c r="L87" s="41">
        <v>11962491.300000001</v>
      </c>
      <c r="M87" s="38"/>
      <c r="N87" s="41">
        <f>J87-O87</f>
        <v>11962491.300000001</v>
      </c>
      <c r="O87" s="38">
        <v>0</v>
      </c>
      <c r="P87" s="27">
        <f t="shared" ref="P87:P98" si="12">O87</f>
        <v>0</v>
      </c>
      <c r="Q87" s="27">
        <f t="shared" si="7"/>
        <v>0</v>
      </c>
      <c r="R87" s="27" t="e">
        <f>Q87/U87</f>
        <v>#DIV/0!</v>
      </c>
      <c r="S87" s="38" t="e">
        <f>Q87/U87</f>
        <v>#DIV/0!</v>
      </c>
      <c r="T87" s="38" t="e">
        <f>S87*AR87</f>
        <v>#DIV/0!</v>
      </c>
      <c r="U87" s="38">
        <v>0</v>
      </c>
      <c r="V87" s="38">
        <v>0</v>
      </c>
      <c r="W87" s="38">
        <v>0</v>
      </c>
      <c r="X87" s="38">
        <v>0</v>
      </c>
      <c r="Y87" s="38"/>
      <c r="Z87" s="38" t="e">
        <f t="shared" si="10"/>
        <v>#DIV/0!</v>
      </c>
      <c r="AA87" s="38"/>
      <c r="AB87" s="38" t="e">
        <f t="shared" si="11"/>
        <v>#DIV/0!</v>
      </c>
      <c r="AC87" s="38" t="e">
        <f>U87/AR87</f>
        <v>#DIV/0!</v>
      </c>
      <c r="AD87" s="38" t="e">
        <f t="shared" si="8"/>
        <v>#DIV/0!</v>
      </c>
      <c r="AE87" s="33"/>
      <c r="AF87" s="33"/>
      <c r="AG87" s="33"/>
      <c r="AH87" s="33"/>
      <c r="AI87" s="33"/>
      <c r="AJ87" s="42"/>
      <c r="AK87" s="37"/>
      <c r="AL87" s="37"/>
      <c r="AM87" s="37"/>
      <c r="AN87" s="37"/>
      <c r="AO87" s="43"/>
      <c r="AP87" s="35"/>
      <c r="AQ87" s="35"/>
      <c r="AR87" s="44"/>
      <c r="AS87" s="37" t="s">
        <v>485</v>
      </c>
    </row>
    <row r="88" spans="1:45" ht="44.25" customHeight="1" x14ac:dyDescent="0.25">
      <c r="A88" s="46" t="s">
        <v>645</v>
      </c>
      <c r="B88" s="33">
        <v>45223</v>
      </c>
      <c r="C88" s="35">
        <v>545</v>
      </c>
      <c r="D88" s="36" t="s">
        <v>485</v>
      </c>
      <c r="E88" s="1" t="s">
        <v>646</v>
      </c>
      <c r="F88" s="33" t="s">
        <v>485</v>
      </c>
      <c r="G88" s="35" t="s">
        <v>485</v>
      </c>
      <c r="H88" s="37" t="s">
        <v>485</v>
      </c>
      <c r="I88" s="37" t="s">
        <v>647</v>
      </c>
      <c r="J88" s="38">
        <v>11225026.560000001</v>
      </c>
      <c r="K88" s="40">
        <f>((J88-M88)/J88)*100</f>
        <v>100</v>
      </c>
      <c r="L88" s="41">
        <v>11225026.560000001</v>
      </c>
      <c r="M88" s="38"/>
      <c r="N88" s="41">
        <f>J88-O88</f>
        <v>11225026.560000001</v>
      </c>
      <c r="O88" s="38">
        <v>0</v>
      </c>
      <c r="P88" s="27">
        <f t="shared" si="12"/>
        <v>0</v>
      </c>
      <c r="Q88" s="27">
        <f t="shared" si="7"/>
        <v>0</v>
      </c>
      <c r="R88" s="27" t="e">
        <f>Q88/U88</f>
        <v>#DIV/0!</v>
      </c>
      <c r="S88" s="38" t="e">
        <f>Q88/U88</f>
        <v>#DIV/0!</v>
      </c>
      <c r="T88" s="38" t="e">
        <f>S88*AR88</f>
        <v>#DIV/0!</v>
      </c>
      <c r="U88" s="38">
        <v>0</v>
      </c>
      <c r="V88" s="38">
        <v>0</v>
      </c>
      <c r="W88" s="38">
        <v>0</v>
      </c>
      <c r="X88" s="38">
        <v>0</v>
      </c>
      <c r="Y88" s="38"/>
      <c r="Z88" s="38" t="e">
        <f t="shared" si="10"/>
        <v>#DIV/0!</v>
      </c>
      <c r="AA88" s="38"/>
      <c r="AB88" s="38" t="e">
        <f t="shared" si="11"/>
        <v>#DIV/0!</v>
      </c>
      <c r="AC88" s="38" t="e">
        <f>U88/AR88</f>
        <v>#DIV/0!</v>
      </c>
      <c r="AD88" s="38" t="e">
        <f t="shared" si="8"/>
        <v>#DIV/0!</v>
      </c>
      <c r="AE88" s="33"/>
      <c r="AF88" s="33"/>
      <c r="AG88" s="33"/>
      <c r="AH88" s="33"/>
      <c r="AI88" s="33"/>
      <c r="AJ88" s="42"/>
      <c r="AK88" s="37"/>
      <c r="AL88" s="37"/>
      <c r="AM88" s="37"/>
      <c r="AN88" s="37"/>
      <c r="AO88" s="43"/>
      <c r="AP88" s="35"/>
      <c r="AQ88" s="35"/>
      <c r="AR88" s="44"/>
      <c r="AS88" s="37" t="s">
        <v>485</v>
      </c>
    </row>
    <row r="89" spans="1:45" ht="44.25" customHeight="1" x14ac:dyDescent="0.25">
      <c r="A89" s="46" t="s">
        <v>648</v>
      </c>
      <c r="B89" s="33">
        <v>45225</v>
      </c>
      <c r="C89" s="35">
        <v>545</v>
      </c>
      <c r="D89" s="36" t="s">
        <v>649</v>
      </c>
      <c r="E89" s="1" t="s">
        <v>650</v>
      </c>
      <c r="F89" s="33">
        <v>45254</v>
      </c>
      <c r="G89" s="35" t="s">
        <v>651</v>
      </c>
      <c r="H89" s="37" t="s">
        <v>169</v>
      </c>
      <c r="I89" s="37" t="s">
        <v>652</v>
      </c>
      <c r="J89" s="38">
        <v>12464242.560000001</v>
      </c>
      <c r="K89" s="40">
        <f>((J89-M89)/J89)*100</f>
        <v>0</v>
      </c>
      <c r="L89" s="41">
        <v>12464242.560000001</v>
      </c>
      <c r="M89" s="38">
        <v>12464242.560000001</v>
      </c>
      <c r="N89" s="41">
        <f>J89-O89</f>
        <v>0</v>
      </c>
      <c r="O89" s="38">
        <v>12464242.560000001</v>
      </c>
      <c r="P89" s="27">
        <f t="shared" si="12"/>
        <v>12464242.560000001</v>
      </c>
      <c r="Q89" s="27">
        <f t="shared" si="7"/>
        <v>12464242.560000001</v>
      </c>
      <c r="R89" s="27">
        <f>Q89/U89</f>
        <v>247306.40000000002</v>
      </c>
      <c r="S89" s="38">
        <f>Q89/U89</f>
        <v>247306.40000000002</v>
      </c>
      <c r="T89" s="38">
        <f>S89*AR89</f>
        <v>2077373.7600000002</v>
      </c>
      <c r="U89" s="38">
        <v>50.4</v>
      </c>
      <c r="V89" s="38">
        <v>50.4</v>
      </c>
      <c r="W89" s="38">
        <v>0</v>
      </c>
      <c r="X89" s="38">
        <v>0</v>
      </c>
      <c r="Y89" s="38"/>
      <c r="Z89" s="38">
        <f t="shared" si="10"/>
        <v>0</v>
      </c>
      <c r="AA89" s="38"/>
      <c r="AB89" s="38">
        <f t="shared" si="11"/>
        <v>0</v>
      </c>
      <c r="AC89" s="38">
        <f>U89/AR89</f>
        <v>6</v>
      </c>
      <c r="AD89" s="38">
        <f t="shared" si="8"/>
        <v>6</v>
      </c>
      <c r="AE89" s="33">
        <v>45306</v>
      </c>
      <c r="AF89" s="33">
        <v>45536</v>
      </c>
      <c r="AG89" s="33"/>
      <c r="AH89" s="33">
        <v>45337</v>
      </c>
      <c r="AI89" s="33">
        <v>45200</v>
      </c>
      <c r="AJ89" s="42"/>
      <c r="AK89" s="37" t="s">
        <v>653</v>
      </c>
      <c r="AL89" s="37" t="s">
        <v>654</v>
      </c>
      <c r="AM89" s="37" t="s">
        <v>655</v>
      </c>
      <c r="AN89" s="37" t="s">
        <v>143</v>
      </c>
      <c r="AO89" s="43">
        <v>0</v>
      </c>
      <c r="AP89" s="35">
        <v>100</v>
      </c>
      <c r="AQ89" s="35" t="s">
        <v>164</v>
      </c>
      <c r="AR89" s="44">
        <v>8.4</v>
      </c>
      <c r="AS89" s="37" t="s">
        <v>176</v>
      </c>
    </row>
    <row r="90" spans="1:45" ht="105" x14ac:dyDescent="0.25">
      <c r="A90" s="46" t="s">
        <v>656</v>
      </c>
      <c r="B90" s="33">
        <v>45230</v>
      </c>
      <c r="C90" s="35">
        <v>1416</v>
      </c>
      <c r="D90" s="36" t="s">
        <v>657</v>
      </c>
      <c r="E90" s="1" t="s">
        <v>658</v>
      </c>
      <c r="F90" s="33">
        <v>45250</v>
      </c>
      <c r="G90" s="35" t="s">
        <v>659</v>
      </c>
      <c r="H90" s="37" t="s">
        <v>138</v>
      </c>
      <c r="I90" s="37" t="s">
        <v>660</v>
      </c>
      <c r="J90" s="38">
        <v>265649669</v>
      </c>
      <c r="K90" s="40">
        <f>((J90-M90)/J90)*100</f>
        <v>0</v>
      </c>
      <c r="L90" s="41">
        <f>J90-M90</f>
        <v>0</v>
      </c>
      <c r="M90" s="38">
        <v>265649669</v>
      </c>
      <c r="N90" s="41">
        <f>J90-O90</f>
        <v>0</v>
      </c>
      <c r="O90" s="38">
        <v>265649669</v>
      </c>
      <c r="P90" s="27">
        <f t="shared" si="12"/>
        <v>265649669</v>
      </c>
      <c r="Q90" s="27">
        <f t="shared" si="7"/>
        <v>265649669</v>
      </c>
      <c r="R90" s="27">
        <f>Q90/U90</f>
        <v>25791.23</v>
      </c>
      <c r="S90" s="38">
        <f>Q90/U90</f>
        <v>25791.23</v>
      </c>
      <c r="T90" s="38">
        <f>S90*AR90</f>
        <v>257912.3</v>
      </c>
      <c r="U90" s="38">
        <v>10300</v>
      </c>
      <c r="V90" s="38">
        <v>10300</v>
      </c>
      <c r="W90" s="38">
        <v>0</v>
      </c>
      <c r="X90" s="38">
        <v>0</v>
      </c>
      <c r="Y90" s="38">
        <v>0</v>
      </c>
      <c r="Z90" s="38">
        <f t="shared" si="10"/>
        <v>0</v>
      </c>
      <c r="AA90" s="38">
        <v>10300</v>
      </c>
      <c r="AB90" s="38">
        <f t="shared" si="11"/>
        <v>265649669</v>
      </c>
      <c r="AC90" s="38">
        <f>U90/AR90</f>
        <v>1030</v>
      </c>
      <c r="AD90" s="38">
        <f t="shared" si="8"/>
        <v>1030</v>
      </c>
      <c r="AE90" s="33">
        <v>45301</v>
      </c>
      <c r="AF90" s="33"/>
      <c r="AG90" s="33"/>
      <c r="AH90" s="33">
        <v>45332</v>
      </c>
      <c r="AI90" s="33"/>
      <c r="AJ90" s="42"/>
      <c r="AK90" s="37" t="s">
        <v>661</v>
      </c>
      <c r="AL90" s="37" t="s">
        <v>662</v>
      </c>
      <c r="AM90" s="37" t="s">
        <v>663</v>
      </c>
      <c r="AN90" s="37" t="s">
        <v>174</v>
      </c>
      <c r="AO90" s="43">
        <v>0</v>
      </c>
      <c r="AP90" s="35">
        <v>100</v>
      </c>
      <c r="AQ90" s="35" t="s">
        <v>164</v>
      </c>
      <c r="AR90" s="44">
        <v>10</v>
      </c>
      <c r="AS90" s="37" t="s">
        <v>176</v>
      </c>
    </row>
    <row r="91" spans="1:45" ht="85.5" customHeight="1" x14ac:dyDescent="0.25">
      <c r="A91" s="46" t="s">
        <v>664</v>
      </c>
      <c r="B91" s="33">
        <v>45230</v>
      </c>
      <c r="C91" s="35">
        <v>1416</v>
      </c>
      <c r="D91" s="36" t="s">
        <v>665</v>
      </c>
      <c r="E91" s="1" t="s">
        <v>666</v>
      </c>
      <c r="F91" s="33">
        <v>45250</v>
      </c>
      <c r="G91" s="35" t="s">
        <v>667</v>
      </c>
      <c r="H91" s="37" t="s">
        <v>138</v>
      </c>
      <c r="I91" s="37" t="s">
        <v>660</v>
      </c>
      <c r="J91" s="38">
        <v>299436180.30000001</v>
      </c>
      <c r="K91" s="40">
        <f>((J91-M91)/J91)*100</f>
        <v>0</v>
      </c>
      <c r="L91" s="41">
        <f>J91-M91</f>
        <v>0</v>
      </c>
      <c r="M91" s="38">
        <v>299436180.30000001</v>
      </c>
      <c r="N91" s="41">
        <f>J91-O91</f>
        <v>0</v>
      </c>
      <c r="O91" s="38">
        <f t="shared" ref="O91:O98" si="13">M91</f>
        <v>299436180.30000001</v>
      </c>
      <c r="P91" s="27">
        <f t="shared" si="12"/>
        <v>299436180.30000001</v>
      </c>
      <c r="Q91" s="27">
        <f t="shared" si="7"/>
        <v>299436180.30000001</v>
      </c>
      <c r="R91" s="27">
        <f>Q91/U91</f>
        <v>25791.23</v>
      </c>
      <c r="S91" s="38">
        <f>Q91/U91</f>
        <v>25791.23</v>
      </c>
      <c r="T91" s="38">
        <f>S91*AR91</f>
        <v>257912.3</v>
      </c>
      <c r="U91" s="38">
        <v>11610</v>
      </c>
      <c r="V91" s="38">
        <v>11610</v>
      </c>
      <c r="W91" s="38">
        <v>0</v>
      </c>
      <c r="X91" s="38">
        <v>0</v>
      </c>
      <c r="Y91" s="38">
        <v>0</v>
      </c>
      <c r="Z91" s="38">
        <f t="shared" si="10"/>
        <v>0</v>
      </c>
      <c r="AA91" s="38">
        <v>11610</v>
      </c>
      <c r="AB91" s="38">
        <f t="shared" si="11"/>
        <v>299436180.30000001</v>
      </c>
      <c r="AC91" s="38">
        <f>U91/AR91</f>
        <v>1161</v>
      </c>
      <c r="AD91" s="38">
        <f t="shared" si="8"/>
        <v>1161</v>
      </c>
      <c r="AE91" s="33">
        <v>45301</v>
      </c>
      <c r="AF91" s="33"/>
      <c r="AG91" s="33"/>
      <c r="AH91" s="33">
        <v>45332</v>
      </c>
      <c r="AI91" s="33"/>
      <c r="AJ91" s="42"/>
      <c r="AK91" s="37" t="s">
        <v>661</v>
      </c>
      <c r="AL91" s="37" t="s">
        <v>662</v>
      </c>
      <c r="AM91" s="37" t="s">
        <v>663</v>
      </c>
      <c r="AN91" s="37" t="s">
        <v>174</v>
      </c>
      <c r="AO91" s="43">
        <v>0</v>
      </c>
      <c r="AP91" s="35">
        <v>100</v>
      </c>
      <c r="AQ91" s="35" t="s">
        <v>164</v>
      </c>
      <c r="AR91" s="44">
        <v>10</v>
      </c>
      <c r="AS91" s="37" t="s">
        <v>176</v>
      </c>
    </row>
    <row r="92" spans="1:45" ht="105" x14ac:dyDescent="0.25">
      <c r="A92" s="46" t="s">
        <v>668</v>
      </c>
      <c r="B92" s="33">
        <v>45230</v>
      </c>
      <c r="C92" s="35">
        <v>1416</v>
      </c>
      <c r="D92" s="36" t="s">
        <v>669</v>
      </c>
      <c r="E92" s="1" t="s">
        <v>670</v>
      </c>
      <c r="F92" s="33">
        <v>45250</v>
      </c>
      <c r="G92" s="35" t="s">
        <v>671</v>
      </c>
      <c r="H92" s="37" t="s">
        <v>138</v>
      </c>
      <c r="I92" s="37" t="s">
        <v>660</v>
      </c>
      <c r="J92" s="38">
        <v>296857057.30000001</v>
      </c>
      <c r="K92" s="40">
        <f>((J92-M92)/J92)*100</f>
        <v>0</v>
      </c>
      <c r="L92" s="41">
        <f>J92-M92</f>
        <v>0</v>
      </c>
      <c r="M92" s="38">
        <v>296857057.30000001</v>
      </c>
      <c r="N92" s="41">
        <f>J92-O92</f>
        <v>0</v>
      </c>
      <c r="O92" s="38">
        <f t="shared" si="13"/>
        <v>296857057.30000001</v>
      </c>
      <c r="P92" s="27">
        <f t="shared" si="12"/>
        <v>296857057.30000001</v>
      </c>
      <c r="Q92" s="27">
        <f t="shared" si="7"/>
        <v>296857057.30000001</v>
      </c>
      <c r="R92" s="27">
        <f>Q92/U92</f>
        <v>25791.23</v>
      </c>
      <c r="S92" s="38">
        <f>Q92/U92</f>
        <v>25791.23</v>
      </c>
      <c r="T92" s="38">
        <f>S92*AR92</f>
        <v>257912.3</v>
      </c>
      <c r="U92" s="38">
        <v>11510</v>
      </c>
      <c r="V92" s="38">
        <v>11510</v>
      </c>
      <c r="W92" s="38">
        <v>0</v>
      </c>
      <c r="X92" s="38">
        <v>0</v>
      </c>
      <c r="Y92" s="38">
        <v>0</v>
      </c>
      <c r="Z92" s="38">
        <f t="shared" si="10"/>
        <v>0</v>
      </c>
      <c r="AA92" s="38">
        <v>11510</v>
      </c>
      <c r="AB92" s="38">
        <f t="shared" si="11"/>
        <v>296857057.30000001</v>
      </c>
      <c r="AC92" s="38">
        <f>U92/AR92</f>
        <v>1151</v>
      </c>
      <c r="AD92" s="38">
        <f t="shared" si="8"/>
        <v>1151</v>
      </c>
      <c r="AE92" s="33">
        <v>45301</v>
      </c>
      <c r="AF92" s="33"/>
      <c r="AG92" s="33"/>
      <c r="AH92" s="33">
        <v>45332</v>
      </c>
      <c r="AI92" s="33"/>
      <c r="AJ92" s="42"/>
      <c r="AK92" s="37" t="s">
        <v>661</v>
      </c>
      <c r="AL92" s="37" t="s">
        <v>662</v>
      </c>
      <c r="AM92" s="37" t="s">
        <v>663</v>
      </c>
      <c r="AN92" s="37" t="s">
        <v>174</v>
      </c>
      <c r="AO92" s="43">
        <v>0</v>
      </c>
      <c r="AP92" s="35">
        <v>100</v>
      </c>
      <c r="AQ92" s="35" t="s">
        <v>164</v>
      </c>
      <c r="AR92" s="44">
        <v>10</v>
      </c>
      <c r="AS92" s="37" t="s">
        <v>176</v>
      </c>
    </row>
    <row r="93" spans="1:45" ht="105" x14ac:dyDescent="0.25">
      <c r="A93" s="46" t="s">
        <v>672</v>
      </c>
      <c r="B93" s="33">
        <v>45230</v>
      </c>
      <c r="C93" s="35">
        <v>1416</v>
      </c>
      <c r="D93" s="36" t="s">
        <v>673</v>
      </c>
      <c r="E93" s="1" t="s">
        <v>674</v>
      </c>
      <c r="F93" s="33">
        <v>45250</v>
      </c>
      <c r="G93" s="35" t="s">
        <v>675</v>
      </c>
      <c r="H93" s="37" t="s">
        <v>138</v>
      </c>
      <c r="I93" s="37" t="s">
        <v>660</v>
      </c>
      <c r="J93" s="38">
        <v>296341232.69999999</v>
      </c>
      <c r="K93" s="40">
        <f>((J93-M93)/J93)*100</f>
        <v>0</v>
      </c>
      <c r="L93" s="41">
        <f>J93-M93</f>
        <v>0</v>
      </c>
      <c r="M93" s="38">
        <v>296341232.69999999</v>
      </c>
      <c r="N93" s="41">
        <f>J93-O93</f>
        <v>0</v>
      </c>
      <c r="O93" s="38">
        <f t="shared" si="13"/>
        <v>296341232.69999999</v>
      </c>
      <c r="P93" s="27">
        <f t="shared" si="12"/>
        <v>296341232.69999999</v>
      </c>
      <c r="Q93" s="27">
        <f t="shared" si="7"/>
        <v>296341232.69999999</v>
      </c>
      <c r="R93" s="27">
        <f>Q93/U93</f>
        <v>25791.23</v>
      </c>
      <c r="S93" s="38">
        <f>Q93/U93</f>
        <v>25791.23</v>
      </c>
      <c r="T93" s="38">
        <f>S93*AR93</f>
        <v>257912.3</v>
      </c>
      <c r="U93" s="38">
        <v>11490</v>
      </c>
      <c r="V93" s="38">
        <v>11490</v>
      </c>
      <c r="W93" s="38">
        <v>0</v>
      </c>
      <c r="X93" s="38">
        <v>0</v>
      </c>
      <c r="Y93" s="38">
        <v>0</v>
      </c>
      <c r="Z93" s="38">
        <f t="shared" si="10"/>
        <v>0</v>
      </c>
      <c r="AA93" s="38">
        <v>11490</v>
      </c>
      <c r="AB93" s="38">
        <f t="shared" si="11"/>
        <v>296341232.69999999</v>
      </c>
      <c r="AC93" s="38">
        <f>U93/AR93</f>
        <v>1149</v>
      </c>
      <c r="AD93" s="38">
        <f t="shared" si="8"/>
        <v>1149</v>
      </c>
      <c r="AE93" s="33">
        <v>45301</v>
      </c>
      <c r="AF93" s="33"/>
      <c r="AG93" s="33"/>
      <c r="AH93" s="33">
        <v>45332</v>
      </c>
      <c r="AI93" s="33"/>
      <c r="AJ93" s="42"/>
      <c r="AK93" s="37" t="s">
        <v>661</v>
      </c>
      <c r="AL93" s="37" t="s">
        <v>662</v>
      </c>
      <c r="AM93" s="37" t="s">
        <v>663</v>
      </c>
      <c r="AN93" s="37" t="s">
        <v>174</v>
      </c>
      <c r="AO93" s="43">
        <v>0</v>
      </c>
      <c r="AP93" s="35">
        <v>100</v>
      </c>
      <c r="AQ93" s="35" t="s">
        <v>164</v>
      </c>
      <c r="AR93" s="44">
        <v>10</v>
      </c>
      <c r="AS93" s="37" t="s">
        <v>176</v>
      </c>
    </row>
    <row r="94" spans="1:45" ht="105" x14ac:dyDescent="0.25">
      <c r="A94" s="46" t="s">
        <v>676</v>
      </c>
      <c r="B94" s="33">
        <v>45230</v>
      </c>
      <c r="C94" s="35">
        <v>1416</v>
      </c>
      <c r="D94" s="36" t="s">
        <v>677</v>
      </c>
      <c r="E94" s="1" t="s">
        <v>678</v>
      </c>
      <c r="F94" s="33">
        <v>45250</v>
      </c>
      <c r="G94" s="35" t="s">
        <v>679</v>
      </c>
      <c r="H94" s="37" t="s">
        <v>138</v>
      </c>
      <c r="I94" s="37" t="s">
        <v>660</v>
      </c>
      <c r="J94" s="38">
        <v>291698811.30000001</v>
      </c>
      <c r="K94" s="40">
        <f>((J94-M94)/J94)*100</f>
        <v>0</v>
      </c>
      <c r="L94" s="41">
        <f>J94-M94</f>
        <v>0</v>
      </c>
      <c r="M94" s="38">
        <v>291698811.30000001</v>
      </c>
      <c r="N94" s="41">
        <f>J94-O94</f>
        <v>0</v>
      </c>
      <c r="O94" s="38">
        <f t="shared" si="13"/>
        <v>291698811.30000001</v>
      </c>
      <c r="P94" s="27">
        <f t="shared" si="12"/>
        <v>291698811.30000001</v>
      </c>
      <c r="Q94" s="27">
        <f t="shared" si="7"/>
        <v>291698811.30000001</v>
      </c>
      <c r="R94" s="27">
        <f>Q94/U94</f>
        <v>25791.23</v>
      </c>
      <c r="S94" s="38">
        <f>Q94/U94</f>
        <v>25791.23</v>
      </c>
      <c r="T94" s="38">
        <f>S94*AR94</f>
        <v>257912.3</v>
      </c>
      <c r="U94" s="38">
        <v>11310</v>
      </c>
      <c r="V94" s="38">
        <v>11310</v>
      </c>
      <c r="W94" s="38">
        <v>0</v>
      </c>
      <c r="X94" s="38">
        <v>0</v>
      </c>
      <c r="Y94" s="38">
        <v>0</v>
      </c>
      <c r="Z94" s="38">
        <f t="shared" si="10"/>
        <v>0</v>
      </c>
      <c r="AA94" s="38">
        <v>11310</v>
      </c>
      <c r="AB94" s="38">
        <f t="shared" si="11"/>
        <v>291698811.30000001</v>
      </c>
      <c r="AC94" s="38">
        <f>U94/AR94</f>
        <v>1131</v>
      </c>
      <c r="AD94" s="38">
        <f t="shared" si="8"/>
        <v>1131</v>
      </c>
      <c r="AE94" s="33">
        <v>45301</v>
      </c>
      <c r="AF94" s="33"/>
      <c r="AG94" s="33"/>
      <c r="AH94" s="33">
        <v>45332</v>
      </c>
      <c r="AI94" s="33"/>
      <c r="AJ94" s="42"/>
      <c r="AK94" s="37" t="s">
        <v>661</v>
      </c>
      <c r="AL94" s="37" t="s">
        <v>662</v>
      </c>
      <c r="AM94" s="37" t="s">
        <v>663</v>
      </c>
      <c r="AN94" s="37" t="s">
        <v>174</v>
      </c>
      <c r="AO94" s="43">
        <v>0</v>
      </c>
      <c r="AP94" s="35">
        <v>100</v>
      </c>
      <c r="AQ94" s="35" t="s">
        <v>164</v>
      </c>
      <c r="AR94" s="44">
        <v>10</v>
      </c>
      <c r="AS94" s="37" t="s">
        <v>680</v>
      </c>
    </row>
    <row r="95" spans="1:45" ht="105" x14ac:dyDescent="0.25">
      <c r="A95" s="46" t="s">
        <v>681</v>
      </c>
      <c r="B95" s="33">
        <v>45230</v>
      </c>
      <c r="C95" s="35">
        <v>1416</v>
      </c>
      <c r="D95" s="36" t="s">
        <v>682</v>
      </c>
      <c r="E95" s="1" t="s">
        <v>683</v>
      </c>
      <c r="F95" s="33">
        <v>45250</v>
      </c>
      <c r="G95" s="35" t="s">
        <v>684</v>
      </c>
      <c r="H95" s="37" t="s">
        <v>138</v>
      </c>
      <c r="I95" s="37" t="s">
        <v>660</v>
      </c>
      <c r="J95" s="38">
        <v>291440899</v>
      </c>
      <c r="K95" s="40">
        <f>((J95-M95)/J95)*100</f>
        <v>0</v>
      </c>
      <c r="L95" s="41">
        <f>J95-M95</f>
        <v>0</v>
      </c>
      <c r="M95" s="38">
        <v>291440899</v>
      </c>
      <c r="N95" s="41">
        <f>J95-O95</f>
        <v>0</v>
      </c>
      <c r="O95" s="38">
        <f t="shared" si="13"/>
        <v>291440899</v>
      </c>
      <c r="P95" s="27">
        <f t="shared" si="12"/>
        <v>291440899</v>
      </c>
      <c r="Q95" s="27">
        <f t="shared" si="7"/>
        <v>291440899</v>
      </c>
      <c r="R95" s="27">
        <f>Q95/U95</f>
        <v>25791.23</v>
      </c>
      <c r="S95" s="38">
        <f>Q95/U95</f>
        <v>25791.23</v>
      </c>
      <c r="T95" s="38">
        <f>S95*AR95</f>
        <v>257912.3</v>
      </c>
      <c r="U95" s="38">
        <v>11300</v>
      </c>
      <c r="V95" s="38">
        <v>11300</v>
      </c>
      <c r="W95" s="38">
        <v>0</v>
      </c>
      <c r="X95" s="38">
        <v>0</v>
      </c>
      <c r="Y95" s="38">
        <v>0</v>
      </c>
      <c r="Z95" s="38">
        <f t="shared" si="10"/>
        <v>0</v>
      </c>
      <c r="AA95" s="38">
        <v>11300</v>
      </c>
      <c r="AB95" s="38">
        <f t="shared" si="11"/>
        <v>291440899</v>
      </c>
      <c r="AC95" s="38">
        <f>U95/AR95</f>
        <v>1130</v>
      </c>
      <c r="AD95" s="38">
        <f t="shared" si="8"/>
        <v>1130</v>
      </c>
      <c r="AE95" s="33">
        <v>45301</v>
      </c>
      <c r="AF95" s="33"/>
      <c r="AG95" s="33"/>
      <c r="AH95" s="33">
        <v>45332</v>
      </c>
      <c r="AI95" s="33"/>
      <c r="AJ95" s="42"/>
      <c r="AK95" s="37" t="s">
        <v>661</v>
      </c>
      <c r="AL95" s="37" t="s">
        <v>662</v>
      </c>
      <c r="AM95" s="37" t="s">
        <v>663</v>
      </c>
      <c r="AN95" s="37" t="s">
        <v>174</v>
      </c>
      <c r="AO95" s="43">
        <v>0</v>
      </c>
      <c r="AP95" s="35">
        <v>100</v>
      </c>
      <c r="AQ95" s="35" t="s">
        <v>164</v>
      </c>
      <c r="AR95" s="44">
        <v>10</v>
      </c>
      <c r="AS95" s="37" t="s">
        <v>680</v>
      </c>
    </row>
    <row r="96" spans="1:45" ht="105" x14ac:dyDescent="0.25">
      <c r="A96" s="46" t="s">
        <v>685</v>
      </c>
      <c r="B96" s="33">
        <v>45230</v>
      </c>
      <c r="C96" s="35">
        <v>1416</v>
      </c>
      <c r="D96" s="36" t="s">
        <v>686</v>
      </c>
      <c r="E96" s="1" t="s">
        <v>687</v>
      </c>
      <c r="F96" s="33">
        <v>45250</v>
      </c>
      <c r="G96" s="35" t="s">
        <v>688</v>
      </c>
      <c r="H96" s="37" t="s">
        <v>138</v>
      </c>
      <c r="I96" s="37" t="s">
        <v>660</v>
      </c>
      <c r="J96" s="38">
        <v>295051671.19999999</v>
      </c>
      <c r="K96" s="40">
        <f>((J96-M96)/J96)*100</f>
        <v>0</v>
      </c>
      <c r="L96" s="41">
        <f>J96-M96</f>
        <v>0</v>
      </c>
      <c r="M96" s="38">
        <v>295051671.19999999</v>
      </c>
      <c r="N96" s="41">
        <f>J96-O96</f>
        <v>0</v>
      </c>
      <c r="O96" s="38">
        <f t="shared" si="13"/>
        <v>295051671.19999999</v>
      </c>
      <c r="P96" s="27">
        <f t="shared" si="12"/>
        <v>295051671.19999999</v>
      </c>
      <c r="Q96" s="27">
        <f t="shared" si="7"/>
        <v>295051671.19999999</v>
      </c>
      <c r="R96" s="27">
        <f>Q96/U96</f>
        <v>25791.23</v>
      </c>
      <c r="S96" s="38">
        <f>Q96/U96</f>
        <v>25791.23</v>
      </c>
      <c r="T96" s="38">
        <f>S96*AR96</f>
        <v>257912.3</v>
      </c>
      <c r="U96" s="38">
        <v>11440</v>
      </c>
      <c r="V96" s="38">
        <v>11440</v>
      </c>
      <c r="W96" s="38">
        <v>0</v>
      </c>
      <c r="X96" s="38">
        <v>0</v>
      </c>
      <c r="Y96" s="38">
        <v>0</v>
      </c>
      <c r="Z96" s="38">
        <f t="shared" si="10"/>
        <v>0</v>
      </c>
      <c r="AA96" s="38">
        <v>11440</v>
      </c>
      <c r="AB96" s="38">
        <f t="shared" si="11"/>
        <v>295051671.19999999</v>
      </c>
      <c r="AC96" s="38">
        <f>U96/AR96</f>
        <v>1144</v>
      </c>
      <c r="AD96" s="38">
        <f t="shared" si="8"/>
        <v>1144</v>
      </c>
      <c r="AE96" s="33">
        <v>45301</v>
      </c>
      <c r="AF96" s="33"/>
      <c r="AG96" s="33"/>
      <c r="AH96" s="33">
        <v>45332</v>
      </c>
      <c r="AI96" s="33"/>
      <c r="AJ96" s="42"/>
      <c r="AK96" s="37" t="s">
        <v>661</v>
      </c>
      <c r="AL96" s="37" t="s">
        <v>662</v>
      </c>
      <c r="AM96" s="37" t="s">
        <v>663</v>
      </c>
      <c r="AN96" s="37" t="s">
        <v>174</v>
      </c>
      <c r="AO96" s="43">
        <v>0</v>
      </c>
      <c r="AP96" s="35">
        <v>100</v>
      </c>
      <c r="AQ96" s="35" t="s">
        <v>164</v>
      </c>
      <c r="AR96" s="44">
        <v>10</v>
      </c>
      <c r="AS96" s="37" t="s">
        <v>680</v>
      </c>
    </row>
    <row r="97" spans="1:45" ht="105" x14ac:dyDescent="0.25">
      <c r="A97" s="46" t="s">
        <v>689</v>
      </c>
      <c r="B97" s="33">
        <v>45230</v>
      </c>
      <c r="C97" s="35">
        <v>1416</v>
      </c>
      <c r="D97" s="36" t="s">
        <v>690</v>
      </c>
      <c r="E97" s="1" t="s">
        <v>691</v>
      </c>
      <c r="F97" s="33">
        <v>45250</v>
      </c>
      <c r="G97" s="35" t="s">
        <v>692</v>
      </c>
      <c r="H97" s="37" t="s">
        <v>138</v>
      </c>
      <c r="I97" s="37" t="s">
        <v>660</v>
      </c>
      <c r="J97" s="38">
        <v>195755435.69999999</v>
      </c>
      <c r="K97" s="40">
        <f>((J97-M97)/J97)*100</f>
        <v>0</v>
      </c>
      <c r="L97" s="41">
        <f>J97-M97</f>
        <v>0</v>
      </c>
      <c r="M97" s="38">
        <v>195755435.69999999</v>
      </c>
      <c r="N97" s="41">
        <f>J97-O97</f>
        <v>0</v>
      </c>
      <c r="O97" s="38">
        <f t="shared" si="13"/>
        <v>195755435.69999999</v>
      </c>
      <c r="P97" s="27">
        <f t="shared" si="12"/>
        <v>195755435.69999999</v>
      </c>
      <c r="Q97" s="27">
        <f t="shared" si="7"/>
        <v>195755435.69999999</v>
      </c>
      <c r="R97" s="27">
        <f>Q97/U97</f>
        <v>25791.23</v>
      </c>
      <c r="S97" s="38">
        <f>Q97/U97</f>
        <v>25791.23</v>
      </c>
      <c r="T97" s="38">
        <f>S97*AR97</f>
        <v>257912.3</v>
      </c>
      <c r="U97" s="38">
        <v>7590</v>
      </c>
      <c r="V97" s="38">
        <v>7590</v>
      </c>
      <c r="W97" s="38">
        <v>0</v>
      </c>
      <c r="X97" s="38">
        <v>0</v>
      </c>
      <c r="Y97" s="38">
        <v>0</v>
      </c>
      <c r="Z97" s="38">
        <f t="shared" si="10"/>
        <v>0</v>
      </c>
      <c r="AA97" s="38">
        <v>7590</v>
      </c>
      <c r="AB97" s="38">
        <f t="shared" si="11"/>
        <v>195755435.69999999</v>
      </c>
      <c r="AC97" s="38">
        <f>U97/AR97</f>
        <v>759</v>
      </c>
      <c r="AD97" s="38">
        <f t="shared" si="8"/>
        <v>759</v>
      </c>
      <c r="AE97" s="33">
        <v>45301</v>
      </c>
      <c r="AF97" s="33"/>
      <c r="AG97" s="33"/>
      <c r="AH97" s="33">
        <v>45332</v>
      </c>
      <c r="AI97" s="33"/>
      <c r="AJ97" s="42"/>
      <c r="AK97" s="37" t="s">
        <v>661</v>
      </c>
      <c r="AL97" s="37" t="s">
        <v>662</v>
      </c>
      <c r="AM97" s="37" t="s">
        <v>663</v>
      </c>
      <c r="AN97" s="37" t="s">
        <v>174</v>
      </c>
      <c r="AO97" s="43">
        <v>0</v>
      </c>
      <c r="AP97" s="35">
        <v>100</v>
      </c>
      <c r="AQ97" s="35" t="s">
        <v>164</v>
      </c>
      <c r="AR97" s="44">
        <v>10</v>
      </c>
      <c r="AS97" s="37" t="s">
        <v>680</v>
      </c>
    </row>
    <row r="98" spans="1:45" ht="105" x14ac:dyDescent="0.25">
      <c r="A98" s="46" t="s">
        <v>693</v>
      </c>
      <c r="B98" s="33">
        <v>45230</v>
      </c>
      <c r="C98" s="35">
        <v>1416</v>
      </c>
      <c r="D98" s="36" t="s">
        <v>694</v>
      </c>
      <c r="E98" s="1" t="s">
        <v>695</v>
      </c>
      <c r="F98" s="33">
        <v>45250</v>
      </c>
      <c r="G98" s="35" t="s">
        <v>696</v>
      </c>
      <c r="H98" s="37" t="s">
        <v>138</v>
      </c>
      <c r="I98" s="37" t="s">
        <v>660</v>
      </c>
      <c r="J98" s="38">
        <v>279576933.19999999</v>
      </c>
      <c r="K98" s="40">
        <f>((J98-M98)/J98)*100</f>
        <v>0</v>
      </c>
      <c r="L98" s="41">
        <f>J98-M98</f>
        <v>0</v>
      </c>
      <c r="M98" s="38">
        <v>279576933.19999999</v>
      </c>
      <c r="N98" s="41">
        <f>J98-O98</f>
        <v>0</v>
      </c>
      <c r="O98" s="38">
        <f t="shared" si="13"/>
        <v>279576933.19999999</v>
      </c>
      <c r="P98" s="27">
        <f t="shared" si="12"/>
        <v>279576933.19999999</v>
      </c>
      <c r="Q98" s="27">
        <f t="shared" si="7"/>
        <v>279576933.19999999</v>
      </c>
      <c r="R98" s="27">
        <f>Q98/U98</f>
        <v>25791.23</v>
      </c>
      <c r="S98" s="38">
        <f>Q98/U98</f>
        <v>25791.23</v>
      </c>
      <c r="T98" s="38">
        <f>S98*AR98</f>
        <v>257912.3</v>
      </c>
      <c r="U98" s="38">
        <v>10840</v>
      </c>
      <c r="V98" s="38">
        <v>10840</v>
      </c>
      <c r="W98" s="38">
        <v>0</v>
      </c>
      <c r="X98" s="38">
        <v>0</v>
      </c>
      <c r="Y98" s="38">
        <v>0</v>
      </c>
      <c r="Z98" s="38">
        <f t="shared" si="10"/>
        <v>0</v>
      </c>
      <c r="AA98" s="38">
        <v>10840</v>
      </c>
      <c r="AB98" s="38">
        <f t="shared" si="11"/>
        <v>279576933.19999999</v>
      </c>
      <c r="AC98" s="38">
        <f>U98/AR98</f>
        <v>1084</v>
      </c>
      <c r="AD98" s="38">
        <f t="shared" si="8"/>
        <v>1084</v>
      </c>
      <c r="AE98" s="33">
        <v>45301</v>
      </c>
      <c r="AF98" s="33"/>
      <c r="AG98" s="33"/>
      <c r="AH98" s="33">
        <v>45332</v>
      </c>
      <c r="AI98" s="33"/>
      <c r="AJ98" s="42"/>
      <c r="AK98" s="37" t="s">
        <v>661</v>
      </c>
      <c r="AL98" s="37" t="s">
        <v>662</v>
      </c>
      <c r="AM98" s="37" t="s">
        <v>663</v>
      </c>
      <c r="AN98" s="37" t="s">
        <v>174</v>
      </c>
      <c r="AO98" s="43">
        <v>0</v>
      </c>
      <c r="AP98" s="35">
        <v>100</v>
      </c>
      <c r="AQ98" s="35" t="s">
        <v>164</v>
      </c>
      <c r="AR98" s="44">
        <v>10</v>
      </c>
      <c r="AS98" s="37" t="s">
        <v>680</v>
      </c>
    </row>
    <row r="99" spans="1:45" ht="105" x14ac:dyDescent="0.25">
      <c r="A99" s="46" t="s">
        <v>697</v>
      </c>
      <c r="B99" s="42">
        <v>45237</v>
      </c>
      <c r="C99" s="37">
        <v>545</v>
      </c>
      <c r="D99" s="36" t="s">
        <v>698</v>
      </c>
      <c r="E99" s="1" t="s">
        <v>699</v>
      </c>
      <c r="F99" s="33">
        <v>45258</v>
      </c>
      <c r="G99" s="35" t="s">
        <v>700</v>
      </c>
      <c r="H99" s="37" t="s">
        <v>331</v>
      </c>
      <c r="I99" s="37" t="s">
        <v>644</v>
      </c>
      <c r="J99" s="39">
        <v>13158732.6</v>
      </c>
      <c r="K99" s="40">
        <f>((J99-M99)/J99)*100</f>
        <v>0</v>
      </c>
      <c r="L99" s="41">
        <f>J99-M99</f>
        <v>0</v>
      </c>
      <c r="M99" s="38">
        <v>13158732.6</v>
      </c>
      <c r="N99" s="41">
        <f>J99-O99</f>
        <v>0</v>
      </c>
      <c r="O99" s="38">
        <v>13158732.6</v>
      </c>
      <c r="P99" s="27">
        <v>16788727.800000001</v>
      </c>
      <c r="Q99" s="27">
        <f t="shared" si="7"/>
        <v>16788727.800000001</v>
      </c>
      <c r="R99" s="27">
        <f>Q99/U99</f>
        <v>5041.66</v>
      </c>
      <c r="S99" s="38">
        <f>Q99/U99</f>
        <v>5041.66</v>
      </c>
      <c r="T99" s="38">
        <f>S99*AR99</f>
        <v>453749.39999999997</v>
      </c>
      <c r="U99" s="38">
        <v>3330</v>
      </c>
      <c r="V99" s="38">
        <v>1530</v>
      </c>
      <c r="W99" s="38">
        <v>1800</v>
      </c>
      <c r="X99" s="38">
        <v>0</v>
      </c>
      <c r="Y99" s="38"/>
      <c r="Z99" s="38">
        <f t="shared" si="10"/>
        <v>0</v>
      </c>
      <c r="AA99" s="38"/>
      <c r="AB99" s="38">
        <f t="shared" si="11"/>
        <v>0</v>
      </c>
      <c r="AC99" s="38">
        <f>U99/AR99</f>
        <v>37</v>
      </c>
      <c r="AD99" s="38">
        <f t="shared" si="8"/>
        <v>37</v>
      </c>
      <c r="AE99" s="33">
        <v>45322</v>
      </c>
      <c r="AF99" s="33">
        <v>45352</v>
      </c>
      <c r="AG99" s="33"/>
      <c r="AH99" s="33">
        <v>45382</v>
      </c>
      <c r="AI99" s="33">
        <v>45383</v>
      </c>
      <c r="AJ99" s="42"/>
      <c r="AK99" s="37" t="s">
        <v>701</v>
      </c>
      <c r="AL99" s="37" t="s">
        <v>702</v>
      </c>
      <c r="AM99" s="37" t="s">
        <v>703</v>
      </c>
      <c r="AN99" s="37" t="s">
        <v>440</v>
      </c>
      <c r="AO99" s="43">
        <v>0</v>
      </c>
      <c r="AP99" s="35">
        <v>100</v>
      </c>
      <c r="AQ99" s="35" t="s">
        <v>441</v>
      </c>
      <c r="AR99" s="44">
        <v>90</v>
      </c>
      <c r="AS99" s="37" t="s">
        <v>176</v>
      </c>
    </row>
    <row r="100" spans="1:45" ht="63" x14ac:dyDescent="0.25">
      <c r="A100" s="46" t="s">
        <v>704</v>
      </c>
      <c r="B100" s="42">
        <v>45239</v>
      </c>
      <c r="C100" s="37">
        <v>545</v>
      </c>
      <c r="D100" s="36" t="s">
        <v>485</v>
      </c>
      <c r="E100" s="37"/>
      <c r="F100" s="33" t="s">
        <v>485</v>
      </c>
      <c r="G100" s="35" t="s">
        <v>485</v>
      </c>
      <c r="H100" s="37" t="s">
        <v>485</v>
      </c>
      <c r="I100" s="37" t="s">
        <v>705</v>
      </c>
      <c r="J100" s="39">
        <v>4595525000</v>
      </c>
      <c r="K100" s="40">
        <f>((J100-M100)/J100)*100</f>
        <v>100</v>
      </c>
      <c r="L100" s="41">
        <f>J100-M100</f>
        <v>4595525000</v>
      </c>
      <c r="M100" s="38"/>
      <c r="N100" s="41">
        <f>J100-O100</f>
        <v>4595525000</v>
      </c>
      <c r="O100" s="38">
        <v>0</v>
      </c>
      <c r="P100" s="27">
        <f t="shared" ref="P100:P109" si="14">O100</f>
        <v>0</v>
      </c>
      <c r="Q100" s="27">
        <f t="shared" si="7"/>
        <v>0</v>
      </c>
      <c r="R100" s="27" t="e">
        <f>Q100/U100</f>
        <v>#DIV/0!</v>
      </c>
      <c r="S100" s="38" t="e">
        <f>Q100/U100</f>
        <v>#DIV/0!</v>
      </c>
      <c r="T100" s="38" t="e">
        <f>S100*AR100</f>
        <v>#DIV/0!</v>
      </c>
      <c r="U100" s="38">
        <v>0</v>
      </c>
      <c r="V100" s="38">
        <v>0</v>
      </c>
      <c r="W100" s="38">
        <v>0</v>
      </c>
      <c r="X100" s="38">
        <v>0</v>
      </c>
      <c r="Y100" s="38"/>
      <c r="Z100" s="38" t="e">
        <f t="shared" si="10"/>
        <v>#DIV/0!</v>
      </c>
      <c r="AA100" s="38"/>
      <c r="AB100" s="38" t="e">
        <f t="shared" si="11"/>
        <v>#DIV/0!</v>
      </c>
      <c r="AC100" s="38" t="e">
        <f>U100/AR100</f>
        <v>#DIV/0!</v>
      </c>
      <c r="AD100" s="38" t="e">
        <f t="shared" si="8"/>
        <v>#DIV/0!</v>
      </c>
      <c r="AE100" s="33">
        <v>45657</v>
      </c>
      <c r="AF100" s="33"/>
      <c r="AG100" s="33"/>
      <c r="AH100" s="33"/>
      <c r="AI100" s="33"/>
      <c r="AJ100" s="42"/>
      <c r="AK100" s="37"/>
      <c r="AL100" s="37"/>
      <c r="AM100" s="37"/>
      <c r="AN100" s="37"/>
      <c r="AO100" s="43"/>
      <c r="AP100" s="35"/>
      <c r="AQ100" s="35"/>
      <c r="AR100" s="44"/>
      <c r="AS100" s="37" t="s">
        <v>485</v>
      </c>
    </row>
    <row r="101" spans="1:45" ht="105" x14ac:dyDescent="0.25">
      <c r="A101" s="46" t="s">
        <v>706</v>
      </c>
      <c r="B101" s="42">
        <v>45243</v>
      </c>
      <c r="C101" s="37">
        <v>1416</v>
      </c>
      <c r="D101" s="36" t="s">
        <v>707</v>
      </c>
      <c r="E101" s="1" t="s">
        <v>708</v>
      </c>
      <c r="F101" s="33">
        <v>45264</v>
      </c>
      <c r="G101" s="35" t="s">
        <v>709</v>
      </c>
      <c r="H101" s="37" t="s">
        <v>710</v>
      </c>
      <c r="I101" s="37" t="s">
        <v>711</v>
      </c>
      <c r="J101" s="39">
        <v>5403201.5</v>
      </c>
      <c r="K101" s="40">
        <f>((J101-M101)/J101)*100</f>
        <v>13.501400974959019</v>
      </c>
      <c r="L101" s="41">
        <f>J101-M101</f>
        <v>729507.90000000037</v>
      </c>
      <c r="M101" s="38">
        <v>4673693.5999999996</v>
      </c>
      <c r="N101" s="41">
        <f>J101-O101</f>
        <v>729507.90000000037</v>
      </c>
      <c r="O101" s="38">
        <v>4673693.5999999996</v>
      </c>
      <c r="P101" s="27">
        <f t="shared" si="14"/>
        <v>4673693.5999999996</v>
      </c>
      <c r="Q101" s="27">
        <f t="shared" si="7"/>
        <v>4673693.5999999996</v>
      </c>
      <c r="R101" s="27">
        <f>Q101/U101</f>
        <v>557.71999999999991</v>
      </c>
      <c r="S101" s="38">
        <f>Q101/U101</f>
        <v>557.71999999999991</v>
      </c>
      <c r="T101" s="38">
        <f>S101*AR101</f>
        <v>11154.399999999998</v>
      </c>
      <c r="U101" s="38">
        <v>8380</v>
      </c>
      <c r="V101" s="38">
        <v>8380</v>
      </c>
      <c r="W101" s="38">
        <v>0</v>
      </c>
      <c r="X101" s="38">
        <v>0</v>
      </c>
      <c r="Y101" s="38">
        <v>0</v>
      </c>
      <c r="Z101" s="38">
        <f t="shared" si="10"/>
        <v>0</v>
      </c>
      <c r="AA101" s="38">
        <v>8380</v>
      </c>
      <c r="AB101" s="38">
        <f t="shared" si="11"/>
        <v>4673693.5999999996</v>
      </c>
      <c r="AC101" s="38">
        <f>U101/AR101</f>
        <v>419</v>
      </c>
      <c r="AD101" s="38">
        <f t="shared" si="8"/>
        <v>419</v>
      </c>
      <c r="AE101" s="33">
        <v>45301</v>
      </c>
      <c r="AF101" s="33"/>
      <c r="AG101" s="33"/>
      <c r="AH101" s="33">
        <v>45332</v>
      </c>
      <c r="AI101" s="33"/>
      <c r="AJ101" s="42"/>
      <c r="AK101" s="37" t="s">
        <v>712</v>
      </c>
      <c r="AL101" s="37" t="s">
        <v>713</v>
      </c>
      <c r="AM101" s="37" t="s">
        <v>714</v>
      </c>
      <c r="AN101" s="37" t="s">
        <v>50</v>
      </c>
      <c r="AO101" s="43">
        <v>100</v>
      </c>
      <c r="AP101" s="35">
        <v>0</v>
      </c>
      <c r="AQ101" s="35" t="s">
        <v>164</v>
      </c>
      <c r="AR101" s="44">
        <v>20</v>
      </c>
      <c r="AS101" s="37" t="s">
        <v>176</v>
      </c>
    </row>
    <row r="102" spans="1:45" ht="189" x14ac:dyDescent="0.25">
      <c r="A102" s="46" t="s">
        <v>715</v>
      </c>
      <c r="B102" s="42">
        <v>45243</v>
      </c>
      <c r="C102" s="37">
        <v>1416</v>
      </c>
      <c r="D102" s="36" t="s">
        <v>716</v>
      </c>
      <c r="E102" s="1" t="s">
        <v>717</v>
      </c>
      <c r="F102" s="33">
        <v>45264</v>
      </c>
      <c r="G102" s="35" t="s">
        <v>718</v>
      </c>
      <c r="H102" s="37" t="s">
        <v>719</v>
      </c>
      <c r="I102" s="37" t="s">
        <v>720</v>
      </c>
      <c r="J102" s="39">
        <v>4459520</v>
      </c>
      <c r="K102" s="40">
        <f>((J102-M102)/J102)*100</f>
        <v>0</v>
      </c>
      <c r="L102" s="41">
        <f>J102-M102</f>
        <v>0</v>
      </c>
      <c r="M102" s="38">
        <v>4459520</v>
      </c>
      <c r="N102" s="41">
        <f>J102-O102</f>
        <v>0</v>
      </c>
      <c r="O102" s="38">
        <v>4459520</v>
      </c>
      <c r="P102" s="27">
        <f t="shared" si="14"/>
        <v>4459520</v>
      </c>
      <c r="Q102" s="27">
        <f t="shared" si="7"/>
        <v>4459520</v>
      </c>
      <c r="R102" s="27">
        <f>Q102/U102</f>
        <v>10.72</v>
      </c>
      <c r="S102" s="38">
        <f>Q102/U102</f>
        <v>10.72</v>
      </c>
      <c r="T102" s="38" t="e">
        <f>S102*AR102</f>
        <v>#VALUE!</v>
      </c>
      <c r="U102" s="38">
        <v>416000</v>
      </c>
      <c r="V102" s="38">
        <v>416000</v>
      </c>
      <c r="W102" s="38">
        <v>0</v>
      </c>
      <c r="X102" s="38">
        <v>0</v>
      </c>
      <c r="Y102" s="38">
        <v>0</v>
      </c>
      <c r="Z102" s="38">
        <f t="shared" si="10"/>
        <v>0</v>
      </c>
      <c r="AA102" s="38">
        <v>416000</v>
      </c>
      <c r="AB102" s="38">
        <f t="shared" si="11"/>
        <v>4459520</v>
      </c>
      <c r="AC102" s="38" t="e">
        <f>U102/AR102</f>
        <v>#VALUE!</v>
      </c>
      <c r="AD102" s="38" t="e">
        <f t="shared" si="8"/>
        <v>#VALUE!</v>
      </c>
      <c r="AE102" s="33">
        <v>45301</v>
      </c>
      <c r="AF102" s="33"/>
      <c r="AG102" s="33"/>
      <c r="AH102" s="33">
        <v>45332</v>
      </c>
      <c r="AI102" s="33"/>
      <c r="AJ102" s="42"/>
      <c r="AK102" s="37" t="s">
        <v>721</v>
      </c>
      <c r="AL102" s="37" t="s">
        <v>722</v>
      </c>
      <c r="AM102" s="37" t="s">
        <v>723</v>
      </c>
      <c r="AN102" s="37" t="s">
        <v>724</v>
      </c>
      <c r="AO102" s="43">
        <v>0</v>
      </c>
      <c r="AP102" s="35">
        <v>100</v>
      </c>
      <c r="AQ102" s="35" t="s">
        <v>175</v>
      </c>
      <c r="AR102" s="48" t="s">
        <v>725</v>
      </c>
      <c r="AS102" s="37" t="s">
        <v>176</v>
      </c>
    </row>
    <row r="103" spans="1:45" ht="236.25" x14ac:dyDescent="0.25">
      <c r="A103" s="46" t="s">
        <v>726</v>
      </c>
      <c r="B103" s="42">
        <v>45243</v>
      </c>
      <c r="C103" s="37">
        <v>1416</v>
      </c>
      <c r="D103" s="36" t="s">
        <v>727</v>
      </c>
      <c r="E103" s="1" t="s">
        <v>728</v>
      </c>
      <c r="F103" s="33">
        <v>45264</v>
      </c>
      <c r="G103" s="35" t="s">
        <v>729</v>
      </c>
      <c r="H103" s="37" t="s">
        <v>719</v>
      </c>
      <c r="I103" s="37" t="s">
        <v>730</v>
      </c>
      <c r="J103" s="39">
        <v>3530112</v>
      </c>
      <c r="K103" s="40">
        <f>((J103-M103)/J103)*100</f>
        <v>0</v>
      </c>
      <c r="L103" s="41">
        <f>J103-M103</f>
        <v>0</v>
      </c>
      <c r="M103" s="38">
        <v>3530112</v>
      </c>
      <c r="N103" s="41">
        <f>J103-O103</f>
        <v>0</v>
      </c>
      <c r="O103" s="38">
        <v>3530112</v>
      </c>
      <c r="P103" s="27">
        <f t="shared" si="14"/>
        <v>3530112</v>
      </c>
      <c r="Q103" s="27">
        <f t="shared" si="7"/>
        <v>3530112</v>
      </c>
      <c r="R103" s="27">
        <f>Q103/U103</f>
        <v>12.68</v>
      </c>
      <c r="S103" s="38">
        <f>Q103/U103</f>
        <v>12.68</v>
      </c>
      <c r="T103" s="38">
        <f>S103*AR103</f>
        <v>15216</v>
      </c>
      <c r="U103" s="38">
        <v>278400</v>
      </c>
      <c r="V103" s="38">
        <v>278400</v>
      </c>
      <c r="W103" s="38">
        <v>0</v>
      </c>
      <c r="X103" s="38">
        <v>0</v>
      </c>
      <c r="Y103" s="38">
        <v>0</v>
      </c>
      <c r="Z103" s="38">
        <f t="shared" si="10"/>
        <v>0</v>
      </c>
      <c r="AA103" s="38">
        <v>278400</v>
      </c>
      <c r="AB103" s="38">
        <f t="shared" si="11"/>
        <v>3530112</v>
      </c>
      <c r="AC103" s="38">
        <f>U103/AR103</f>
        <v>232</v>
      </c>
      <c r="AD103" s="38">
        <f t="shared" si="8"/>
        <v>232</v>
      </c>
      <c r="AE103" s="33">
        <v>45301</v>
      </c>
      <c r="AF103" s="33"/>
      <c r="AG103" s="33"/>
      <c r="AH103" s="33">
        <v>45332</v>
      </c>
      <c r="AI103" s="33"/>
      <c r="AJ103" s="42"/>
      <c r="AK103" s="37" t="s">
        <v>731</v>
      </c>
      <c r="AL103" s="37" t="s">
        <v>732</v>
      </c>
      <c r="AM103" s="37" t="s">
        <v>733</v>
      </c>
      <c r="AN103" s="37" t="s">
        <v>174</v>
      </c>
      <c r="AO103" s="43">
        <v>0</v>
      </c>
      <c r="AP103" s="35">
        <v>100</v>
      </c>
      <c r="AQ103" s="35" t="s">
        <v>175</v>
      </c>
      <c r="AR103" s="44">
        <v>1200</v>
      </c>
      <c r="AS103" s="37" t="s">
        <v>176</v>
      </c>
    </row>
    <row r="104" spans="1:45" ht="189" x14ac:dyDescent="0.25">
      <c r="A104" s="46" t="s">
        <v>734</v>
      </c>
      <c r="B104" s="42">
        <v>45243</v>
      </c>
      <c r="C104" s="37">
        <v>1416</v>
      </c>
      <c r="D104" s="36" t="s">
        <v>735</v>
      </c>
      <c r="E104" s="1" t="s">
        <v>736</v>
      </c>
      <c r="F104" s="33">
        <v>45264</v>
      </c>
      <c r="G104" s="35" t="s">
        <v>737</v>
      </c>
      <c r="H104" s="37" t="s">
        <v>719</v>
      </c>
      <c r="I104" s="37" t="s">
        <v>738</v>
      </c>
      <c r="J104" s="39">
        <v>20764800</v>
      </c>
      <c r="K104" s="40">
        <f>((J104-M104)/J104)*100</f>
        <v>0</v>
      </c>
      <c r="L104" s="41">
        <f>J104-M104</f>
        <v>0</v>
      </c>
      <c r="M104" s="38">
        <v>20764800</v>
      </c>
      <c r="N104" s="41">
        <f>J104-O104</f>
        <v>0</v>
      </c>
      <c r="O104" s="38">
        <v>20764800</v>
      </c>
      <c r="P104" s="27">
        <f t="shared" si="14"/>
        <v>20764800</v>
      </c>
      <c r="Q104" s="27">
        <f t="shared" si="7"/>
        <v>20764800</v>
      </c>
      <c r="R104" s="27">
        <f>Q104/U104</f>
        <v>12.36</v>
      </c>
      <c r="S104" s="38">
        <f>Q104/U104</f>
        <v>12.36</v>
      </c>
      <c r="T104" s="38">
        <f>S104*AR104</f>
        <v>6180</v>
      </c>
      <c r="U104" s="38">
        <v>1680000</v>
      </c>
      <c r="V104" s="38">
        <v>1680000</v>
      </c>
      <c r="W104" s="38">
        <v>0</v>
      </c>
      <c r="X104" s="38">
        <v>0</v>
      </c>
      <c r="Y104" s="38">
        <v>0</v>
      </c>
      <c r="Z104" s="38">
        <f t="shared" si="10"/>
        <v>0</v>
      </c>
      <c r="AA104" s="38">
        <v>1680000</v>
      </c>
      <c r="AB104" s="38">
        <f t="shared" si="11"/>
        <v>20764800</v>
      </c>
      <c r="AC104" s="38">
        <f>U104/AR104</f>
        <v>3360</v>
      </c>
      <c r="AD104" s="38">
        <f t="shared" si="8"/>
        <v>3360</v>
      </c>
      <c r="AE104" s="33">
        <v>45301</v>
      </c>
      <c r="AF104" s="33"/>
      <c r="AG104" s="33"/>
      <c r="AH104" s="33">
        <v>45332</v>
      </c>
      <c r="AI104" s="33"/>
      <c r="AJ104" s="42"/>
      <c r="AK104" s="37" t="s">
        <v>171</v>
      </c>
      <c r="AL104" s="37" t="s">
        <v>739</v>
      </c>
      <c r="AM104" s="37" t="s">
        <v>173</v>
      </c>
      <c r="AN104" s="37" t="s">
        <v>224</v>
      </c>
      <c r="AO104" s="43">
        <v>0</v>
      </c>
      <c r="AP104" s="35">
        <v>100</v>
      </c>
      <c r="AQ104" s="35" t="s">
        <v>175</v>
      </c>
      <c r="AR104" s="44">
        <v>500</v>
      </c>
      <c r="AS104" s="37" t="s">
        <v>176</v>
      </c>
    </row>
    <row r="105" spans="1:45" ht="189" x14ac:dyDescent="0.25">
      <c r="A105" s="46" t="s">
        <v>740</v>
      </c>
      <c r="B105" s="42">
        <v>45243</v>
      </c>
      <c r="C105" s="37">
        <v>1416</v>
      </c>
      <c r="D105" s="36" t="s">
        <v>741</v>
      </c>
      <c r="E105" s="1" t="s">
        <v>742</v>
      </c>
      <c r="F105" s="33">
        <v>45264</v>
      </c>
      <c r="G105" s="35" t="s">
        <v>743</v>
      </c>
      <c r="H105" s="37" t="s">
        <v>719</v>
      </c>
      <c r="I105" s="37" t="s">
        <v>744</v>
      </c>
      <c r="J105" s="39">
        <v>5343840</v>
      </c>
      <c r="K105" s="40">
        <f>((J105-M105)/J105)*100</f>
        <v>0</v>
      </c>
      <c r="L105" s="41">
        <f>J105-M105</f>
        <v>0</v>
      </c>
      <c r="M105" s="38">
        <v>5343840</v>
      </c>
      <c r="N105" s="41">
        <f>J105-O105</f>
        <v>0</v>
      </c>
      <c r="O105" s="38">
        <v>5343840</v>
      </c>
      <c r="P105" s="27">
        <f t="shared" si="14"/>
        <v>5343840</v>
      </c>
      <c r="Q105" s="27">
        <f t="shared" si="7"/>
        <v>5343840</v>
      </c>
      <c r="R105" s="27">
        <f>Q105/U105</f>
        <v>12.37</v>
      </c>
      <c r="S105" s="38">
        <f>Q105/U105</f>
        <v>12.37</v>
      </c>
      <c r="T105" s="38">
        <f>S105*AR105</f>
        <v>37110</v>
      </c>
      <c r="U105" s="38">
        <v>432000</v>
      </c>
      <c r="V105" s="38">
        <v>432000</v>
      </c>
      <c r="W105" s="38">
        <v>0</v>
      </c>
      <c r="X105" s="38">
        <v>0</v>
      </c>
      <c r="Y105" s="38">
        <v>0</v>
      </c>
      <c r="Z105" s="38">
        <f t="shared" si="10"/>
        <v>0</v>
      </c>
      <c r="AA105" s="38">
        <v>432000</v>
      </c>
      <c r="AB105" s="38">
        <f t="shared" si="11"/>
        <v>5343840</v>
      </c>
      <c r="AC105" s="38">
        <f>U105/AR105</f>
        <v>144</v>
      </c>
      <c r="AD105" s="38">
        <f t="shared" si="8"/>
        <v>144</v>
      </c>
      <c r="AE105" s="33">
        <v>45301</v>
      </c>
      <c r="AF105" s="33"/>
      <c r="AG105" s="33"/>
      <c r="AH105" s="33">
        <v>45332</v>
      </c>
      <c r="AI105" s="33"/>
      <c r="AJ105" s="42"/>
      <c r="AK105" s="37" t="s">
        <v>171</v>
      </c>
      <c r="AL105" s="37" t="s">
        <v>745</v>
      </c>
      <c r="AM105" s="37" t="s">
        <v>173</v>
      </c>
      <c r="AN105" s="37" t="s">
        <v>224</v>
      </c>
      <c r="AO105" s="43">
        <v>0</v>
      </c>
      <c r="AP105" s="35">
        <v>100</v>
      </c>
      <c r="AQ105" s="35" t="s">
        <v>175</v>
      </c>
      <c r="AR105" s="44">
        <v>3000</v>
      </c>
      <c r="AS105" s="37" t="s">
        <v>176</v>
      </c>
    </row>
    <row r="106" spans="1:45" ht="189" x14ac:dyDescent="0.25">
      <c r="A106" s="46" t="s">
        <v>746</v>
      </c>
      <c r="B106" s="42">
        <v>45245</v>
      </c>
      <c r="C106" s="37">
        <v>1416</v>
      </c>
      <c r="D106" s="36" t="s">
        <v>747</v>
      </c>
      <c r="E106" s="1" t="s">
        <v>748</v>
      </c>
      <c r="F106" s="33">
        <v>45265</v>
      </c>
      <c r="G106" s="35" t="s">
        <v>749</v>
      </c>
      <c r="H106" s="37" t="s">
        <v>719</v>
      </c>
      <c r="I106" s="37" t="s">
        <v>750</v>
      </c>
      <c r="J106" s="39">
        <v>54898060</v>
      </c>
      <c r="K106" s="40">
        <f>((J106-M106)/J106)*100</f>
        <v>0</v>
      </c>
      <c r="L106" s="41">
        <f>J106-M106</f>
        <v>0</v>
      </c>
      <c r="M106" s="38">
        <v>54898060</v>
      </c>
      <c r="N106" s="41">
        <f>J106-O106</f>
        <v>0</v>
      </c>
      <c r="O106" s="38">
        <v>54898060</v>
      </c>
      <c r="P106" s="27">
        <f t="shared" si="14"/>
        <v>54898060</v>
      </c>
      <c r="Q106" s="27">
        <f t="shared" si="7"/>
        <v>54898060</v>
      </c>
      <c r="R106" s="27">
        <f>Q106/U106</f>
        <v>12.37</v>
      </c>
      <c r="S106" s="38">
        <f>Q106/U106</f>
        <v>12.37</v>
      </c>
      <c r="T106" s="38">
        <f>S106*AR106</f>
        <v>12370</v>
      </c>
      <c r="U106" s="38">
        <v>4438000</v>
      </c>
      <c r="V106" s="38">
        <v>4438000</v>
      </c>
      <c r="W106" s="38">
        <v>0</v>
      </c>
      <c r="X106" s="38">
        <v>0</v>
      </c>
      <c r="Y106" s="38">
        <v>0</v>
      </c>
      <c r="Z106" s="38">
        <f t="shared" si="10"/>
        <v>0</v>
      </c>
      <c r="AA106" s="38">
        <v>4438000</v>
      </c>
      <c r="AB106" s="38">
        <f t="shared" si="11"/>
        <v>54898060</v>
      </c>
      <c r="AC106" s="38">
        <f>U106/AR106</f>
        <v>4438</v>
      </c>
      <c r="AD106" s="38">
        <f t="shared" si="8"/>
        <v>4438</v>
      </c>
      <c r="AE106" s="33">
        <v>45301</v>
      </c>
      <c r="AF106" s="33"/>
      <c r="AG106" s="33"/>
      <c r="AH106" s="33">
        <v>45332</v>
      </c>
      <c r="AI106" s="33"/>
      <c r="AJ106" s="42"/>
      <c r="AK106" s="37" t="s">
        <v>171</v>
      </c>
      <c r="AL106" s="37" t="s">
        <v>188</v>
      </c>
      <c r="AM106" s="37" t="s">
        <v>173</v>
      </c>
      <c r="AN106" s="37" t="s">
        <v>751</v>
      </c>
      <c r="AO106" s="43">
        <v>0</v>
      </c>
      <c r="AP106" s="35">
        <v>100</v>
      </c>
      <c r="AQ106" s="35" t="s">
        <v>175</v>
      </c>
      <c r="AR106" s="44">
        <v>1000</v>
      </c>
      <c r="AS106" s="37" t="s">
        <v>176</v>
      </c>
    </row>
    <row r="107" spans="1:45" ht="69" customHeight="1" x14ac:dyDescent="0.25">
      <c r="A107" s="46" t="s">
        <v>752</v>
      </c>
      <c r="B107" s="42">
        <v>45246</v>
      </c>
      <c r="C107" s="37">
        <v>1416</v>
      </c>
      <c r="D107" s="36" t="s">
        <v>753</v>
      </c>
      <c r="E107" s="1" t="s">
        <v>754</v>
      </c>
      <c r="F107" s="33">
        <v>45265</v>
      </c>
      <c r="G107" s="35" t="s">
        <v>755</v>
      </c>
      <c r="H107" s="37" t="s">
        <v>719</v>
      </c>
      <c r="I107" s="37" t="s">
        <v>756</v>
      </c>
      <c r="J107" s="39">
        <v>2674640</v>
      </c>
      <c r="K107" s="40">
        <f>((J107-M107)/J107)*100</f>
        <v>0</v>
      </c>
      <c r="L107" s="41">
        <f>J107-M107</f>
        <v>0</v>
      </c>
      <c r="M107" s="38">
        <v>2674640</v>
      </c>
      <c r="N107" s="41">
        <f>J107-O107</f>
        <v>0</v>
      </c>
      <c r="O107" s="38">
        <v>2674640</v>
      </c>
      <c r="P107" s="27">
        <f t="shared" si="14"/>
        <v>2674640</v>
      </c>
      <c r="Q107" s="27">
        <f t="shared" si="7"/>
        <v>2674640</v>
      </c>
      <c r="R107" s="27">
        <f>Q107/U107</f>
        <v>10.72</v>
      </c>
      <c r="S107" s="38">
        <f>Q107/U107</f>
        <v>10.72</v>
      </c>
      <c r="T107" s="38">
        <f>S107*AR107</f>
        <v>5360</v>
      </c>
      <c r="U107" s="38">
        <v>249500</v>
      </c>
      <c r="V107" s="38">
        <v>249500</v>
      </c>
      <c r="W107" s="38">
        <v>0</v>
      </c>
      <c r="X107" s="38">
        <v>0</v>
      </c>
      <c r="Y107" s="38">
        <v>0</v>
      </c>
      <c r="Z107" s="38">
        <f t="shared" si="10"/>
        <v>0</v>
      </c>
      <c r="AA107" s="38">
        <v>249500</v>
      </c>
      <c r="AB107" s="38">
        <f t="shared" si="11"/>
        <v>2674640</v>
      </c>
      <c r="AC107" s="38">
        <f>U107/AR107</f>
        <v>499</v>
      </c>
      <c r="AD107" s="38">
        <f t="shared" si="8"/>
        <v>499</v>
      </c>
      <c r="AE107" s="33">
        <v>45301</v>
      </c>
      <c r="AF107" s="33"/>
      <c r="AG107" s="33"/>
      <c r="AH107" s="33">
        <v>45332</v>
      </c>
      <c r="AI107" s="33"/>
      <c r="AJ107" s="42"/>
      <c r="AK107" s="37" t="s">
        <v>757</v>
      </c>
      <c r="AL107" s="37" t="s">
        <v>758</v>
      </c>
      <c r="AM107" s="37" t="s">
        <v>759</v>
      </c>
      <c r="AN107" s="37" t="s">
        <v>724</v>
      </c>
      <c r="AO107" s="43">
        <v>0</v>
      </c>
      <c r="AP107" s="35">
        <v>100</v>
      </c>
      <c r="AQ107" s="35" t="s">
        <v>175</v>
      </c>
      <c r="AR107" s="44">
        <v>500</v>
      </c>
      <c r="AS107" s="37" t="s">
        <v>176</v>
      </c>
    </row>
    <row r="108" spans="1:45" ht="69" customHeight="1" x14ac:dyDescent="0.25">
      <c r="A108" s="46" t="s">
        <v>760</v>
      </c>
      <c r="B108" s="42">
        <v>45246</v>
      </c>
      <c r="C108" s="37">
        <v>1416</v>
      </c>
      <c r="D108" s="36" t="s">
        <v>761</v>
      </c>
      <c r="E108" s="1" t="s">
        <v>762</v>
      </c>
      <c r="F108" s="33">
        <v>45265</v>
      </c>
      <c r="G108" s="35" t="s">
        <v>763</v>
      </c>
      <c r="H108" s="37" t="s">
        <v>719</v>
      </c>
      <c r="I108" s="37" t="s">
        <v>764</v>
      </c>
      <c r="J108" s="39">
        <v>10963680</v>
      </c>
      <c r="K108" s="40">
        <f>((J108-M108)/J108)*100</f>
        <v>0</v>
      </c>
      <c r="L108" s="41">
        <f>J108-M108</f>
        <v>0</v>
      </c>
      <c r="M108" s="38">
        <v>10963680</v>
      </c>
      <c r="N108" s="41">
        <f>J108-O108</f>
        <v>0</v>
      </c>
      <c r="O108" s="38">
        <v>10963680</v>
      </c>
      <c r="P108" s="27">
        <f t="shared" si="14"/>
        <v>10963680</v>
      </c>
      <c r="Q108" s="27">
        <f t="shared" si="7"/>
        <v>10963680</v>
      </c>
      <c r="R108" s="27">
        <f>Q108/U108</f>
        <v>7.28</v>
      </c>
      <c r="S108" s="38">
        <f>Q108/U108</f>
        <v>7.28</v>
      </c>
      <c r="T108" s="38">
        <f>S108*AR108</f>
        <v>7280</v>
      </c>
      <c r="U108" s="38">
        <v>1506000</v>
      </c>
      <c r="V108" s="38">
        <v>1506000</v>
      </c>
      <c r="W108" s="38">
        <v>0</v>
      </c>
      <c r="X108" s="38">
        <v>0</v>
      </c>
      <c r="Y108" s="38">
        <v>0</v>
      </c>
      <c r="Z108" s="38">
        <f t="shared" si="10"/>
        <v>0</v>
      </c>
      <c r="AA108" s="38">
        <v>1506000</v>
      </c>
      <c r="AB108" s="38">
        <f t="shared" si="11"/>
        <v>10963680</v>
      </c>
      <c r="AC108" s="38">
        <f>U108/AR108</f>
        <v>1506</v>
      </c>
      <c r="AD108" s="38">
        <f t="shared" si="8"/>
        <v>1506</v>
      </c>
      <c r="AE108" s="33">
        <v>45301</v>
      </c>
      <c r="AF108" s="33"/>
      <c r="AG108" s="33"/>
      <c r="AH108" s="33">
        <v>45332</v>
      </c>
      <c r="AI108" s="33"/>
      <c r="AJ108" s="42"/>
      <c r="AK108" s="37" t="s">
        <v>765</v>
      </c>
      <c r="AL108" s="37" t="s">
        <v>766</v>
      </c>
      <c r="AM108" s="37" t="s">
        <v>767</v>
      </c>
      <c r="AN108" s="37" t="s">
        <v>768</v>
      </c>
      <c r="AO108" s="43">
        <v>0</v>
      </c>
      <c r="AP108" s="35">
        <v>100</v>
      </c>
      <c r="AQ108" s="35" t="s">
        <v>175</v>
      </c>
      <c r="AR108" s="44">
        <v>1000</v>
      </c>
      <c r="AS108" s="37" t="s">
        <v>176</v>
      </c>
    </row>
    <row r="109" spans="1:45" ht="69" customHeight="1" x14ac:dyDescent="0.25">
      <c r="A109" s="46" t="s">
        <v>769</v>
      </c>
      <c r="B109" s="42">
        <v>45246</v>
      </c>
      <c r="C109" s="37">
        <v>1416</v>
      </c>
      <c r="D109" s="36" t="s">
        <v>770</v>
      </c>
      <c r="E109" s="1" t="s">
        <v>771</v>
      </c>
      <c r="F109" s="33">
        <v>45265</v>
      </c>
      <c r="G109" s="35" t="s">
        <v>772</v>
      </c>
      <c r="H109" s="37" t="s">
        <v>710</v>
      </c>
      <c r="I109" s="37" t="s">
        <v>773</v>
      </c>
      <c r="J109" s="39">
        <v>20917831.34</v>
      </c>
      <c r="K109" s="40">
        <f>((J109-M109)/J109)*100</f>
        <v>10.000010546026324</v>
      </c>
      <c r="L109" s="41">
        <f>J109-M109</f>
        <v>2091785.3399999999</v>
      </c>
      <c r="M109" s="38">
        <v>18826046</v>
      </c>
      <c r="N109" s="41">
        <f>J109-O109</f>
        <v>2092072.3399999999</v>
      </c>
      <c r="O109" s="38">
        <v>18825759</v>
      </c>
      <c r="P109" s="27">
        <f t="shared" si="14"/>
        <v>18825759</v>
      </c>
      <c r="Q109" s="27">
        <f t="shared" si="7"/>
        <v>18825759</v>
      </c>
      <c r="R109" s="27">
        <f>Q109/U109</f>
        <v>581.94000000000005</v>
      </c>
      <c r="S109" s="38">
        <f>Q109/U109</f>
        <v>581.94000000000005</v>
      </c>
      <c r="T109" s="38">
        <f>S109*AR109</f>
        <v>29097.000000000004</v>
      </c>
      <c r="U109" s="38">
        <v>32350</v>
      </c>
      <c r="V109" s="38">
        <v>32350</v>
      </c>
      <c r="W109" s="38">
        <v>0</v>
      </c>
      <c r="X109" s="38">
        <v>0</v>
      </c>
      <c r="Y109" s="38">
        <v>0</v>
      </c>
      <c r="Z109" s="38">
        <f t="shared" si="10"/>
        <v>0</v>
      </c>
      <c r="AA109" s="38">
        <v>32350</v>
      </c>
      <c r="AB109" s="38">
        <f t="shared" si="11"/>
        <v>18825759</v>
      </c>
      <c r="AC109" s="38">
        <f>U109/AR109</f>
        <v>647</v>
      </c>
      <c r="AD109" s="38">
        <f t="shared" si="8"/>
        <v>647</v>
      </c>
      <c r="AE109" s="33">
        <v>45301</v>
      </c>
      <c r="AF109" s="33"/>
      <c r="AG109" s="33"/>
      <c r="AH109" s="33">
        <v>45332</v>
      </c>
      <c r="AI109" s="33"/>
      <c r="AJ109" s="42"/>
      <c r="AK109" s="37" t="s">
        <v>712</v>
      </c>
      <c r="AL109" s="37" t="s">
        <v>774</v>
      </c>
      <c r="AM109" s="37" t="s">
        <v>714</v>
      </c>
      <c r="AN109" s="37" t="s">
        <v>50</v>
      </c>
      <c r="AO109" s="43">
        <v>100</v>
      </c>
      <c r="AP109" s="35">
        <v>0</v>
      </c>
      <c r="AQ109" s="35" t="s">
        <v>164</v>
      </c>
      <c r="AR109" s="44">
        <v>50</v>
      </c>
      <c r="AS109" s="37" t="s">
        <v>176</v>
      </c>
    </row>
    <row r="110" spans="1:45" ht="69" customHeight="1" x14ac:dyDescent="0.25">
      <c r="A110" s="46" t="s">
        <v>775</v>
      </c>
      <c r="B110" s="42">
        <v>45246</v>
      </c>
      <c r="C110" s="37">
        <v>1416</v>
      </c>
      <c r="D110" s="36" t="s">
        <v>776</v>
      </c>
      <c r="E110" s="1" t="s">
        <v>777</v>
      </c>
      <c r="F110" s="33">
        <v>45273</v>
      </c>
      <c r="G110" s="35" t="s">
        <v>778</v>
      </c>
      <c r="H110" s="37" t="s">
        <v>719</v>
      </c>
      <c r="I110" s="37" t="s">
        <v>779</v>
      </c>
      <c r="J110" s="39">
        <v>20509500</v>
      </c>
      <c r="K110" s="40">
        <f>((J110-M110)/J110)*100</f>
        <v>0</v>
      </c>
      <c r="L110" s="41">
        <f>J110-M110</f>
        <v>0</v>
      </c>
      <c r="M110" s="38">
        <v>20509500</v>
      </c>
      <c r="N110" s="41">
        <f>J110-O110</f>
        <v>0</v>
      </c>
      <c r="O110" s="38">
        <v>20509500</v>
      </c>
      <c r="P110" s="27">
        <v>20509500</v>
      </c>
      <c r="Q110" s="27">
        <v>20509500</v>
      </c>
      <c r="R110" s="27">
        <v>7.26</v>
      </c>
      <c r="S110" s="38">
        <f>Q110/U110</f>
        <v>7.26</v>
      </c>
      <c r="T110" s="38">
        <f>S110*AR110</f>
        <v>3630</v>
      </c>
      <c r="U110" s="38">
        <v>2825000</v>
      </c>
      <c r="V110" s="38">
        <v>2825000</v>
      </c>
      <c r="W110" s="38">
        <v>0</v>
      </c>
      <c r="X110" s="38">
        <v>0</v>
      </c>
      <c r="Y110" s="38">
        <v>0</v>
      </c>
      <c r="Z110" s="38">
        <f t="shared" si="10"/>
        <v>0</v>
      </c>
      <c r="AA110" s="38">
        <v>2825000</v>
      </c>
      <c r="AB110" s="38">
        <f t="shared" si="11"/>
        <v>20509500</v>
      </c>
      <c r="AC110" s="38">
        <v>5650</v>
      </c>
      <c r="AD110" s="38">
        <v>5650</v>
      </c>
      <c r="AE110" s="33">
        <v>45301</v>
      </c>
      <c r="AF110" s="33"/>
      <c r="AG110" s="33"/>
      <c r="AH110" s="33">
        <v>45332</v>
      </c>
      <c r="AI110" s="33"/>
      <c r="AJ110" s="42"/>
      <c r="AK110" s="37" t="s">
        <v>765</v>
      </c>
      <c r="AL110" s="37" t="s">
        <v>766</v>
      </c>
      <c r="AM110" s="37" t="s">
        <v>767</v>
      </c>
      <c r="AN110" s="37" t="s">
        <v>369</v>
      </c>
      <c r="AO110" s="43">
        <v>0</v>
      </c>
      <c r="AP110" s="35">
        <v>100</v>
      </c>
      <c r="AQ110" s="35" t="s">
        <v>175</v>
      </c>
      <c r="AR110" s="44">
        <v>500</v>
      </c>
      <c r="AS110" s="37" t="s">
        <v>176</v>
      </c>
    </row>
    <row r="111" spans="1:45" ht="69" customHeight="1" x14ac:dyDescent="0.25">
      <c r="A111" s="46" t="s">
        <v>780</v>
      </c>
      <c r="B111" s="42">
        <v>45252</v>
      </c>
      <c r="C111" s="37">
        <v>1416</v>
      </c>
      <c r="D111" s="36" t="s">
        <v>781</v>
      </c>
      <c r="E111" s="1" t="s">
        <v>782</v>
      </c>
      <c r="F111" s="33">
        <v>45272</v>
      </c>
      <c r="G111" s="35" t="s">
        <v>783</v>
      </c>
      <c r="H111" s="37" t="s">
        <v>784</v>
      </c>
      <c r="I111" s="37" t="s">
        <v>785</v>
      </c>
      <c r="J111" s="39">
        <v>120813651.86</v>
      </c>
      <c r="K111" s="40">
        <f>((J111-M111)/J111)*100</f>
        <v>0</v>
      </c>
      <c r="L111" s="41">
        <f>J111-M111</f>
        <v>0</v>
      </c>
      <c r="M111" s="38">
        <v>120813651.86</v>
      </c>
      <c r="N111" s="41">
        <f>J111-O111</f>
        <v>0</v>
      </c>
      <c r="O111" s="38">
        <v>120813651.86</v>
      </c>
      <c r="P111" s="27">
        <f t="shared" ref="P111:Q126" si="15">O111</f>
        <v>120813651.86</v>
      </c>
      <c r="Q111" s="27">
        <f t="shared" si="15"/>
        <v>120813651.86</v>
      </c>
      <c r="R111" s="27">
        <f>Q111/U111</f>
        <v>250650.73</v>
      </c>
      <c r="S111" s="38">
        <f>Q111/U111</f>
        <v>250650.73</v>
      </c>
      <c r="T111" s="38">
        <f>S111*AR111</f>
        <v>250650.73</v>
      </c>
      <c r="U111" s="38">
        <v>482</v>
      </c>
      <c r="V111" s="38">
        <v>482</v>
      </c>
      <c r="W111" s="38">
        <v>0</v>
      </c>
      <c r="X111" s="38">
        <v>0</v>
      </c>
      <c r="Y111" s="38">
        <v>0</v>
      </c>
      <c r="Z111" s="38">
        <f t="shared" si="10"/>
        <v>0</v>
      </c>
      <c r="AA111" s="38">
        <v>482</v>
      </c>
      <c r="AB111" s="38">
        <f t="shared" si="11"/>
        <v>120813651.86</v>
      </c>
      <c r="AC111" s="38">
        <f>U111/AR111</f>
        <v>482</v>
      </c>
      <c r="AD111" s="38">
        <f t="shared" ref="AD111:AD159" si="16">_xlfn.CEILING.MATH(AC111)</f>
        <v>482</v>
      </c>
      <c r="AE111" s="33">
        <v>45301</v>
      </c>
      <c r="AF111" s="33"/>
      <c r="AG111" s="33"/>
      <c r="AH111" s="33">
        <v>45332</v>
      </c>
      <c r="AI111" s="33"/>
      <c r="AJ111" s="42"/>
      <c r="AK111" s="37" t="s">
        <v>786</v>
      </c>
      <c r="AL111" s="37" t="s">
        <v>787</v>
      </c>
      <c r="AM111" s="37" t="s">
        <v>788</v>
      </c>
      <c r="AN111" s="37" t="s">
        <v>326</v>
      </c>
      <c r="AO111" s="43">
        <v>0</v>
      </c>
      <c r="AP111" s="35">
        <v>100</v>
      </c>
      <c r="AQ111" s="35" t="s">
        <v>164</v>
      </c>
      <c r="AR111" s="44">
        <v>1</v>
      </c>
      <c r="AS111" s="37" t="s">
        <v>176</v>
      </c>
    </row>
    <row r="112" spans="1:45" ht="69" customHeight="1" x14ac:dyDescent="0.25">
      <c r="A112" s="46" t="s">
        <v>789</v>
      </c>
      <c r="B112" s="42">
        <v>45252</v>
      </c>
      <c r="C112" s="37">
        <v>1416</v>
      </c>
      <c r="D112" s="36" t="s">
        <v>790</v>
      </c>
      <c r="E112" s="1" t="s">
        <v>791</v>
      </c>
      <c r="F112" s="33">
        <v>45272</v>
      </c>
      <c r="G112" s="35" t="s">
        <v>792</v>
      </c>
      <c r="H112" s="37" t="s">
        <v>364</v>
      </c>
      <c r="I112" s="37" t="s">
        <v>793</v>
      </c>
      <c r="J112" s="39">
        <v>112543483.09999999</v>
      </c>
      <c r="K112" s="40">
        <f>((J112-M112)/J112)*100</f>
        <v>0</v>
      </c>
      <c r="L112" s="41">
        <f>J112-M112</f>
        <v>0</v>
      </c>
      <c r="M112" s="38">
        <v>112543483.09999999</v>
      </c>
      <c r="N112" s="41">
        <f>J112-O112</f>
        <v>0</v>
      </c>
      <c r="O112" s="38">
        <v>112543483.09999999</v>
      </c>
      <c r="P112" s="27">
        <f t="shared" si="15"/>
        <v>112543483.09999999</v>
      </c>
      <c r="Q112" s="27">
        <f t="shared" si="15"/>
        <v>112543483.09999999</v>
      </c>
      <c r="R112" s="27">
        <f>Q112/U112</f>
        <v>200397.93999287748</v>
      </c>
      <c r="S112" s="38">
        <f>Q112/U112</f>
        <v>200397.93999287748</v>
      </c>
      <c r="T112" s="38">
        <f>S112*AR112</f>
        <v>240477.52799145295</v>
      </c>
      <c r="U112" s="38">
        <v>561.6</v>
      </c>
      <c r="V112" s="38">
        <v>561.6</v>
      </c>
      <c r="W112" s="38">
        <v>0</v>
      </c>
      <c r="X112" s="38">
        <v>0</v>
      </c>
      <c r="Y112" s="38">
        <v>0</v>
      </c>
      <c r="Z112" s="38">
        <f t="shared" si="10"/>
        <v>0</v>
      </c>
      <c r="AA112" s="38">
        <v>561.6</v>
      </c>
      <c r="AB112" s="38">
        <f t="shared" si="11"/>
        <v>112543483.09999999</v>
      </c>
      <c r="AC112" s="38">
        <f>U112/AR112</f>
        <v>468.00000000000006</v>
      </c>
      <c r="AD112" s="38">
        <f t="shared" si="16"/>
        <v>468</v>
      </c>
      <c r="AE112" s="33">
        <v>45323</v>
      </c>
      <c r="AF112" s="33"/>
      <c r="AG112" s="33"/>
      <c r="AH112" s="33">
        <v>45352</v>
      </c>
      <c r="AI112" s="33"/>
      <c r="AJ112" s="42"/>
      <c r="AK112" s="37" t="s">
        <v>794</v>
      </c>
      <c r="AL112" s="37" t="s">
        <v>795</v>
      </c>
      <c r="AM112" s="37" t="s">
        <v>796</v>
      </c>
      <c r="AN112" s="37" t="s">
        <v>174</v>
      </c>
      <c r="AO112" s="43">
        <v>0</v>
      </c>
      <c r="AP112" s="35">
        <v>100</v>
      </c>
      <c r="AQ112" s="35" t="s">
        <v>164</v>
      </c>
      <c r="AR112" s="49">
        <v>1.2</v>
      </c>
      <c r="AS112" s="37" t="s">
        <v>176</v>
      </c>
    </row>
    <row r="113" spans="1:45" ht="69" customHeight="1" x14ac:dyDescent="0.25">
      <c r="A113" s="46" t="s">
        <v>797</v>
      </c>
      <c r="B113" s="42">
        <v>45252</v>
      </c>
      <c r="C113" s="37">
        <v>545</v>
      </c>
      <c r="D113" s="36" t="s">
        <v>798</v>
      </c>
      <c r="E113" s="1" t="s">
        <v>799</v>
      </c>
      <c r="F113" s="33">
        <v>45272</v>
      </c>
      <c r="G113" s="35" t="s">
        <v>800</v>
      </c>
      <c r="H113" s="37" t="s">
        <v>331</v>
      </c>
      <c r="I113" s="37" t="s">
        <v>801</v>
      </c>
      <c r="J113" s="39">
        <v>236402362.34999999</v>
      </c>
      <c r="K113" s="40">
        <f>((J113-M113)/J113)*100</f>
        <v>0</v>
      </c>
      <c r="L113" s="41">
        <f>J113-M113</f>
        <v>0</v>
      </c>
      <c r="M113" s="38">
        <v>236402362.34999999</v>
      </c>
      <c r="N113" s="41">
        <f>J113-O113</f>
        <v>0</v>
      </c>
      <c r="O113" s="38">
        <v>236402362.34999999</v>
      </c>
      <c r="P113" s="27">
        <f t="shared" si="15"/>
        <v>236402362.34999999</v>
      </c>
      <c r="Q113" s="27">
        <f t="shared" si="15"/>
        <v>236402362.34999999</v>
      </c>
      <c r="R113" s="27">
        <f>Q113/U113</f>
        <v>204411.9</v>
      </c>
      <c r="S113" s="38">
        <f>Q113/U113</f>
        <v>204411.9</v>
      </c>
      <c r="T113" s="38">
        <f>S113*AR113</f>
        <v>919853.54999999993</v>
      </c>
      <c r="U113" s="38">
        <v>1156.5</v>
      </c>
      <c r="V113" s="38">
        <v>1156.5</v>
      </c>
      <c r="W113" s="38">
        <v>0</v>
      </c>
      <c r="X113" s="38">
        <v>0</v>
      </c>
      <c r="Y113" s="38"/>
      <c r="Z113" s="38">
        <f t="shared" si="10"/>
        <v>0</v>
      </c>
      <c r="AA113" s="38"/>
      <c r="AB113" s="38">
        <f t="shared" si="11"/>
        <v>0</v>
      </c>
      <c r="AC113" s="38">
        <f>U113/AR113</f>
        <v>257</v>
      </c>
      <c r="AD113" s="38">
        <f t="shared" si="16"/>
        <v>257</v>
      </c>
      <c r="AE113" s="33">
        <v>45322</v>
      </c>
      <c r="AF113" s="33"/>
      <c r="AG113" s="33"/>
      <c r="AH113" s="33">
        <v>45352</v>
      </c>
      <c r="AI113" s="33"/>
      <c r="AJ113" s="42"/>
      <c r="AK113" s="37" t="s">
        <v>802</v>
      </c>
      <c r="AL113" s="37" t="s">
        <v>803</v>
      </c>
      <c r="AM113" s="37" t="s">
        <v>804</v>
      </c>
      <c r="AN113" s="37" t="s">
        <v>224</v>
      </c>
      <c r="AO113" s="43">
        <v>0</v>
      </c>
      <c r="AP113" s="35">
        <v>100</v>
      </c>
      <c r="AQ113" s="35" t="s">
        <v>164</v>
      </c>
      <c r="AR113" s="49">
        <v>4.5</v>
      </c>
      <c r="AS113" s="37" t="s">
        <v>176</v>
      </c>
    </row>
    <row r="114" spans="1:45" ht="66" customHeight="1" x14ac:dyDescent="0.25">
      <c r="A114" s="46" t="s">
        <v>805</v>
      </c>
      <c r="B114" s="42">
        <v>45254</v>
      </c>
      <c r="C114" s="37">
        <v>1416</v>
      </c>
      <c r="D114" s="36" t="s">
        <v>806</v>
      </c>
      <c r="E114" s="1" t="s">
        <v>807</v>
      </c>
      <c r="F114" s="33">
        <v>45275</v>
      </c>
      <c r="G114" s="35" t="s">
        <v>808</v>
      </c>
      <c r="H114" s="37" t="s">
        <v>169</v>
      </c>
      <c r="I114" s="37" t="s">
        <v>809</v>
      </c>
      <c r="J114" s="39">
        <v>197227280</v>
      </c>
      <c r="K114" s="40">
        <f>((J114-M114)/J114)*100</f>
        <v>0</v>
      </c>
      <c r="L114" s="41">
        <f>J114-M114</f>
        <v>0</v>
      </c>
      <c r="M114" s="38">
        <v>197227280</v>
      </c>
      <c r="N114" s="41">
        <f>J114-O114</f>
        <v>0</v>
      </c>
      <c r="O114" s="38">
        <v>197227280</v>
      </c>
      <c r="P114" s="27">
        <f t="shared" si="15"/>
        <v>197227280</v>
      </c>
      <c r="Q114" s="27">
        <f t="shared" si="15"/>
        <v>197227280</v>
      </c>
      <c r="R114" s="27">
        <f>Q114/U114</f>
        <v>12.37</v>
      </c>
      <c r="S114" s="38">
        <f>Q114/U114</f>
        <v>12.37</v>
      </c>
      <c r="T114" s="38">
        <f>S114*AR114</f>
        <v>24740</v>
      </c>
      <c r="U114" s="38">
        <v>15944000</v>
      </c>
      <c r="V114" s="38">
        <v>15944000</v>
      </c>
      <c r="W114" s="38">
        <v>0</v>
      </c>
      <c r="X114" s="38">
        <v>0</v>
      </c>
      <c r="Y114" s="38">
        <v>0</v>
      </c>
      <c r="Z114" s="38">
        <f t="shared" si="10"/>
        <v>0</v>
      </c>
      <c r="AA114" s="38">
        <v>15944000</v>
      </c>
      <c r="AB114" s="38">
        <f t="shared" si="11"/>
        <v>197227280</v>
      </c>
      <c r="AC114" s="38">
        <f>U114/AR114</f>
        <v>7972</v>
      </c>
      <c r="AD114" s="38">
        <f t="shared" si="16"/>
        <v>7972</v>
      </c>
      <c r="AE114" s="33">
        <v>45323</v>
      </c>
      <c r="AF114" s="33"/>
      <c r="AG114" s="33"/>
      <c r="AH114" s="33">
        <v>44986</v>
      </c>
      <c r="AI114" s="33"/>
      <c r="AJ114" s="42"/>
      <c r="AK114" s="37" t="s">
        <v>810</v>
      </c>
      <c r="AL114" s="37" t="s">
        <v>811</v>
      </c>
      <c r="AM114" s="37" t="s">
        <v>812</v>
      </c>
      <c r="AN114" s="37" t="s">
        <v>813</v>
      </c>
      <c r="AO114" s="43">
        <v>0</v>
      </c>
      <c r="AP114" s="35">
        <v>100</v>
      </c>
      <c r="AQ114" s="35" t="s">
        <v>175</v>
      </c>
      <c r="AR114" s="44">
        <v>2000</v>
      </c>
      <c r="AS114" s="37" t="s">
        <v>176</v>
      </c>
    </row>
    <row r="115" spans="1:45" ht="66" customHeight="1" x14ac:dyDescent="0.25">
      <c r="A115" s="46" t="s">
        <v>814</v>
      </c>
      <c r="B115" s="42">
        <v>45254</v>
      </c>
      <c r="C115" s="37">
        <v>1416</v>
      </c>
      <c r="D115" s="36" t="s">
        <v>815</v>
      </c>
      <c r="E115" s="1" t="s">
        <v>816</v>
      </c>
      <c r="F115" s="33">
        <v>45282</v>
      </c>
      <c r="G115" s="35" t="s">
        <v>817</v>
      </c>
      <c r="H115" s="37" t="s">
        <v>784</v>
      </c>
      <c r="I115" s="37" t="s">
        <v>818</v>
      </c>
      <c r="J115" s="39">
        <v>968144403.38</v>
      </c>
      <c r="K115" s="40">
        <f>((J115-M115)/J115)*100</f>
        <v>0</v>
      </c>
      <c r="L115" s="41">
        <f>J115-M115</f>
        <v>0</v>
      </c>
      <c r="M115" s="38">
        <v>968144403.38</v>
      </c>
      <c r="N115" s="41">
        <f>J115-O115</f>
        <v>0</v>
      </c>
      <c r="O115" s="38">
        <v>968144403.38</v>
      </c>
      <c r="P115" s="27">
        <f t="shared" si="15"/>
        <v>968144403.38</v>
      </c>
      <c r="Q115" s="27">
        <f t="shared" si="15"/>
        <v>968144403.38</v>
      </c>
      <c r="R115" s="27">
        <f>Q115/U115</f>
        <v>263842.7</v>
      </c>
      <c r="S115" s="38">
        <f>Q115/U115</f>
        <v>263842.7</v>
      </c>
      <c r="T115" s="38">
        <f>S115*AR115</f>
        <v>184689.88999999998</v>
      </c>
      <c r="U115" s="38">
        <v>3669.4</v>
      </c>
      <c r="V115" s="38">
        <v>606.9</v>
      </c>
      <c r="W115" s="38">
        <v>3062.5</v>
      </c>
      <c r="X115" s="38">
        <v>0</v>
      </c>
      <c r="Y115" s="38">
        <v>0</v>
      </c>
      <c r="Z115" s="38">
        <f t="shared" si="10"/>
        <v>0</v>
      </c>
      <c r="AA115" s="38">
        <f>606.9+3062.5</f>
        <v>3669.4</v>
      </c>
      <c r="AB115" s="38">
        <f t="shared" si="11"/>
        <v>968144403.38000011</v>
      </c>
      <c r="AC115" s="38">
        <f>U115/AR115</f>
        <v>5242.0000000000009</v>
      </c>
      <c r="AD115" s="38">
        <f t="shared" si="16"/>
        <v>5242</v>
      </c>
      <c r="AE115" s="33">
        <v>45306</v>
      </c>
      <c r="AF115" s="33">
        <v>45413</v>
      </c>
      <c r="AG115" s="33"/>
      <c r="AH115" s="33">
        <v>45337</v>
      </c>
      <c r="AI115" s="33">
        <v>45444</v>
      </c>
      <c r="AJ115" s="42"/>
      <c r="AK115" s="37" t="s">
        <v>786</v>
      </c>
      <c r="AL115" s="37" t="s">
        <v>819</v>
      </c>
      <c r="AM115" s="37" t="s">
        <v>788</v>
      </c>
      <c r="AN115" s="37" t="s">
        <v>326</v>
      </c>
      <c r="AO115" s="43">
        <v>0</v>
      </c>
      <c r="AP115" s="35">
        <v>100</v>
      </c>
      <c r="AQ115" s="35" t="s">
        <v>164</v>
      </c>
      <c r="AR115" s="49">
        <v>0.7</v>
      </c>
      <c r="AS115" s="37" t="s">
        <v>176</v>
      </c>
    </row>
    <row r="116" spans="1:45" ht="66" customHeight="1" x14ac:dyDescent="0.25">
      <c r="A116" s="46" t="s">
        <v>820</v>
      </c>
      <c r="B116" s="42">
        <v>45254</v>
      </c>
      <c r="C116" s="37">
        <v>1416</v>
      </c>
      <c r="D116" s="36" t="s">
        <v>821</v>
      </c>
      <c r="E116" s="1" t="s">
        <v>822</v>
      </c>
      <c r="F116" s="33">
        <v>45275</v>
      </c>
      <c r="G116" s="35" t="s">
        <v>823</v>
      </c>
      <c r="H116" s="37" t="s">
        <v>169</v>
      </c>
      <c r="I116" s="37" t="s">
        <v>824</v>
      </c>
      <c r="J116" s="39">
        <v>58205312</v>
      </c>
      <c r="K116" s="40">
        <f>((J116-M116)/J116)*100</f>
        <v>0</v>
      </c>
      <c r="L116" s="41">
        <f>J116-M116</f>
        <v>0</v>
      </c>
      <c r="M116" s="38">
        <v>58205312</v>
      </c>
      <c r="N116" s="41">
        <f>J116-O116</f>
        <v>0</v>
      </c>
      <c r="O116" s="38">
        <v>58205312</v>
      </c>
      <c r="P116" s="27">
        <f t="shared" si="15"/>
        <v>58205312</v>
      </c>
      <c r="Q116" s="27">
        <f t="shared" si="15"/>
        <v>58205312</v>
      </c>
      <c r="R116" s="27">
        <f>Q116/U116</f>
        <v>29.48</v>
      </c>
      <c r="S116" s="38">
        <f>Q116/U116</f>
        <v>29.48</v>
      </c>
      <c r="T116" s="38">
        <f>S116*AR116</f>
        <v>11792</v>
      </c>
      <c r="U116" s="38">
        <v>1974400</v>
      </c>
      <c r="V116" s="38">
        <v>1974400</v>
      </c>
      <c r="W116" s="38">
        <v>0</v>
      </c>
      <c r="X116" s="38">
        <v>0</v>
      </c>
      <c r="Y116" s="38">
        <v>0</v>
      </c>
      <c r="Z116" s="38">
        <f t="shared" si="10"/>
        <v>0</v>
      </c>
      <c r="AA116" s="38">
        <v>1974400</v>
      </c>
      <c r="AB116" s="38">
        <f t="shared" si="11"/>
        <v>58205312</v>
      </c>
      <c r="AC116" s="38">
        <f>U116/AR116</f>
        <v>4936</v>
      </c>
      <c r="AD116" s="38">
        <f t="shared" si="16"/>
        <v>4936</v>
      </c>
      <c r="AE116" s="33">
        <v>45323</v>
      </c>
      <c r="AF116" s="33"/>
      <c r="AG116" s="33"/>
      <c r="AH116" s="33">
        <v>45352</v>
      </c>
      <c r="AI116" s="33"/>
      <c r="AJ116" s="42"/>
      <c r="AK116" s="37" t="s">
        <v>825</v>
      </c>
      <c r="AL116" s="37" t="s">
        <v>826</v>
      </c>
      <c r="AM116" s="37" t="s">
        <v>827</v>
      </c>
      <c r="AN116" s="37" t="s">
        <v>828</v>
      </c>
      <c r="AO116" s="43">
        <v>0</v>
      </c>
      <c r="AP116" s="35">
        <v>100</v>
      </c>
      <c r="AQ116" s="35" t="s">
        <v>175</v>
      </c>
      <c r="AR116" s="44">
        <v>400</v>
      </c>
      <c r="AS116" s="37" t="s">
        <v>176</v>
      </c>
    </row>
    <row r="117" spans="1:45" ht="66" customHeight="1" x14ac:dyDescent="0.25">
      <c r="A117" s="46" t="s">
        <v>829</v>
      </c>
      <c r="B117" s="42">
        <v>45254</v>
      </c>
      <c r="C117" s="37">
        <v>1416</v>
      </c>
      <c r="D117" s="36" t="s">
        <v>830</v>
      </c>
      <c r="E117" s="1" t="s">
        <v>831</v>
      </c>
      <c r="F117" s="33">
        <v>45275</v>
      </c>
      <c r="G117" s="35" t="s">
        <v>832</v>
      </c>
      <c r="H117" s="37" t="s">
        <v>169</v>
      </c>
      <c r="I117" s="37" t="s">
        <v>833</v>
      </c>
      <c r="J117" s="39">
        <v>46219245</v>
      </c>
      <c r="K117" s="40">
        <f>((J117-M117)/J117)*100</f>
        <v>0</v>
      </c>
      <c r="L117" s="41">
        <f>J117-M117</f>
        <v>0</v>
      </c>
      <c r="M117" s="38">
        <v>46219245</v>
      </c>
      <c r="N117" s="41">
        <f>J117-O117</f>
        <v>0</v>
      </c>
      <c r="O117" s="38">
        <v>46219245</v>
      </c>
      <c r="P117" s="27">
        <f t="shared" si="15"/>
        <v>46219245</v>
      </c>
      <c r="Q117" s="27">
        <f t="shared" si="15"/>
        <v>46219245</v>
      </c>
      <c r="R117" s="27">
        <f>Q117/U117</f>
        <v>12.49</v>
      </c>
      <c r="S117" s="38">
        <f>Q117/U117</f>
        <v>12.49</v>
      </c>
      <c r="T117" s="38">
        <f>S117*AR117</f>
        <v>6245</v>
      </c>
      <c r="U117" s="38">
        <v>3700500</v>
      </c>
      <c r="V117" s="38">
        <v>3700500</v>
      </c>
      <c r="W117" s="38">
        <v>0</v>
      </c>
      <c r="X117" s="38">
        <v>0</v>
      </c>
      <c r="Y117" s="38">
        <v>0</v>
      </c>
      <c r="Z117" s="38">
        <f t="shared" si="10"/>
        <v>0</v>
      </c>
      <c r="AA117" s="38">
        <v>3700500</v>
      </c>
      <c r="AB117" s="38">
        <f t="shared" si="11"/>
        <v>46219245</v>
      </c>
      <c r="AC117" s="38">
        <f>U117/AR117</f>
        <v>7401</v>
      </c>
      <c r="AD117" s="38">
        <f t="shared" si="16"/>
        <v>7401</v>
      </c>
      <c r="AE117" s="33">
        <v>45301</v>
      </c>
      <c r="AF117" s="33"/>
      <c r="AG117" s="33"/>
      <c r="AH117" s="33">
        <v>45332</v>
      </c>
      <c r="AI117" s="33"/>
      <c r="AJ117" s="42"/>
      <c r="AK117" s="37" t="s">
        <v>834</v>
      </c>
      <c r="AL117" s="37" t="s">
        <v>835</v>
      </c>
      <c r="AM117" s="37" t="s">
        <v>836</v>
      </c>
      <c r="AN117" s="37" t="s">
        <v>813</v>
      </c>
      <c r="AO117" s="43">
        <v>0</v>
      </c>
      <c r="AP117" s="35">
        <v>100</v>
      </c>
      <c r="AQ117" s="35" t="s">
        <v>175</v>
      </c>
      <c r="AR117" s="44">
        <v>500</v>
      </c>
      <c r="AS117" s="37" t="s">
        <v>176</v>
      </c>
    </row>
    <row r="118" spans="1:45" ht="66" customHeight="1" x14ac:dyDescent="0.25">
      <c r="A118" s="46" t="s">
        <v>837</v>
      </c>
      <c r="B118" s="42">
        <v>45254</v>
      </c>
      <c r="C118" s="37">
        <v>1416</v>
      </c>
      <c r="D118" s="36" t="s">
        <v>838</v>
      </c>
      <c r="E118" s="1" t="s">
        <v>839</v>
      </c>
      <c r="F118" s="33">
        <v>45282</v>
      </c>
      <c r="G118" s="35" t="s">
        <v>840</v>
      </c>
      <c r="H118" s="37" t="s">
        <v>169</v>
      </c>
      <c r="I118" s="37" t="s">
        <v>841</v>
      </c>
      <c r="J118" s="39">
        <v>332011680</v>
      </c>
      <c r="K118" s="40">
        <f>((J118-M118)/J118)*100</f>
        <v>0</v>
      </c>
      <c r="L118" s="41">
        <f>J118-M118</f>
        <v>0</v>
      </c>
      <c r="M118" s="38">
        <v>332011680</v>
      </c>
      <c r="N118" s="41">
        <f>J118-O118</f>
        <v>0</v>
      </c>
      <c r="O118" s="38">
        <v>332011680</v>
      </c>
      <c r="P118" s="27">
        <f t="shared" si="15"/>
        <v>332011680</v>
      </c>
      <c r="Q118" s="27">
        <f t="shared" si="15"/>
        <v>332011680</v>
      </c>
      <c r="R118" s="27">
        <f>Q118/U118</f>
        <v>12.32</v>
      </c>
      <c r="S118" s="38">
        <f>Q118/U118</f>
        <v>12.32</v>
      </c>
      <c r="T118" s="38">
        <f>S118*AR118</f>
        <v>12320</v>
      </c>
      <c r="U118" s="38">
        <v>26949000</v>
      </c>
      <c r="V118" s="38">
        <v>26949000</v>
      </c>
      <c r="W118" s="38">
        <v>0</v>
      </c>
      <c r="X118" s="38">
        <v>0</v>
      </c>
      <c r="Y118" s="38">
        <v>0</v>
      </c>
      <c r="Z118" s="38">
        <f t="shared" si="10"/>
        <v>0</v>
      </c>
      <c r="AA118" s="38">
        <v>26949000</v>
      </c>
      <c r="AB118" s="38">
        <f t="shared" si="11"/>
        <v>332011680</v>
      </c>
      <c r="AC118" s="38">
        <f>U118/AR118</f>
        <v>26949</v>
      </c>
      <c r="AD118" s="38">
        <f t="shared" si="16"/>
        <v>26949</v>
      </c>
      <c r="AE118" s="33">
        <v>45301</v>
      </c>
      <c r="AF118" s="33"/>
      <c r="AG118" s="33"/>
      <c r="AH118" s="33">
        <v>45332</v>
      </c>
      <c r="AI118" s="33"/>
      <c r="AJ118" s="42"/>
      <c r="AK118" s="37" t="s">
        <v>834</v>
      </c>
      <c r="AL118" s="37" t="s">
        <v>842</v>
      </c>
      <c r="AM118" s="37" t="s">
        <v>836</v>
      </c>
      <c r="AN118" s="37" t="s">
        <v>813</v>
      </c>
      <c r="AO118" s="43">
        <v>0</v>
      </c>
      <c r="AP118" s="35">
        <v>100</v>
      </c>
      <c r="AQ118" s="35" t="s">
        <v>175</v>
      </c>
      <c r="AR118" s="44">
        <v>1000</v>
      </c>
      <c r="AS118" s="37" t="s">
        <v>176</v>
      </c>
    </row>
    <row r="119" spans="1:45" ht="66" customHeight="1" x14ac:dyDescent="0.25">
      <c r="A119" s="46" t="s">
        <v>843</v>
      </c>
      <c r="B119" s="42">
        <v>45254</v>
      </c>
      <c r="C119" s="37">
        <v>545</v>
      </c>
      <c r="D119" s="36" t="s">
        <v>844</v>
      </c>
      <c r="E119" s="1" t="s">
        <v>845</v>
      </c>
      <c r="F119" s="33">
        <v>45275</v>
      </c>
      <c r="G119" s="35" t="s">
        <v>846</v>
      </c>
      <c r="H119" s="37" t="s">
        <v>331</v>
      </c>
      <c r="I119" s="37" t="s">
        <v>847</v>
      </c>
      <c r="J119" s="39">
        <v>15491197.199999999</v>
      </c>
      <c r="K119" s="40">
        <f>((J119-M119)/J119)*100</f>
        <v>0</v>
      </c>
      <c r="L119" s="41">
        <f>J119-M119</f>
        <v>0</v>
      </c>
      <c r="M119" s="38">
        <v>15491197.199999999</v>
      </c>
      <c r="N119" s="41">
        <f>J119-O119</f>
        <v>0</v>
      </c>
      <c r="O119" s="38">
        <v>15491197.199999999</v>
      </c>
      <c r="P119" s="27">
        <v>19634191.800000001</v>
      </c>
      <c r="Q119" s="27">
        <f t="shared" si="15"/>
        <v>19634191.800000001</v>
      </c>
      <c r="R119" s="27">
        <f>Q119/U119</f>
        <v>3002.17</v>
      </c>
      <c r="S119" s="38">
        <f>Q119/U119</f>
        <v>3002.17</v>
      </c>
      <c r="T119" s="38">
        <f>S119*AR119</f>
        <v>180130.2</v>
      </c>
      <c r="U119" s="38">
        <v>6540</v>
      </c>
      <c r="V119" s="38">
        <v>6540</v>
      </c>
      <c r="W119" s="38">
        <v>0</v>
      </c>
      <c r="X119" s="38">
        <v>0</v>
      </c>
      <c r="Y119" s="38"/>
      <c r="Z119" s="38">
        <f t="shared" si="10"/>
        <v>0</v>
      </c>
      <c r="AA119" s="38"/>
      <c r="AB119" s="38">
        <f t="shared" si="11"/>
        <v>0</v>
      </c>
      <c r="AC119" s="38">
        <f>U119/AR119</f>
        <v>109</v>
      </c>
      <c r="AD119" s="38">
        <f t="shared" si="16"/>
        <v>109</v>
      </c>
      <c r="AE119" s="33">
        <v>45301</v>
      </c>
      <c r="AF119" s="33"/>
      <c r="AG119" s="33"/>
      <c r="AH119" s="33">
        <v>45332</v>
      </c>
      <c r="AI119" s="33"/>
      <c r="AJ119" s="42"/>
      <c r="AK119" s="37" t="s">
        <v>481</v>
      </c>
      <c r="AL119" s="37" t="s">
        <v>502</v>
      </c>
      <c r="AM119" s="37" t="s">
        <v>483</v>
      </c>
      <c r="AN119" s="37" t="s">
        <v>174</v>
      </c>
      <c r="AO119" s="43">
        <v>0</v>
      </c>
      <c r="AP119" s="35">
        <v>100</v>
      </c>
      <c r="AQ119" s="35" t="s">
        <v>441</v>
      </c>
      <c r="AR119" s="44">
        <v>60</v>
      </c>
      <c r="AS119" s="37" t="s">
        <v>176</v>
      </c>
    </row>
    <row r="120" spans="1:45" ht="60.75" customHeight="1" x14ac:dyDescent="0.25">
      <c r="A120" s="46" t="s">
        <v>848</v>
      </c>
      <c r="B120" s="42">
        <v>45258</v>
      </c>
      <c r="C120" s="37">
        <v>545</v>
      </c>
      <c r="D120" s="36" t="s">
        <v>849</v>
      </c>
      <c r="E120" s="1" t="s">
        <v>850</v>
      </c>
      <c r="F120" s="33">
        <v>45278</v>
      </c>
      <c r="G120" s="35" t="s">
        <v>851</v>
      </c>
      <c r="H120" s="37" t="s">
        <v>331</v>
      </c>
      <c r="I120" s="37" t="s">
        <v>480</v>
      </c>
      <c r="J120" s="39">
        <v>9798465.5999999996</v>
      </c>
      <c r="K120" s="40">
        <f>((J120-M120)/J120)*100</f>
        <v>0</v>
      </c>
      <c r="L120" s="41">
        <f>J120-M120</f>
        <v>0</v>
      </c>
      <c r="M120" s="38">
        <v>9798465.5999999996</v>
      </c>
      <c r="N120" s="41">
        <f>J120-O120</f>
        <v>0</v>
      </c>
      <c r="O120" s="38">
        <v>9798465.5999999996</v>
      </c>
      <c r="P120" s="27">
        <f t="shared" ref="P120:P126" si="17">O120</f>
        <v>9798465.5999999996</v>
      </c>
      <c r="Q120" s="27">
        <f t="shared" si="15"/>
        <v>9798465.5999999996</v>
      </c>
      <c r="R120" s="27">
        <f>Q120/U120</f>
        <v>2916.21</v>
      </c>
      <c r="S120" s="38">
        <f>Q120/U120</f>
        <v>2916.21</v>
      </c>
      <c r="T120" s="38">
        <f>S120*AR120</f>
        <v>174972.6</v>
      </c>
      <c r="U120" s="38">
        <v>3360</v>
      </c>
      <c r="V120" s="38">
        <v>3360</v>
      </c>
      <c r="W120" s="38">
        <v>0</v>
      </c>
      <c r="X120" s="38">
        <v>0</v>
      </c>
      <c r="Y120" s="38"/>
      <c r="Z120" s="38">
        <f t="shared" si="10"/>
        <v>0</v>
      </c>
      <c r="AA120" s="38"/>
      <c r="AB120" s="38">
        <f t="shared" si="11"/>
        <v>0</v>
      </c>
      <c r="AC120" s="38">
        <f>U120/AR120</f>
        <v>56</v>
      </c>
      <c r="AD120" s="38">
        <f t="shared" si="16"/>
        <v>56</v>
      </c>
      <c r="AE120" s="33">
        <v>45306</v>
      </c>
      <c r="AF120" s="33"/>
      <c r="AG120" s="33"/>
      <c r="AH120" s="33">
        <v>45332</v>
      </c>
      <c r="AI120" s="33"/>
      <c r="AJ120" s="42"/>
      <c r="AK120" s="37" t="s">
        <v>481</v>
      </c>
      <c r="AL120" s="37" t="s">
        <v>482</v>
      </c>
      <c r="AM120" s="37" t="s">
        <v>483</v>
      </c>
      <c r="AN120" s="37" t="s">
        <v>174</v>
      </c>
      <c r="AO120" s="43">
        <v>0</v>
      </c>
      <c r="AP120" s="35">
        <v>100</v>
      </c>
      <c r="AQ120" s="35" t="s">
        <v>441</v>
      </c>
      <c r="AR120" s="44">
        <v>60</v>
      </c>
      <c r="AS120" s="37" t="s">
        <v>176</v>
      </c>
    </row>
    <row r="121" spans="1:45" ht="60.75" customHeight="1" x14ac:dyDescent="0.25">
      <c r="A121" s="46" t="s">
        <v>852</v>
      </c>
      <c r="B121" s="42">
        <v>45259</v>
      </c>
      <c r="C121" s="37">
        <v>1416</v>
      </c>
      <c r="D121" s="36" t="s">
        <v>853</v>
      </c>
      <c r="E121" s="1" t="s">
        <v>854</v>
      </c>
      <c r="F121" s="33">
        <v>45279</v>
      </c>
      <c r="G121" s="35" t="s">
        <v>855</v>
      </c>
      <c r="H121" s="37" t="s">
        <v>169</v>
      </c>
      <c r="I121" s="37" t="s">
        <v>730</v>
      </c>
      <c r="J121" s="39">
        <v>225303312</v>
      </c>
      <c r="K121" s="40">
        <f>((J121-M121)/J121)*100</f>
        <v>0</v>
      </c>
      <c r="L121" s="41">
        <f>J121-M121</f>
        <v>0</v>
      </c>
      <c r="M121" s="38">
        <v>225303312</v>
      </c>
      <c r="N121" s="41">
        <f>J121-O121</f>
        <v>0</v>
      </c>
      <c r="O121" s="38">
        <v>225303312</v>
      </c>
      <c r="P121" s="27">
        <f t="shared" si="17"/>
        <v>225303312</v>
      </c>
      <c r="Q121" s="27">
        <f t="shared" si="15"/>
        <v>225303312</v>
      </c>
      <c r="R121" s="27">
        <f>Q121/U121</f>
        <v>12.68</v>
      </c>
      <c r="S121" s="38">
        <f>Q121/U121</f>
        <v>12.68</v>
      </c>
      <c r="T121" s="38">
        <f>S121*AR121</f>
        <v>15216</v>
      </c>
      <c r="U121" s="38">
        <v>17768400</v>
      </c>
      <c r="V121" s="38">
        <v>9120000</v>
      </c>
      <c r="W121" s="38">
        <v>8648400</v>
      </c>
      <c r="X121" s="38">
        <v>0</v>
      </c>
      <c r="Y121" s="38">
        <v>0</v>
      </c>
      <c r="Z121" s="38">
        <f t="shared" si="10"/>
        <v>0</v>
      </c>
      <c r="AA121" s="38">
        <f>9120000+8648400</f>
        <v>17768400</v>
      </c>
      <c r="AB121" s="38">
        <f t="shared" si="11"/>
        <v>225303312</v>
      </c>
      <c r="AC121" s="38">
        <f>U121/AR121</f>
        <v>14807</v>
      </c>
      <c r="AD121" s="38">
        <f t="shared" si="16"/>
        <v>14807</v>
      </c>
      <c r="AE121" s="33">
        <v>45352</v>
      </c>
      <c r="AF121" s="33">
        <v>45443</v>
      </c>
      <c r="AG121" s="33"/>
      <c r="AH121" s="33">
        <v>45383</v>
      </c>
      <c r="AI121" s="33">
        <v>45474</v>
      </c>
      <c r="AJ121" s="42"/>
      <c r="AK121" s="37" t="s">
        <v>731</v>
      </c>
      <c r="AL121" s="37" t="s">
        <v>732</v>
      </c>
      <c r="AM121" s="37" t="s">
        <v>733</v>
      </c>
      <c r="AN121" s="37" t="s">
        <v>174</v>
      </c>
      <c r="AO121" s="43">
        <v>0</v>
      </c>
      <c r="AP121" s="35">
        <v>100</v>
      </c>
      <c r="AQ121" s="35" t="s">
        <v>175</v>
      </c>
      <c r="AR121" s="44">
        <v>1200</v>
      </c>
      <c r="AS121" s="37" t="s">
        <v>380</v>
      </c>
    </row>
    <row r="122" spans="1:45" ht="60.75" customHeight="1" x14ac:dyDescent="0.25">
      <c r="A122" s="46" t="s">
        <v>856</v>
      </c>
      <c r="B122" s="42">
        <v>45259</v>
      </c>
      <c r="C122" s="37">
        <v>1416</v>
      </c>
      <c r="D122" s="36" t="s">
        <v>485</v>
      </c>
      <c r="E122" s="1" t="s">
        <v>857</v>
      </c>
      <c r="F122" s="33" t="s">
        <v>485</v>
      </c>
      <c r="G122" s="35" t="s">
        <v>485</v>
      </c>
      <c r="H122" s="37" t="s">
        <v>485</v>
      </c>
      <c r="I122" s="37" t="s">
        <v>858</v>
      </c>
      <c r="J122" s="39">
        <v>11989016.76</v>
      </c>
      <c r="K122" s="40">
        <f>((J122-M122)/J122)*100</f>
        <v>100</v>
      </c>
      <c r="L122" s="41">
        <f>J122-M122</f>
        <v>11989016.76</v>
      </c>
      <c r="M122" s="38"/>
      <c r="N122" s="41">
        <f>J122-O122</f>
        <v>11989016.76</v>
      </c>
      <c r="O122" s="38">
        <v>0</v>
      </c>
      <c r="P122" s="27">
        <f t="shared" si="17"/>
        <v>0</v>
      </c>
      <c r="Q122" s="27">
        <f t="shared" si="15"/>
        <v>0</v>
      </c>
      <c r="R122" s="27" t="e">
        <f>Q122/U122</f>
        <v>#DIV/0!</v>
      </c>
      <c r="S122" s="38" t="e">
        <f>Q122/U122</f>
        <v>#DIV/0!</v>
      </c>
      <c r="T122" s="38" t="e">
        <f>S122*AR122</f>
        <v>#DIV/0!</v>
      </c>
      <c r="U122" s="38">
        <v>0</v>
      </c>
      <c r="V122" s="38">
        <v>0</v>
      </c>
      <c r="W122" s="38">
        <v>0</v>
      </c>
      <c r="X122" s="38">
        <v>0</v>
      </c>
      <c r="Y122" s="38"/>
      <c r="Z122" s="38" t="e">
        <f t="shared" si="10"/>
        <v>#DIV/0!</v>
      </c>
      <c r="AA122" s="38"/>
      <c r="AB122" s="38" t="e">
        <f t="shared" si="11"/>
        <v>#DIV/0!</v>
      </c>
      <c r="AC122" s="38" t="e">
        <f>U122/AR122</f>
        <v>#DIV/0!</v>
      </c>
      <c r="AD122" s="38" t="e">
        <f t="shared" si="16"/>
        <v>#DIV/0!</v>
      </c>
      <c r="AE122" s="33">
        <v>45413</v>
      </c>
      <c r="AF122" s="33"/>
      <c r="AG122" s="33"/>
      <c r="AH122" s="33"/>
      <c r="AI122" s="33"/>
      <c r="AJ122" s="42"/>
      <c r="AK122" s="37"/>
      <c r="AL122" s="37"/>
      <c r="AM122" s="37"/>
      <c r="AN122" s="37"/>
      <c r="AO122" s="43"/>
      <c r="AP122" s="35"/>
      <c r="AQ122" s="35"/>
      <c r="AR122" s="44"/>
      <c r="AS122" s="37" t="s">
        <v>485</v>
      </c>
    </row>
    <row r="123" spans="1:45" ht="60.75" customHeight="1" x14ac:dyDescent="0.25">
      <c r="A123" s="46" t="s">
        <v>859</v>
      </c>
      <c r="B123" s="42">
        <v>45259</v>
      </c>
      <c r="C123" s="37" t="s">
        <v>486</v>
      </c>
      <c r="D123" s="36" t="s">
        <v>860</v>
      </c>
      <c r="E123" s="1" t="s">
        <v>861</v>
      </c>
      <c r="F123" s="33">
        <v>45282</v>
      </c>
      <c r="G123" s="35" t="s">
        <v>862</v>
      </c>
      <c r="H123" s="37" t="s">
        <v>863</v>
      </c>
      <c r="I123" s="37" t="s">
        <v>864</v>
      </c>
      <c r="J123" s="39">
        <v>270804811.19999999</v>
      </c>
      <c r="K123" s="40">
        <f>((J123-M123)/J123)*100</f>
        <v>0</v>
      </c>
      <c r="L123" s="41">
        <f>J123-M123</f>
        <v>0</v>
      </c>
      <c r="M123" s="38">
        <v>270804811.19999999</v>
      </c>
      <c r="N123" s="41">
        <f>J123-O123</f>
        <v>0</v>
      </c>
      <c r="O123" s="38">
        <v>270804811.19999999</v>
      </c>
      <c r="P123" s="27">
        <f t="shared" si="17"/>
        <v>270804811.19999999</v>
      </c>
      <c r="Q123" s="27">
        <f t="shared" si="15"/>
        <v>270804811.19999999</v>
      </c>
      <c r="R123" s="27">
        <f>Q123/U123</f>
        <v>204.82</v>
      </c>
      <c r="S123" s="38">
        <f>Q123/U123</f>
        <v>204.82</v>
      </c>
      <c r="T123" s="38">
        <f>S123*AR123</f>
        <v>6144.5999999999995</v>
      </c>
      <c r="U123" s="38">
        <v>1322160</v>
      </c>
      <c r="V123" s="38">
        <v>1322160</v>
      </c>
      <c r="W123" s="38">
        <v>0</v>
      </c>
      <c r="X123" s="38">
        <v>0</v>
      </c>
      <c r="Y123" s="38"/>
      <c r="Z123" s="38">
        <f t="shared" si="10"/>
        <v>0</v>
      </c>
      <c r="AA123" s="38"/>
      <c r="AB123" s="38">
        <f t="shared" si="11"/>
        <v>0</v>
      </c>
      <c r="AC123" s="38">
        <f>U123/AR123</f>
        <v>44072</v>
      </c>
      <c r="AD123" s="38">
        <f t="shared" si="16"/>
        <v>44072</v>
      </c>
      <c r="AE123" s="33">
        <v>45323</v>
      </c>
      <c r="AF123" s="33"/>
      <c r="AG123" s="33"/>
      <c r="AH123" s="33">
        <v>45352</v>
      </c>
      <c r="AI123" s="33"/>
      <c r="AJ123" s="42"/>
      <c r="AK123" s="37" t="s">
        <v>865</v>
      </c>
      <c r="AL123" s="37" t="s">
        <v>866</v>
      </c>
      <c r="AM123" s="37" t="s">
        <v>867</v>
      </c>
      <c r="AN123" s="37" t="s">
        <v>50</v>
      </c>
      <c r="AO123" s="43">
        <v>100</v>
      </c>
      <c r="AP123" s="35">
        <v>0</v>
      </c>
      <c r="AQ123" s="35" t="s">
        <v>441</v>
      </c>
      <c r="AR123" s="44">
        <v>30</v>
      </c>
      <c r="AS123" s="37" t="s">
        <v>176</v>
      </c>
    </row>
    <row r="124" spans="1:45" ht="60.75" customHeight="1" x14ac:dyDescent="0.25">
      <c r="A124" s="46" t="s">
        <v>868</v>
      </c>
      <c r="B124" s="42">
        <v>45259</v>
      </c>
      <c r="C124" s="37" t="s">
        <v>486</v>
      </c>
      <c r="D124" s="36" t="s">
        <v>869</v>
      </c>
      <c r="E124" s="1" t="s">
        <v>870</v>
      </c>
      <c r="F124" s="33">
        <v>45282</v>
      </c>
      <c r="G124" s="35" t="s">
        <v>871</v>
      </c>
      <c r="H124" s="37" t="s">
        <v>863</v>
      </c>
      <c r="I124" s="37" t="s">
        <v>864</v>
      </c>
      <c r="J124" s="39">
        <v>204885542.40000001</v>
      </c>
      <c r="K124" s="40">
        <f>((J124-M124)/J124)*100</f>
        <v>0</v>
      </c>
      <c r="L124" s="41">
        <f>J124-M124</f>
        <v>0</v>
      </c>
      <c r="M124" s="38">
        <v>204885542.40000001</v>
      </c>
      <c r="N124" s="41">
        <f>J124-O124</f>
        <v>0</v>
      </c>
      <c r="O124" s="38">
        <v>204885542.40000001</v>
      </c>
      <c r="P124" s="27">
        <f t="shared" si="17"/>
        <v>204885542.40000001</v>
      </c>
      <c r="Q124" s="27">
        <f t="shared" si="15"/>
        <v>204885542.40000001</v>
      </c>
      <c r="R124" s="27">
        <f>Q124/U124</f>
        <v>204.82</v>
      </c>
      <c r="S124" s="38">
        <f>Q124/U124</f>
        <v>204.82</v>
      </c>
      <c r="T124" s="38">
        <f>S124*AR124</f>
        <v>6144.5999999999995</v>
      </c>
      <c r="U124" s="38">
        <v>1000320</v>
      </c>
      <c r="V124" s="38">
        <v>1000320</v>
      </c>
      <c r="W124" s="38">
        <v>0</v>
      </c>
      <c r="X124" s="38">
        <v>0</v>
      </c>
      <c r="Y124" s="38"/>
      <c r="Z124" s="38">
        <f t="shared" si="10"/>
        <v>0</v>
      </c>
      <c r="AA124" s="38"/>
      <c r="AB124" s="38">
        <f t="shared" si="11"/>
        <v>0</v>
      </c>
      <c r="AC124" s="38">
        <f>U124/AR124</f>
        <v>33344</v>
      </c>
      <c r="AD124" s="38">
        <f t="shared" si="16"/>
        <v>33344</v>
      </c>
      <c r="AE124" s="33">
        <v>45323</v>
      </c>
      <c r="AF124" s="33"/>
      <c r="AG124" s="33"/>
      <c r="AH124" s="33">
        <v>45352</v>
      </c>
      <c r="AI124" s="33"/>
      <c r="AJ124" s="42"/>
      <c r="AK124" s="37" t="s">
        <v>865</v>
      </c>
      <c r="AL124" s="37" t="s">
        <v>866</v>
      </c>
      <c r="AM124" s="37" t="s">
        <v>867</v>
      </c>
      <c r="AN124" s="37" t="s">
        <v>50</v>
      </c>
      <c r="AO124" s="43">
        <v>100</v>
      </c>
      <c r="AP124" s="35">
        <v>0</v>
      </c>
      <c r="AQ124" s="35" t="s">
        <v>441</v>
      </c>
      <c r="AR124" s="44">
        <v>30</v>
      </c>
      <c r="AS124" s="37" t="s">
        <v>176</v>
      </c>
    </row>
    <row r="125" spans="1:45" ht="60.75" customHeight="1" x14ac:dyDescent="0.25">
      <c r="A125" s="46" t="s">
        <v>872</v>
      </c>
      <c r="B125" s="42">
        <v>45264</v>
      </c>
      <c r="C125" s="37">
        <v>1416</v>
      </c>
      <c r="D125" s="36" t="s">
        <v>873</v>
      </c>
      <c r="E125" s="1" t="s">
        <v>874</v>
      </c>
      <c r="F125" s="33">
        <v>45285</v>
      </c>
      <c r="G125" s="35" t="s">
        <v>875</v>
      </c>
      <c r="H125" s="37" t="s">
        <v>291</v>
      </c>
      <c r="I125" s="37" t="s">
        <v>876</v>
      </c>
      <c r="J125" s="39">
        <v>10021808.16</v>
      </c>
      <c r="K125" s="40">
        <f>((J125-M125)/J125)*100</f>
        <v>87.736469303958415</v>
      </c>
      <c r="L125" s="41">
        <f>J125-M125</f>
        <v>8792780.6400000006</v>
      </c>
      <c r="M125" s="38">
        <v>1229027.52</v>
      </c>
      <c r="N125" s="41">
        <f>J125-O125</f>
        <v>8792780.6400000006</v>
      </c>
      <c r="O125" s="38">
        <v>1229027.52</v>
      </c>
      <c r="P125" s="27">
        <f t="shared" si="17"/>
        <v>1229027.52</v>
      </c>
      <c r="Q125" s="27">
        <f t="shared" si="15"/>
        <v>1229027.52</v>
      </c>
      <c r="R125" s="27">
        <f>Q125/U125</f>
        <v>98.86</v>
      </c>
      <c r="S125" s="38">
        <f>Q125/U125</f>
        <v>98.86</v>
      </c>
      <c r="T125" s="38">
        <f>S125*AR125</f>
        <v>2076.06</v>
      </c>
      <c r="U125" s="38">
        <v>12432</v>
      </c>
      <c r="V125" s="38">
        <v>12432</v>
      </c>
      <c r="W125" s="38">
        <v>0</v>
      </c>
      <c r="X125" s="38">
        <v>0</v>
      </c>
      <c r="Y125" s="38">
        <v>0</v>
      </c>
      <c r="Z125" s="38">
        <f t="shared" si="10"/>
        <v>0</v>
      </c>
      <c r="AA125" s="38">
        <v>12432</v>
      </c>
      <c r="AB125" s="38">
        <f t="shared" si="11"/>
        <v>1229027.52</v>
      </c>
      <c r="AC125" s="38">
        <f>U125/AR125</f>
        <v>592</v>
      </c>
      <c r="AD125" s="38">
        <f t="shared" si="16"/>
        <v>592</v>
      </c>
      <c r="AE125" s="33">
        <v>45352</v>
      </c>
      <c r="AF125" s="33"/>
      <c r="AG125" s="33"/>
      <c r="AH125" s="33">
        <v>45383</v>
      </c>
      <c r="AI125" s="33"/>
      <c r="AJ125" s="42"/>
      <c r="AK125" s="37" t="s">
        <v>877</v>
      </c>
      <c r="AL125" s="37" t="s">
        <v>878</v>
      </c>
      <c r="AM125" s="37" t="s">
        <v>879</v>
      </c>
      <c r="AN125" s="37" t="s">
        <v>50</v>
      </c>
      <c r="AO125" s="43">
        <v>100</v>
      </c>
      <c r="AP125" s="35">
        <v>0</v>
      </c>
      <c r="AQ125" s="35" t="s">
        <v>441</v>
      </c>
      <c r="AR125" s="44">
        <v>21</v>
      </c>
      <c r="AS125" s="37" t="s">
        <v>176</v>
      </c>
    </row>
    <row r="126" spans="1:45" ht="60.75" customHeight="1" x14ac:dyDescent="0.25">
      <c r="A126" s="46" t="s">
        <v>880</v>
      </c>
      <c r="B126" s="42">
        <v>45264</v>
      </c>
      <c r="C126" s="37" t="s">
        <v>486</v>
      </c>
      <c r="D126" s="36" t="s">
        <v>881</v>
      </c>
      <c r="E126" s="1" t="s">
        <v>882</v>
      </c>
      <c r="F126" s="33">
        <v>45285</v>
      </c>
      <c r="G126" s="35" t="s">
        <v>883</v>
      </c>
      <c r="H126" s="37" t="s">
        <v>138</v>
      </c>
      <c r="I126" s="37" t="s">
        <v>884</v>
      </c>
      <c r="J126" s="39">
        <v>299991938.39999998</v>
      </c>
      <c r="K126" s="40">
        <f>((J126-M126)/J126)*100</f>
        <v>0</v>
      </c>
      <c r="L126" s="41">
        <f>J126-M126</f>
        <v>0</v>
      </c>
      <c r="M126" s="38">
        <v>299991938.39999998</v>
      </c>
      <c r="N126" s="41">
        <f>J126-O126</f>
        <v>0</v>
      </c>
      <c r="O126" s="38">
        <v>299991938.39999998</v>
      </c>
      <c r="P126" s="27">
        <f t="shared" si="17"/>
        <v>299991938.39999998</v>
      </c>
      <c r="Q126" s="27">
        <f t="shared" si="15"/>
        <v>299991938.39999998</v>
      </c>
      <c r="R126" s="27">
        <f>Q126/U126</f>
        <v>2248.9499999999998</v>
      </c>
      <c r="S126" s="38">
        <f>Q126/U126</f>
        <v>2248.9499999999998</v>
      </c>
      <c r="T126" s="38">
        <f>S126*AR126</f>
        <v>188911.8</v>
      </c>
      <c r="U126" s="38">
        <v>133392</v>
      </c>
      <c r="V126" s="53">
        <v>76175.137799999997</v>
      </c>
      <c r="W126" s="53">
        <v>57216.862200000003</v>
      </c>
      <c r="X126" s="38">
        <v>0</v>
      </c>
      <c r="Y126" s="38"/>
      <c r="Z126" s="38">
        <f t="shared" si="10"/>
        <v>0</v>
      </c>
      <c r="AA126" s="38"/>
      <c r="AB126" s="38">
        <f t="shared" si="11"/>
        <v>0</v>
      </c>
      <c r="AC126" s="38">
        <f>U126/AR126</f>
        <v>1588</v>
      </c>
      <c r="AD126" s="38">
        <f t="shared" si="16"/>
        <v>1588</v>
      </c>
      <c r="AE126" s="33">
        <v>45306</v>
      </c>
      <c r="AF126" s="33">
        <v>45366</v>
      </c>
      <c r="AG126" s="33"/>
      <c r="AH126" s="33">
        <v>45337</v>
      </c>
      <c r="AI126" s="33">
        <v>45397</v>
      </c>
      <c r="AJ126" s="42"/>
      <c r="AK126" s="37" t="s">
        <v>631</v>
      </c>
      <c r="AL126" s="37" t="s">
        <v>885</v>
      </c>
      <c r="AM126" s="37" t="s">
        <v>886</v>
      </c>
      <c r="AN126" s="37" t="s">
        <v>143</v>
      </c>
      <c r="AO126" s="43">
        <v>0</v>
      </c>
      <c r="AP126" s="35">
        <v>100</v>
      </c>
      <c r="AQ126" s="35" t="s">
        <v>441</v>
      </c>
      <c r="AR126" s="44">
        <v>84</v>
      </c>
      <c r="AS126" s="37" t="s">
        <v>887</v>
      </c>
    </row>
    <row r="127" spans="1:45" ht="60.75" customHeight="1" x14ac:dyDescent="0.25">
      <c r="A127" s="46" t="s">
        <v>888</v>
      </c>
      <c r="B127" s="42">
        <v>45264</v>
      </c>
      <c r="C127" s="37">
        <v>1416</v>
      </c>
      <c r="D127" s="36" t="s">
        <v>889</v>
      </c>
      <c r="E127" s="1" t="s">
        <v>890</v>
      </c>
      <c r="F127" s="33">
        <v>45285</v>
      </c>
      <c r="G127" s="35" t="s">
        <v>891</v>
      </c>
      <c r="H127" s="37" t="s">
        <v>138</v>
      </c>
      <c r="I127" s="37" t="s">
        <v>892</v>
      </c>
      <c r="J127" s="39">
        <v>24725220.030000001</v>
      </c>
      <c r="K127" s="40">
        <f>((J127-M127)/J127)*100</f>
        <v>0.499999999393338</v>
      </c>
      <c r="L127" s="41">
        <f>J127-M127</f>
        <v>123626.10000000149</v>
      </c>
      <c r="M127" s="38">
        <v>24601593.93</v>
      </c>
      <c r="N127" s="41">
        <f>J127-O127</f>
        <v>123626.10000000149</v>
      </c>
      <c r="O127" s="38">
        <v>24601593.93</v>
      </c>
      <c r="P127" s="27">
        <v>24601583.789999999</v>
      </c>
      <c r="Q127" s="27">
        <f t="shared" ref="Q127:Q138" si="18">P127</f>
        <v>24601583.789999999</v>
      </c>
      <c r="R127" s="27">
        <f>Q127/U127</f>
        <v>10554.09</v>
      </c>
      <c r="S127" s="38">
        <f>Q127/U127</f>
        <v>10554.09</v>
      </c>
      <c r="T127" s="38">
        <f>S127*AR127</f>
        <v>221635.89</v>
      </c>
      <c r="U127" s="38">
        <v>2331</v>
      </c>
      <c r="V127" s="38">
        <v>2331</v>
      </c>
      <c r="W127" s="38">
        <v>0</v>
      </c>
      <c r="X127" s="38">
        <v>0</v>
      </c>
      <c r="Y127" s="38">
        <v>0</v>
      </c>
      <c r="Z127" s="38">
        <f t="shared" si="10"/>
        <v>0</v>
      </c>
      <c r="AA127" s="38">
        <v>2331</v>
      </c>
      <c r="AB127" s="38">
        <f t="shared" si="11"/>
        <v>24601583.789999999</v>
      </c>
      <c r="AC127" s="38">
        <f>U127/AR127</f>
        <v>111</v>
      </c>
      <c r="AD127" s="38">
        <f t="shared" si="16"/>
        <v>111</v>
      </c>
      <c r="AE127" s="33">
        <v>45352</v>
      </c>
      <c r="AF127" s="33"/>
      <c r="AG127" s="33"/>
      <c r="AH127" s="33">
        <v>45017</v>
      </c>
      <c r="AI127" s="33"/>
      <c r="AJ127" s="42"/>
      <c r="AK127" s="37" t="s">
        <v>893</v>
      </c>
      <c r="AL127" s="37" t="s">
        <v>894</v>
      </c>
      <c r="AM127" s="37" t="s">
        <v>895</v>
      </c>
      <c r="AN127" s="37" t="s">
        <v>50</v>
      </c>
      <c r="AO127" s="43">
        <v>100</v>
      </c>
      <c r="AP127" s="35">
        <v>0</v>
      </c>
      <c r="AQ127" s="35" t="s">
        <v>441</v>
      </c>
      <c r="AR127" s="44">
        <v>21</v>
      </c>
      <c r="AS127" s="37" t="s">
        <v>176</v>
      </c>
    </row>
    <row r="128" spans="1:45" ht="60.75" customHeight="1" x14ac:dyDescent="0.25">
      <c r="A128" s="46" t="s">
        <v>896</v>
      </c>
      <c r="B128" s="42">
        <v>45264</v>
      </c>
      <c r="C128" s="37">
        <v>1416</v>
      </c>
      <c r="D128" s="36" t="s">
        <v>485</v>
      </c>
      <c r="E128" s="1" t="s">
        <v>897</v>
      </c>
      <c r="F128" s="33" t="s">
        <v>485</v>
      </c>
      <c r="G128" s="35" t="s">
        <v>485</v>
      </c>
      <c r="H128" s="37" t="s">
        <v>485</v>
      </c>
      <c r="I128" s="37" t="s">
        <v>898</v>
      </c>
      <c r="J128" s="39">
        <v>1009470</v>
      </c>
      <c r="K128" s="40">
        <f>((J128-M128)/J128)*100</f>
        <v>100</v>
      </c>
      <c r="L128" s="41">
        <f>J128-M128</f>
        <v>1009470</v>
      </c>
      <c r="M128" s="38"/>
      <c r="N128" s="41">
        <f>J128-O128</f>
        <v>1009470</v>
      </c>
      <c r="O128" s="38">
        <v>0</v>
      </c>
      <c r="P128" s="27">
        <f>O128</f>
        <v>0</v>
      </c>
      <c r="Q128" s="27">
        <f t="shared" si="18"/>
        <v>0</v>
      </c>
      <c r="R128" s="27" t="e">
        <f>Q128/U128</f>
        <v>#DIV/0!</v>
      </c>
      <c r="S128" s="38" t="e">
        <f>Q128/U128</f>
        <v>#DIV/0!</v>
      </c>
      <c r="T128" s="38" t="e">
        <f>S128*AR128</f>
        <v>#DIV/0!</v>
      </c>
      <c r="U128" s="38">
        <v>0</v>
      </c>
      <c r="V128" s="38">
        <v>0</v>
      </c>
      <c r="W128" s="38">
        <v>0</v>
      </c>
      <c r="X128" s="38">
        <v>0</v>
      </c>
      <c r="Y128" s="38"/>
      <c r="Z128" s="38" t="e">
        <f t="shared" si="10"/>
        <v>#DIV/0!</v>
      </c>
      <c r="AA128" s="38"/>
      <c r="AB128" s="38" t="e">
        <f t="shared" si="11"/>
        <v>#DIV/0!</v>
      </c>
      <c r="AC128" s="38" t="e">
        <f>U128/AR128</f>
        <v>#DIV/0!</v>
      </c>
      <c r="AD128" s="38" t="e">
        <f t="shared" si="16"/>
        <v>#DIV/0!</v>
      </c>
      <c r="AE128" s="33">
        <v>45352</v>
      </c>
      <c r="AF128" s="33"/>
      <c r="AG128" s="33"/>
      <c r="AH128" s="33"/>
      <c r="AI128" s="33"/>
      <c r="AJ128" s="42"/>
      <c r="AK128" s="37"/>
      <c r="AL128" s="37"/>
      <c r="AM128" s="37"/>
      <c r="AN128" s="37"/>
      <c r="AO128" s="43"/>
      <c r="AP128" s="35"/>
      <c r="AQ128" s="35"/>
      <c r="AR128" s="44"/>
      <c r="AS128" s="37" t="s">
        <v>485</v>
      </c>
    </row>
    <row r="129" spans="1:45" ht="32.450000000000003" customHeight="1" x14ac:dyDescent="0.25">
      <c r="A129" s="46" t="s">
        <v>899</v>
      </c>
      <c r="B129" s="42">
        <v>45268</v>
      </c>
      <c r="C129" s="37">
        <v>1416</v>
      </c>
      <c r="D129" s="36" t="s">
        <v>900</v>
      </c>
      <c r="E129" s="1" t="s">
        <v>901</v>
      </c>
      <c r="F129" s="33">
        <v>45289</v>
      </c>
      <c r="G129" s="35" t="s">
        <v>902</v>
      </c>
      <c r="H129" s="37" t="s">
        <v>219</v>
      </c>
      <c r="I129" s="37" t="s">
        <v>903</v>
      </c>
      <c r="J129" s="39">
        <v>14412600</v>
      </c>
      <c r="K129" s="40">
        <f>((J129-M129)/J129)*100</f>
        <v>0</v>
      </c>
      <c r="L129" s="41">
        <f>J129-M129</f>
        <v>0</v>
      </c>
      <c r="M129" s="38">
        <v>14412600</v>
      </c>
      <c r="N129" s="41">
        <f>J129-O129</f>
        <v>0</v>
      </c>
      <c r="O129" s="38">
        <v>14412600</v>
      </c>
      <c r="P129" s="27">
        <f>O129</f>
        <v>14412600</v>
      </c>
      <c r="Q129" s="27">
        <f t="shared" si="18"/>
        <v>14412600</v>
      </c>
      <c r="R129" s="27">
        <f>Q129/U129</f>
        <v>7.85</v>
      </c>
      <c r="S129" s="38">
        <f>Q129/U129</f>
        <v>7.85</v>
      </c>
      <c r="T129" s="38">
        <f>S129*AR129</f>
        <v>3925</v>
      </c>
      <c r="U129" s="38">
        <v>1836000</v>
      </c>
      <c r="V129" s="38">
        <v>1836000</v>
      </c>
      <c r="W129" s="38">
        <v>0</v>
      </c>
      <c r="X129" s="38">
        <v>0</v>
      </c>
      <c r="Y129" s="38">
        <v>613000</v>
      </c>
      <c r="Z129" s="38">
        <f t="shared" si="10"/>
        <v>4812050</v>
      </c>
      <c r="AA129" s="38">
        <v>1223000</v>
      </c>
      <c r="AB129" s="38">
        <f t="shared" si="11"/>
        <v>9600550</v>
      </c>
      <c r="AC129" s="38">
        <f>U129/AR129</f>
        <v>3672</v>
      </c>
      <c r="AD129" s="38">
        <f t="shared" si="16"/>
        <v>3672</v>
      </c>
      <c r="AE129" s="33">
        <v>45383</v>
      </c>
      <c r="AF129" s="33"/>
      <c r="AG129" s="33"/>
      <c r="AH129" s="33">
        <v>45413</v>
      </c>
      <c r="AI129" s="33"/>
      <c r="AJ129" s="42"/>
      <c r="AK129" s="37" t="s">
        <v>904</v>
      </c>
      <c r="AL129" s="37" t="s">
        <v>905</v>
      </c>
      <c r="AM129" s="37" t="s">
        <v>906</v>
      </c>
      <c r="AN129" s="37" t="s">
        <v>50</v>
      </c>
      <c r="AO129" s="43">
        <v>100</v>
      </c>
      <c r="AP129" s="35">
        <v>0</v>
      </c>
      <c r="AQ129" s="35" t="s">
        <v>175</v>
      </c>
      <c r="AR129" s="44">
        <v>500</v>
      </c>
      <c r="AS129" s="37" t="s">
        <v>176</v>
      </c>
    </row>
    <row r="130" spans="1:45" ht="42.6" customHeight="1" x14ac:dyDescent="0.25">
      <c r="A130" s="46" t="s">
        <v>907</v>
      </c>
      <c r="B130" s="42">
        <v>45268</v>
      </c>
      <c r="C130" s="37">
        <v>1416</v>
      </c>
      <c r="D130" s="36" t="s">
        <v>908</v>
      </c>
      <c r="E130" s="1" t="s">
        <v>909</v>
      </c>
      <c r="F130" s="33">
        <v>45302</v>
      </c>
      <c r="G130" s="35" t="s">
        <v>910</v>
      </c>
      <c r="H130" s="37" t="s">
        <v>169</v>
      </c>
      <c r="I130" s="37" t="s">
        <v>911</v>
      </c>
      <c r="J130" s="39">
        <v>312035112</v>
      </c>
      <c r="K130" s="40">
        <f>((J130-M130)/J130)*100</f>
        <v>0</v>
      </c>
      <c r="L130" s="41">
        <f>J130-M130</f>
        <v>0</v>
      </c>
      <c r="M130" s="38">
        <v>312035112</v>
      </c>
      <c r="N130" s="41">
        <f>J130-O130</f>
        <v>0</v>
      </c>
      <c r="O130" s="38">
        <v>312035112</v>
      </c>
      <c r="P130" s="27">
        <f>O130</f>
        <v>312035112</v>
      </c>
      <c r="Q130" s="27">
        <f t="shared" si="18"/>
        <v>312035112</v>
      </c>
      <c r="R130" s="27">
        <f>Q130/U130</f>
        <v>12.84</v>
      </c>
      <c r="S130" s="38">
        <f>Q130/U130</f>
        <v>12.84</v>
      </c>
      <c r="T130" s="38">
        <f>S130*AR130</f>
        <v>30816</v>
      </c>
      <c r="U130" s="38">
        <v>24301800</v>
      </c>
      <c r="V130" s="38">
        <v>11232000</v>
      </c>
      <c r="W130" s="38">
        <v>13069800</v>
      </c>
      <c r="X130" s="38">
        <v>0</v>
      </c>
      <c r="Y130" s="38">
        <f>3988800+5845800</f>
        <v>9834600</v>
      </c>
      <c r="Z130" s="38">
        <f t="shared" si="10"/>
        <v>126276264</v>
      </c>
      <c r="AA130" s="38">
        <f>7243200+7224000</f>
        <v>14467200</v>
      </c>
      <c r="AB130" s="38">
        <f t="shared" si="11"/>
        <v>185758848</v>
      </c>
      <c r="AC130" s="38">
        <f>U130/AR130</f>
        <v>10125.75</v>
      </c>
      <c r="AD130" s="38">
        <f t="shared" si="16"/>
        <v>10126</v>
      </c>
      <c r="AE130" s="33">
        <v>45352</v>
      </c>
      <c r="AF130" s="33">
        <v>45444</v>
      </c>
      <c r="AG130" s="33"/>
      <c r="AH130" s="33">
        <v>45383</v>
      </c>
      <c r="AI130" s="33">
        <v>45474</v>
      </c>
      <c r="AJ130" s="42"/>
      <c r="AK130" s="37" t="s">
        <v>731</v>
      </c>
      <c r="AL130" s="37" t="s">
        <v>912</v>
      </c>
      <c r="AM130" s="37" t="s">
        <v>733</v>
      </c>
      <c r="AN130" s="37" t="s">
        <v>174</v>
      </c>
      <c r="AO130" s="43">
        <v>0</v>
      </c>
      <c r="AP130" s="35">
        <v>100</v>
      </c>
      <c r="AQ130" s="35" t="s">
        <v>175</v>
      </c>
      <c r="AR130" s="44">
        <v>2400</v>
      </c>
      <c r="AS130" s="37" t="s">
        <v>380</v>
      </c>
    </row>
    <row r="131" spans="1:45" ht="41.45" customHeight="1" x14ac:dyDescent="0.25">
      <c r="A131" s="46" t="s">
        <v>913</v>
      </c>
      <c r="B131" s="42">
        <v>45268</v>
      </c>
      <c r="C131" s="37">
        <v>1416</v>
      </c>
      <c r="D131" s="36" t="s">
        <v>914</v>
      </c>
      <c r="E131" s="1" t="s">
        <v>915</v>
      </c>
      <c r="F131" s="33">
        <v>45300</v>
      </c>
      <c r="G131" s="35" t="s">
        <v>916</v>
      </c>
      <c r="H131" s="37" t="s">
        <v>291</v>
      </c>
      <c r="I131" s="37" t="s">
        <v>917</v>
      </c>
      <c r="J131" s="39">
        <v>26867326.5</v>
      </c>
      <c r="K131" s="40">
        <f>((J131-M131)/J131)*100</f>
        <v>0.49999999069501372</v>
      </c>
      <c r="L131" s="41">
        <f>J131-M131</f>
        <v>134336.62999999896</v>
      </c>
      <c r="M131" s="38">
        <v>26732989.870000001</v>
      </c>
      <c r="N131" s="41">
        <f>J131-O131</f>
        <v>134336.62999999896</v>
      </c>
      <c r="O131" s="38">
        <v>26732989.870000001</v>
      </c>
      <c r="P131" s="27">
        <v>26723938.5</v>
      </c>
      <c r="Q131" s="27">
        <f t="shared" si="18"/>
        <v>26723938.5</v>
      </c>
      <c r="R131" s="27">
        <f>Q131/U131</f>
        <v>14.91</v>
      </c>
      <c r="S131" s="38">
        <f>Q131/U131</f>
        <v>14.91</v>
      </c>
      <c r="T131" s="38">
        <f>S131*AR131</f>
        <v>745.5</v>
      </c>
      <c r="U131" s="38">
        <v>1792350</v>
      </c>
      <c r="V131" s="38">
        <v>1792350</v>
      </c>
      <c r="W131" s="38">
        <v>0</v>
      </c>
      <c r="X131" s="38">
        <v>0</v>
      </c>
      <c r="Y131" s="38">
        <v>57100</v>
      </c>
      <c r="Z131" s="38">
        <f t="shared" si="10"/>
        <v>851361</v>
      </c>
      <c r="AA131" s="38">
        <v>1735250</v>
      </c>
      <c r="AB131" s="38">
        <f t="shared" si="11"/>
        <v>25872577.5</v>
      </c>
      <c r="AC131" s="38">
        <f>U131/AR131</f>
        <v>35847</v>
      </c>
      <c r="AD131" s="38">
        <f t="shared" si="16"/>
        <v>35847</v>
      </c>
      <c r="AE131" s="33">
        <v>45323</v>
      </c>
      <c r="AF131" s="33"/>
      <c r="AG131" s="33"/>
      <c r="AH131" s="33">
        <v>45352</v>
      </c>
      <c r="AI131" s="33"/>
      <c r="AJ131" s="42"/>
      <c r="AK131" s="37" t="s">
        <v>918</v>
      </c>
      <c r="AL131" s="37" t="s">
        <v>919</v>
      </c>
      <c r="AM131" s="37" t="s">
        <v>920</v>
      </c>
      <c r="AN131" s="37" t="s">
        <v>50</v>
      </c>
      <c r="AO131" s="43">
        <v>100</v>
      </c>
      <c r="AP131" s="35">
        <v>0</v>
      </c>
      <c r="AQ131" s="35" t="s">
        <v>441</v>
      </c>
      <c r="AR131" s="44">
        <v>50</v>
      </c>
      <c r="AS131" s="37" t="s">
        <v>176</v>
      </c>
    </row>
    <row r="132" spans="1:45" ht="42" customHeight="1" x14ac:dyDescent="0.25">
      <c r="A132" s="46" t="s">
        <v>921</v>
      </c>
      <c r="B132" s="42">
        <v>45264</v>
      </c>
      <c r="C132" s="37">
        <v>1416</v>
      </c>
      <c r="D132" s="36" t="s">
        <v>485</v>
      </c>
      <c r="E132" s="1" t="s">
        <v>922</v>
      </c>
      <c r="F132" s="33" t="s">
        <v>485</v>
      </c>
      <c r="G132" s="35" t="s">
        <v>485</v>
      </c>
      <c r="H132" s="37" t="s">
        <v>485</v>
      </c>
      <c r="I132" s="37" t="s">
        <v>923</v>
      </c>
      <c r="J132" s="39">
        <v>90409106.969999999</v>
      </c>
      <c r="K132" s="40">
        <f>((J132-M132)/J132)*100</f>
        <v>100</v>
      </c>
      <c r="L132" s="41">
        <f>J132-M132</f>
        <v>90409106.969999999</v>
      </c>
      <c r="M132" s="38"/>
      <c r="N132" s="41">
        <f>J132-O132</f>
        <v>90409106.969999999</v>
      </c>
      <c r="O132" s="38">
        <v>0</v>
      </c>
      <c r="P132" s="27">
        <f t="shared" ref="P132:P137" si="19">O132</f>
        <v>0</v>
      </c>
      <c r="Q132" s="27">
        <f t="shared" si="18"/>
        <v>0</v>
      </c>
      <c r="R132" s="27" t="e">
        <f>Q132/U132</f>
        <v>#DIV/0!</v>
      </c>
      <c r="S132" s="38" t="e">
        <f>Q132/U132</f>
        <v>#DIV/0!</v>
      </c>
      <c r="T132" s="38" t="e">
        <f>S132*AR132</f>
        <v>#DIV/0!</v>
      </c>
      <c r="U132" s="38">
        <v>0</v>
      </c>
      <c r="V132" s="38">
        <v>0</v>
      </c>
      <c r="W132" s="38">
        <v>0</v>
      </c>
      <c r="X132" s="38">
        <v>0</v>
      </c>
      <c r="Y132" s="38"/>
      <c r="Z132" s="38" t="e">
        <f t="shared" si="10"/>
        <v>#DIV/0!</v>
      </c>
      <c r="AA132" s="38"/>
      <c r="AB132" s="38" t="e">
        <f t="shared" si="11"/>
        <v>#DIV/0!</v>
      </c>
      <c r="AC132" s="38" t="e">
        <f>U132/AR132</f>
        <v>#DIV/0!</v>
      </c>
      <c r="AD132" s="38" t="e">
        <f t="shared" si="16"/>
        <v>#DIV/0!</v>
      </c>
      <c r="AE132" s="33">
        <v>45412</v>
      </c>
      <c r="AF132" s="33"/>
      <c r="AG132" s="33"/>
      <c r="AH132" s="33"/>
      <c r="AI132" s="33"/>
      <c r="AJ132" s="42"/>
      <c r="AK132" s="37"/>
      <c r="AL132" s="37"/>
      <c r="AM132" s="37"/>
      <c r="AN132" s="37"/>
      <c r="AO132" s="43"/>
      <c r="AP132" s="35"/>
      <c r="AQ132" s="35"/>
      <c r="AR132" s="44"/>
      <c r="AS132" s="37" t="s">
        <v>485</v>
      </c>
    </row>
    <row r="133" spans="1:45" ht="42" customHeight="1" x14ac:dyDescent="0.25">
      <c r="A133" s="46" t="s">
        <v>924</v>
      </c>
      <c r="B133" s="42">
        <v>45266</v>
      </c>
      <c r="C133" s="37">
        <v>545</v>
      </c>
      <c r="D133" s="36" t="s">
        <v>925</v>
      </c>
      <c r="E133" s="1" t="s">
        <v>926</v>
      </c>
      <c r="F133" s="33">
        <v>45303</v>
      </c>
      <c r="G133" s="35" t="s">
        <v>927</v>
      </c>
      <c r="H133" s="37" t="s">
        <v>169</v>
      </c>
      <c r="I133" s="37" t="s">
        <v>928</v>
      </c>
      <c r="J133" s="39">
        <v>4675000000</v>
      </c>
      <c r="K133" s="40">
        <f>((J133-M133)/J133)*100</f>
        <v>0</v>
      </c>
      <c r="L133" s="41">
        <f>J133-M133</f>
        <v>0</v>
      </c>
      <c r="M133" s="38">
        <v>4675000000</v>
      </c>
      <c r="N133" s="41">
        <f>J133-O133</f>
        <v>0</v>
      </c>
      <c r="O133" s="38">
        <v>4675000000</v>
      </c>
      <c r="P133" s="27">
        <f t="shared" si="19"/>
        <v>4675000000</v>
      </c>
      <c r="Q133" s="27">
        <f t="shared" si="18"/>
        <v>4675000000</v>
      </c>
      <c r="R133" s="27">
        <f>Q133/U133</f>
        <v>93500000</v>
      </c>
      <c r="S133" s="38">
        <f>Q133/U133</f>
        <v>93500000</v>
      </c>
      <c r="T133" s="38">
        <f>S133*AR133</f>
        <v>93500000</v>
      </c>
      <c r="U133" s="38">
        <v>50</v>
      </c>
      <c r="V133" s="38">
        <v>50</v>
      </c>
      <c r="W133" s="38">
        <v>0</v>
      </c>
      <c r="X133" s="38">
        <v>0</v>
      </c>
      <c r="Y133" s="38"/>
      <c r="Z133" s="38">
        <f t="shared" si="10"/>
        <v>0</v>
      </c>
      <c r="AA133" s="38"/>
      <c r="AB133" s="38">
        <f t="shared" si="11"/>
        <v>0</v>
      </c>
      <c r="AC133" s="38">
        <f>U133/AR133</f>
        <v>50</v>
      </c>
      <c r="AD133" s="38">
        <f t="shared" si="16"/>
        <v>50</v>
      </c>
      <c r="AE133" s="33">
        <v>45657</v>
      </c>
      <c r="AF133" s="33"/>
      <c r="AG133" s="33"/>
      <c r="AH133" s="33"/>
      <c r="AI133" s="33"/>
      <c r="AJ133" s="42"/>
      <c r="AK133" s="37" t="s">
        <v>929</v>
      </c>
      <c r="AL133" s="37" t="s">
        <v>930</v>
      </c>
      <c r="AM133" s="37" t="s">
        <v>931</v>
      </c>
      <c r="AN133" s="37" t="s">
        <v>440</v>
      </c>
      <c r="AO133" s="43">
        <v>0</v>
      </c>
      <c r="AP133" s="35">
        <v>100</v>
      </c>
      <c r="AQ133" s="35" t="s">
        <v>441</v>
      </c>
      <c r="AR133" s="44">
        <v>1</v>
      </c>
      <c r="AS133" s="37" t="s">
        <v>52</v>
      </c>
    </row>
    <row r="134" spans="1:45" ht="42" customHeight="1" x14ac:dyDescent="0.25">
      <c r="A134" s="46" t="s">
        <v>932</v>
      </c>
      <c r="B134" s="42">
        <v>45268</v>
      </c>
      <c r="C134" s="37">
        <v>1416</v>
      </c>
      <c r="D134" s="36" t="s">
        <v>933</v>
      </c>
      <c r="E134" s="1" t="s">
        <v>934</v>
      </c>
      <c r="F134" s="33">
        <v>45289</v>
      </c>
      <c r="G134" s="35" t="s">
        <v>935</v>
      </c>
      <c r="H134" s="37" t="s">
        <v>291</v>
      </c>
      <c r="I134" s="37" t="s">
        <v>936</v>
      </c>
      <c r="J134" s="39">
        <v>215192050</v>
      </c>
      <c r="K134" s="40">
        <f>((J134-M134)/J134)*100</f>
        <v>0</v>
      </c>
      <c r="L134" s="41">
        <f>J134-M134</f>
        <v>0</v>
      </c>
      <c r="M134" s="38">
        <v>215192050</v>
      </c>
      <c r="N134" s="41">
        <f>J134-O134</f>
        <v>0</v>
      </c>
      <c r="O134" s="38">
        <v>215192050</v>
      </c>
      <c r="P134" s="27">
        <f t="shared" si="19"/>
        <v>215192050</v>
      </c>
      <c r="Q134" s="27">
        <f t="shared" si="18"/>
        <v>215192050</v>
      </c>
      <c r="R134" s="27">
        <f>Q134/U134</f>
        <v>7.85</v>
      </c>
      <c r="S134" s="38">
        <f>Q134/U134</f>
        <v>7.85</v>
      </c>
      <c r="T134" s="38">
        <f>S134*AR134</f>
        <v>7850</v>
      </c>
      <c r="U134" s="38">
        <v>27413000</v>
      </c>
      <c r="V134" s="38">
        <v>27413000</v>
      </c>
      <c r="W134" s="38">
        <v>0</v>
      </c>
      <c r="X134" s="38">
        <v>0</v>
      </c>
      <c r="Y134" s="38">
        <v>7264000</v>
      </c>
      <c r="Z134" s="38">
        <f t="shared" si="10"/>
        <v>57022400</v>
      </c>
      <c r="AA134" s="38">
        <v>20149000</v>
      </c>
      <c r="AB134" s="38">
        <f t="shared" si="11"/>
        <v>158169650</v>
      </c>
      <c r="AC134" s="38">
        <f>U134/AR134</f>
        <v>27413</v>
      </c>
      <c r="AD134" s="38">
        <f t="shared" si="16"/>
        <v>27413</v>
      </c>
      <c r="AE134" s="33">
        <v>45383</v>
      </c>
      <c r="AF134" s="33"/>
      <c r="AG134" s="33"/>
      <c r="AH134" s="33"/>
      <c r="AI134" s="33"/>
      <c r="AJ134" s="42"/>
      <c r="AK134" s="37" t="s">
        <v>937</v>
      </c>
      <c r="AL134" s="37" t="s">
        <v>938</v>
      </c>
      <c r="AM134" s="37" t="s">
        <v>939</v>
      </c>
      <c r="AN134" s="37" t="s">
        <v>50</v>
      </c>
      <c r="AO134" s="43">
        <v>100</v>
      </c>
      <c r="AP134" s="35">
        <v>0</v>
      </c>
      <c r="AQ134" s="35" t="s">
        <v>175</v>
      </c>
      <c r="AR134" s="44">
        <v>1000</v>
      </c>
      <c r="AS134" s="37" t="s">
        <v>52</v>
      </c>
    </row>
    <row r="135" spans="1:45" ht="42" customHeight="1" x14ac:dyDescent="0.25">
      <c r="A135" s="46" t="s">
        <v>940</v>
      </c>
      <c r="B135" s="42">
        <v>45268</v>
      </c>
      <c r="C135" s="37">
        <v>1416</v>
      </c>
      <c r="D135" s="36" t="s">
        <v>485</v>
      </c>
      <c r="E135" s="1" t="s">
        <v>941</v>
      </c>
      <c r="F135" s="33" t="s">
        <v>485</v>
      </c>
      <c r="G135" s="35" t="s">
        <v>485</v>
      </c>
      <c r="H135" s="37" t="s">
        <v>485</v>
      </c>
      <c r="I135" s="37" t="s">
        <v>942</v>
      </c>
      <c r="J135" s="39">
        <v>378638760</v>
      </c>
      <c r="K135" s="40">
        <f>((J135-M135)/J135)*100</f>
        <v>100</v>
      </c>
      <c r="L135" s="41">
        <f>J135-M135</f>
        <v>378638760</v>
      </c>
      <c r="M135" s="38"/>
      <c r="N135" s="41">
        <f>J135-O135</f>
        <v>378638760</v>
      </c>
      <c r="O135" s="38">
        <v>0</v>
      </c>
      <c r="P135" s="27">
        <f t="shared" si="19"/>
        <v>0</v>
      </c>
      <c r="Q135" s="27">
        <f t="shared" si="18"/>
        <v>0</v>
      </c>
      <c r="R135" s="27" t="e">
        <f>Q135/U135</f>
        <v>#DIV/0!</v>
      </c>
      <c r="S135" s="38" t="e">
        <f>Q135/U135</f>
        <v>#DIV/0!</v>
      </c>
      <c r="T135" s="38" t="e">
        <f>S135*AR135</f>
        <v>#DIV/0!</v>
      </c>
      <c r="U135" s="38">
        <v>0</v>
      </c>
      <c r="V135" s="38">
        <v>0</v>
      </c>
      <c r="W135" s="38">
        <v>0</v>
      </c>
      <c r="X135" s="38">
        <v>0</v>
      </c>
      <c r="Y135" s="38"/>
      <c r="Z135" s="38" t="e">
        <f t="shared" si="10"/>
        <v>#DIV/0!</v>
      </c>
      <c r="AA135" s="38"/>
      <c r="AB135" s="38" t="e">
        <f t="shared" si="11"/>
        <v>#DIV/0!</v>
      </c>
      <c r="AC135" s="38" t="e">
        <f>U135/AR135</f>
        <v>#DIV/0!</v>
      </c>
      <c r="AD135" s="38" t="e">
        <f t="shared" si="16"/>
        <v>#DIV/0!</v>
      </c>
      <c r="AE135" s="33">
        <v>45323</v>
      </c>
      <c r="AF135" s="33"/>
      <c r="AG135" s="33"/>
      <c r="AH135" s="33"/>
      <c r="AI135" s="33"/>
      <c r="AJ135" s="42"/>
      <c r="AK135" s="37"/>
      <c r="AL135" s="37"/>
      <c r="AM135" s="37"/>
      <c r="AN135" s="37"/>
      <c r="AO135" s="43"/>
      <c r="AP135" s="35"/>
      <c r="AQ135" s="35"/>
      <c r="AR135" s="44"/>
      <c r="AS135" s="37" t="s">
        <v>485</v>
      </c>
    </row>
    <row r="136" spans="1:45" ht="42" customHeight="1" x14ac:dyDescent="0.25">
      <c r="A136" s="46" t="s">
        <v>943</v>
      </c>
      <c r="B136" s="42">
        <v>45268</v>
      </c>
      <c r="C136" s="37">
        <v>1416</v>
      </c>
      <c r="D136" s="36" t="s">
        <v>485</v>
      </c>
      <c r="E136" s="1" t="s">
        <v>944</v>
      </c>
      <c r="F136" s="33" t="s">
        <v>485</v>
      </c>
      <c r="G136" s="35" t="s">
        <v>485</v>
      </c>
      <c r="H136" s="37" t="s">
        <v>485</v>
      </c>
      <c r="I136" s="37" t="s">
        <v>945</v>
      </c>
      <c r="J136" s="39">
        <v>2719716153</v>
      </c>
      <c r="K136" s="40">
        <f>((J136-M136)/J136)*100</f>
        <v>100</v>
      </c>
      <c r="L136" s="41">
        <f>J136-M136</f>
        <v>2719716153</v>
      </c>
      <c r="M136" s="38"/>
      <c r="N136" s="41">
        <f>J136-O136</f>
        <v>2719716153</v>
      </c>
      <c r="O136" s="38">
        <v>0</v>
      </c>
      <c r="P136" s="27">
        <f t="shared" si="19"/>
        <v>0</v>
      </c>
      <c r="Q136" s="27">
        <f t="shared" si="18"/>
        <v>0</v>
      </c>
      <c r="R136" s="27" t="e">
        <f>Q136/U136</f>
        <v>#DIV/0!</v>
      </c>
      <c r="S136" s="38" t="e">
        <f>Q136/U136</f>
        <v>#DIV/0!</v>
      </c>
      <c r="T136" s="38" t="e">
        <f>S136*AR136</f>
        <v>#DIV/0!</v>
      </c>
      <c r="U136" s="38">
        <v>0</v>
      </c>
      <c r="V136" s="38">
        <v>0</v>
      </c>
      <c r="W136" s="38">
        <v>0</v>
      </c>
      <c r="X136" s="38">
        <v>0</v>
      </c>
      <c r="Y136" s="38"/>
      <c r="Z136" s="38" t="e">
        <f t="shared" si="10"/>
        <v>#DIV/0!</v>
      </c>
      <c r="AA136" s="38"/>
      <c r="AB136" s="38" t="e">
        <f t="shared" si="11"/>
        <v>#DIV/0!</v>
      </c>
      <c r="AC136" s="38" t="e">
        <f>U136/AR136</f>
        <v>#DIV/0!</v>
      </c>
      <c r="AD136" s="38" t="e">
        <f t="shared" si="16"/>
        <v>#DIV/0!</v>
      </c>
      <c r="AE136" s="33">
        <v>45352</v>
      </c>
      <c r="AF136" s="33">
        <v>45427</v>
      </c>
      <c r="AG136" s="33">
        <v>45458</v>
      </c>
      <c r="AH136" s="33"/>
      <c r="AI136" s="33"/>
      <c r="AJ136" s="42"/>
      <c r="AK136" s="37"/>
      <c r="AL136" s="37"/>
      <c r="AM136" s="37"/>
      <c r="AN136" s="37"/>
      <c r="AO136" s="43"/>
      <c r="AP136" s="35"/>
      <c r="AQ136" s="35"/>
      <c r="AR136" s="44"/>
      <c r="AS136" s="37" t="s">
        <v>485</v>
      </c>
    </row>
    <row r="137" spans="1:45" ht="105" x14ac:dyDescent="0.25">
      <c r="A137" s="46" t="s">
        <v>946</v>
      </c>
      <c r="B137" s="42">
        <v>45268</v>
      </c>
      <c r="C137" s="37">
        <v>1416</v>
      </c>
      <c r="D137" s="36" t="s">
        <v>485</v>
      </c>
      <c r="E137" s="1" t="s">
        <v>947</v>
      </c>
      <c r="F137" s="33" t="s">
        <v>485</v>
      </c>
      <c r="G137" s="35" t="s">
        <v>485</v>
      </c>
      <c r="H137" s="37" t="s">
        <v>485</v>
      </c>
      <c r="I137" s="37" t="s">
        <v>948</v>
      </c>
      <c r="J137" s="39">
        <v>360840</v>
      </c>
      <c r="K137" s="40">
        <f>((J137-M137)/J137)*100</f>
        <v>100</v>
      </c>
      <c r="L137" s="41">
        <f>J137-M137</f>
        <v>360840</v>
      </c>
      <c r="M137" s="38"/>
      <c r="N137" s="41">
        <f>J137-O137</f>
        <v>360840</v>
      </c>
      <c r="O137" s="38">
        <v>0</v>
      </c>
      <c r="P137" s="27">
        <f t="shared" si="19"/>
        <v>0</v>
      </c>
      <c r="Q137" s="27">
        <f t="shared" si="18"/>
        <v>0</v>
      </c>
      <c r="R137" s="27" t="e">
        <f>Q137/U137</f>
        <v>#DIV/0!</v>
      </c>
      <c r="S137" s="38" t="e">
        <f>Q137/U137</f>
        <v>#DIV/0!</v>
      </c>
      <c r="T137" s="38" t="e">
        <f>S137*AR137</f>
        <v>#DIV/0!</v>
      </c>
      <c r="U137" s="38">
        <v>0</v>
      </c>
      <c r="V137" s="38">
        <v>0</v>
      </c>
      <c r="W137" s="38">
        <v>0</v>
      </c>
      <c r="X137" s="38">
        <v>0</v>
      </c>
      <c r="Y137" s="38"/>
      <c r="Z137" s="38" t="e">
        <f t="shared" si="10"/>
        <v>#DIV/0!</v>
      </c>
      <c r="AA137" s="38"/>
      <c r="AB137" s="38" t="e">
        <f t="shared" si="11"/>
        <v>#DIV/0!</v>
      </c>
      <c r="AC137" s="38" t="e">
        <f>U137/AR137</f>
        <v>#DIV/0!</v>
      </c>
      <c r="AD137" s="38" t="e">
        <f t="shared" si="16"/>
        <v>#DIV/0!</v>
      </c>
      <c r="AE137" s="33">
        <v>45323</v>
      </c>
      <c r="AF137" s="33"/>
      <c r="AG137" s="33"/>
      <c r="AH137" s="33"/>
      <c r="AI137" s="33"/>
      <c r="AJ137" s="42"/>
      <c r="AK137" s="37"/>
      <c r="AL137" s="37"/>
      <c r="AM137" s="37"/>
      <c r="AN137" s="37"/>
      <c r="AO137" s="43"/>
      <c r="AP137" s="35"/>
      <c r="AQ137" s="35"/>
      <c r="AR137" s="44"/>
      <c r="AS137" s="37" t="s">
        <v>485</v>
      </c>
    </row>
    <row r="138" spans="1:45" ht="87" customHeight="1" x14ac:dyDescent="0.25">
      <c r="A138" s="46" t="s">
        <v>949</v>
      </c>
      <c r="B138" s="42">
        <v>45268</v>
      </c>
      <c r="C138" s="37">
        <v>1416</v>
      </c>
      <c r="D138" s="36" t="s">
        <v>950</v>
      </c>
      <c r="E138" s="1" t="s">
        <v>951</v>
      </c>
      <c r="F138" s="33">
        <v>45300</v>
      </c>
      <c r="G138" s="35" t="s">
        <v>952</v>
      </c>
      <c r="H138" s="54" t="s">
        <v>273</v>
      </c>
      <c r="I138" s="37" t="s">
        <v>953</v>
      </c>
      <c r="J138" s="39">
        <v>16921827.09</v>
      </c>
      <c r="K138" s="40">
        <f>((J138-M138)/J138)*100</f>
        <v>90.109767928139249</v>
      </c>
      <c r="L138" s="41">
        <f>J138-M138</f>
        <v>15248219.119999999</v>
      </c>
      <c r="M138" s="38">
        <v>1673607.97</v>
      </c>
      <c r="N138" s="41">
        <f>J138-O138</f>
        <v>15248219.119999999</v>
      </c>
      <c r="O138" s="38">
        <v>1673607.97</v>
      </c>
      <c r="P138" s="27">
        <v>1672673.31</v>
      </c>
      <c r="Q138" s="27">
        <f t="shared" si="18"/>
        <v>1672673.31</v>
      </c>
      <c r="R138" s="27">
        <f>Q138/U138</f>
        <v>92.51</v>
      </c>
      <c r="S138" s="38">
        <f>Q138/U138</f>
        <v>92.51</v>
      </c>
      <c r="T138" s="38">
        <f>S138*AR138</f>
        <v>1942.71</v>
      </c>
      <c r="U138" s="38">
        <v>18081</v>
      </c>
      <c r="V138" s="38">
        <v>18081</v>
      </c>
      <c r="W138" s="38">
        <v>0</v>
      </c>
      <c r="X138" s="38">
        <v>0</v>
      </c>
      <c r="Y138" s="38">
        <v>0</v>
      </c>
      <c r="Z138" s="38">
        <f t="shared" si="10"/>
        <v>0</v>
      </c>
      <c r="AA138" s="38">
        <v>18081</v>
      </c>
      <c r="AB138" s="38">
        <f t="shared" si="11"/>
        <v>1672673.31</v>
      </c>
      <c r="AC138" s="38">
        <f>U138/AR138</f>
        <v>861</v>
      </c>
      <c r="AD138" s="38">
        <f t="shared" si="16"/>
        <v>861</v>
      </c>
      <c r="AE138" s="33">
        <v>45323</v>
      </c>
      <c r="AF138" s="33"/>
      <c r="AG138" s="33"/>
      <c r="AH138" s="33">
        <v>45352</v>
      </c>
      <c r="AI138" s="33"/>
      <c r="AJ138" s="42"/>
      <c r="AK138" s="37" t="s">
        <v>954</v>
      </c>
      <c r="AL138" s="37" t="s">
        <v>955</v>
      </c>
      <c r="AM138" s="37" t="s">
        <v>956</v>
      </c>
      <c r="AN138" s="37" t="s">
        <v>50</v>
      </c>
      <c r="AO138" s="43">
        <v>100</v>
      </c>
      <c r="AP138" s="35">
        <v>0</v>
      </c>
      <c r="AQ138" s="35" t="s">
        <v>441</v>
      </c>
      <c r="AR138" s="44">
        <v>21</v>
      </c>
      <c r="AS138" s="37" t="s">
        <v>176</v>
      </c>
    </row>
    <row r="139" spans="1:45" ht="87" customHeight="1" x14ac:dyDescent="0.25">
      <c r="A139" s="46" t="s">
        <v>957</v>
      </c>
      <c r="B139" s="42">
        <v>45268</v>
      </c>
      <c r="C139" s="37">
        <v>1416</v>
      </c>
      <c r="D139" s="36" t="s">
        <v>958</v>
      </c>
      <c r="E139" s="1" t="s">
        <v>959</v>
      </c>
      <c r="F139" s="33">
        <v>45289</v>
      </c>
      <c r="G139" s="35" t="s">
        <v>960</v>
      </c>
      <c r="H139" s="37" t="s">
        <v>169</v>
      </c>
      <c r="I139" s="37" t="s">
        <v>961</v>
      </c>
      <c r="J139" s="39">
        <v>9649710</v>
      </c>
      <c r="K139" s="40">
        <f>((J139-M139)/J139)*100</f>
        <v>0</v>
      </c>
      <c r="L139" s="41">
        <f>J139-M139</f>
        <v>0</v>
      </c>
      <c r="M139" s="38">
        <v>9649710</v>
      </c>
      <c r="N139" s="41">
        <v>0</v>
      </c>
      <c r="O139" s="38">
        <v>4824855</v>
      </c>
      <c r="P139" s="27">
        <f>O139</f>
        <v>4824855</v>
      </c>
      <c r="Q139" s="27">
        <v>9649710</v>
      </c>
      <c r="R139" s="27">
        <f>Q139/U139</f>
        <v>7.42</v>
      </c>
      <c r="S139" s="38">
        <f>Q139/U139</f>
        <v>7.42</v>
      </c>
      <c r="T139" s="38">
        <f>S139*AR139</f>
        <v>1855</v>
      </c>
      <c r="U139" s="38">
        <v>1300500</v>
      </c>
      <c r="V139" s="38">
        <f>283000+150750</f>
        <v>433750</v>
      </c>
      <c r="W139" s="38">
        <f>141250+75250</f>
        <v>216500</v>
      </c>
      <c r="X139" s="38"/>
      <c r="Y139" s="38">
        <f>283000+141250</f>
        <v>424250</v>
      </c>
      <c r="Z139" s="38">
        <f t="shared" si="10"/>
        <v>3147935</v>
      </c>
      <c r="AA139" s="38">
        <f>150750+75250</f>
        <v>226000</v>
      </c>
      <c r="AB139" s="38">
        <f t="shared" si="11"/>
        <v>1676920</v>
      </c>
      <c r="AC139" s="38">
        <f>U139/AR139</f>
        <v>5202</v>
      </c>
      <c r="AD139" s="38">
        <f t="shared" si="16"/>
        <v>5202</v>
      </c>
      <c r="AE139" s="33">
        <v>45352</v>
      </c>
      <c r="AF139" s="33">
        <v>45565</v>
      </c>
      <c r="AG139" s="33">
        <v>45717</v>
      </c>
      <c r="AH139" s="33">
        <v>45383</v>
      </c>
      <c r="AI139" s="33">
        <v>45597</v>
      </c>
      <c r="AJ139" s="42">
        <v>45748</v>
      </c>
      <c r="AK139" s="37" t="s">
        <v>962</v>
      </c>
      <c r="AL139" s="37" t="s">
        <v>963</v>
      </c>
      <c r="AM139" s="37" t="s">
        <v>964</v>
      </c>
      <c r="AN139" s="37" t="s">
        <v>768</v>
      </c>
      <c r="AO139" s="43">
        <v>0</v>
      </c>
      <c r="AP139" s="35">
        <v>100</v>
      </c>
      <c r="AQ139" s="35" t="s">
        <v>175</v>
      </c>
      <c r="AR139" s="44">
        <v>250</v>
      </c>
      <c r="AS139" s="37" t="s">
        <v>52</v>
      </c>
    </row>
    <row r="140" spans="1:45" ht="105" x14ac:dyDescent="0.25">
      <c r="A140" s="46" t="s">
        <v>965</v>
      </c>
      <c r="B140" s="42">
        <v>45268</v>
      </c>
      <c r="C140" s="37">
        <v>1416</v>
      </c>
      <c r="D140" s="36" t="s">
        <v>966</v>
      </c>
      <c r="E140" s="1" t="s">
        <v>967</v>
      </c>
      <c r="F140" s="33">
        <v>45303</v>
      </c>
      <c r="G140" s="35" t="s">
        <v>968</v>
      </c>
      <c r="H140" s="37" t="s">
        <v>219</v>
      </c>
      <c r="I140" s="37" t="s">
        <v>969</v>
      </c>
      <c r="J140" s="39">
        <v>4389001226.3999996</v>
      </c>
      <c r="K140" s="40">
        <f>((J140-M140)/J140)*100</f>
        <v>0</v>
      </c>
      <c r="L140" s="41">
        <f>J140-M140</f>
        <v>0</v>
      </c>
      <c r="M140" s="38">
        <v>4389001226.3999996</v>
      </c>
      <c r="N140" s="41">
        <f>J140-O140</f>
        <v>0</v>
      </c>
      <c r="O140" s="38">
        <v>4389001226.3999996</v>
      </c>
      <c r="P140" s="27">
        <f>O140</f>
        <v>4389001226.3999996</v>
      </c>
      <c r="Q140" s="27">
        <f>P140</f>
        <v>4389001226.3999996</v>
      </c>
      <c r="R140" s="27">
        <f>Q140/U140</f>
        <v>9102.7899999999991</v>
      </c>
      <c r="S140" s="38">
        <f>Q140/U140</f>
        <v>9102.7899999999991</v>
      </c>
      <c r="T140" s="38">
        <f>S140*AR140</f>
        <v>273083.69999999995</v>
      </c>
      <c r="U140" s="38">
        <v>482160</v>
      </c>
      <c r="V140" s="38">
        <v>482160</v>
      </c>
      <c r="W140" s="38">
        <v>0</v>
      </c>
      <c r="X140" s="38">
        <v>0</v>
      </c>
      <c r="Y140" s="38">
        <v>275430</v>
      </c>
      <c r="Z140" s="38">
        <f t="shared" ref="Z140:Z203" si="20">Y140*S140</f>
        <v>2507181449.6999998</v>
      </c>
      <c r="AA140" s="38">
        <v>206730</v>
      </c>
      <c r="AB140" s="38">
        <f t="shared" ref="AB140:AB203" si="21">AA140*S140</f>
        <v>1881819776.6999998</v>
      </c>
      <c r="AC140" s="38">
        <f>U140/AR140</f>
        <v>16072</v>
      </c>
      <c r="AD140" s="38">
        <f t="shared" si="16"/>
        <v>16072</v>
      </c>
      <c r="AE140" s="33">
        <v>45381</v>
      </c>
      <c r="AF140" s="33"/>
      <c r="AG140" s="33"/>
      <c r="AH140" s="33">
        <v>45413</v>
      </c>
      <c r="AI140" s="33"/>
      <c r="AJ140" s="42"/>
      <c r="AK140" s="37" t="s">
        <v>970</v>
      </c>
      <c r="AL140" s="37" t="s">
        <v>971</v>
      </c>
      <c r="AM140" s="37" t="s">
        <v>972</v>
      </c>
      <c r="AN140" s="37" t="s">
        <v>50</v>
      </c>
      <c r="AO140" s="43">
        <v>100</v>
      </c>
      <c r="AP140" s="35">
        <v>0</v>
      </c>
      <c r="AQ140" s="35" t="s">
        <v>164</v>
      </c>
      <c r="AR140" s="44">
        <v>30</v>
      </c>
      <c r="AS140" s="37" t="s">
        <v>52</v>
      </c>
    </row>
    <row r="141" spans="1:45" ht="105" x14ac:dyDescent="0.25">
      <c r="A141" s="46" t="s">
        <v>973</v>
      </c>
      <c r="B141" s="42">
        <v>45268</v>
      </c>
      <c r="C141" s="37">
        <v>1416</v>
      </c>
      <c r="D141" s="36" t="s">
        <v>974</v>
      </c>
      <c r="E141" s="1" t="s">
        <v>975</v>
      </c>
      <c r="F141" s="33">
        <v>45300</v>
      </c>
      <c r="G141" s="35" t="s">
        <v>976</v>
      </c>
      <c r="H141" s="37" t="s">
        <v>282</v>
      </c>
      <c r="I141" s="37" t="s">
        <v>977</v>
      </c>
      <c r="J141" s="39">
        <v>14067507.300000001</v>
      </c>
      <c r="K141" s="40">
        <f>((J141-M141)/J141)*100</f>
        <v>95.026197711658554</v>
      </c>
      <c r="L141" s="41">
        <f>J141-M141</f>
        <v>13367817.300000001</v>
      </c>
      <c r="M141" s="38">
        <v>699690</v>
      </c>
      <c r="N141" s="41">
        <f>J141-O141</f>
        <v>13367817.300000001</v>
      </c>
      <c r="O141" s="38">
        <v>699690</v>
      </c>
      <c r="P141" s="27">
        <v>699649.44</v>
      </c>
      <c r="Q141" s="27">
        <f>P141</f>
        <v>699649.44</v>
      </c>
      <c r="R141" s="27">
        <f>Q141/U141</f>
        <v>220.64</v>
      </c>
      <c r="S141" s="38">
        <f>Q141/U141</f>
        <v>220.64</v>
      </c>
      <c r="T141" s="38">
        <f>S141*AR141</f>
        <v>4633.4399999999996</v>
      </c>
      <c r="U141" s="38">
        <v>3171</v>
      </c>
      <c r="V141" s="38">
        <v>3171</v>
      </c>
      <c r="W141" s="38">
        <v>0</v>
      </c>
      <c r="X141" s="38">
        <v>0</v>
      </c>
      <c r="Y141" s="38">
        <v>0</v>
      </c>
      <c r="Z141" s="38">
        <f t="shared" si="20"/>
        <v>0</v>
      </c>
      <c r="AA141" s="38">
        <v>3171</v>
      </c>
      <c r="AB141" s="38">
        <f t="shared" si="21"/>
        <v>699649.44</v>
      </c>
      <c r="AC141" s="38">
        <f>U141/AR141</f>
        <v>151</v>
      </c>
      <c r="AD141" s="38">
        <f t="shared" si="16"/>
        <v>151</v>
      </c>
      <c r="AE141" s="33">
        <v>45383</v>
      </c>
      <c r="AF141" s="33"/>
      <c r="AG141" s="33"/>
      <c r="AH141" s="33">
        <v>45413</v>
      </c>
      <c r="AI141" s="33"/>
      <c r="AJ141" s="42"/>
      <c r="AK141" s="37" t="s">
        <v>284</v>
      </c>
      <c r="AL141" s="37" t="s">
        <v>301</v>
      </c>
      <c r="AM141" s="37" t="s">
        <v>286</v>
      </c>
      <c r="AN141" s="37" t="s">
        <v>50</v>
      </c>
      <c r="AO141" s="43">
        <v>100</v>
      </c>
      <c r="AP141" s="35">
        <v>0</v>
      </c>
      <c r="AQ141" s="35" t="s">
        <v>441</v>
      </c>
      <c r="AR141" s="44">
        <v>21</v>
      </c>
      <c r="AS141" s="37" t="s">
        <v>176</v>
      </c>
    </row>
    <row r="142" spans="1:45" ht="80.25" customHeight="1" x14ac:dyDescent="0.25">
      <c r="A142" s="46" t="s">
        <v>978</v>
      </c>
      <c r="B142" s="42">
        <v>45268</v>
      </c>
      <c r="C142" s="37">
        <v>1416</v>
      </c>
      <c r="D142" s="36" t="s">
        <v>979</v>
      </c>
      <c r="E142" s="1" t="s">
        <v>980</v>
      </c>
      <c r="F142" s="33">
        <v>45289</v>
      </c>
      <c r="G142" s="35" t="s">
        <v>981</v>
      </c>
      <c r="H142" s="37" t="s">
        <v>169</v>
      </c>
      <c r="I142" s="37" t="s">
        <v>982</v>
      </c>
      <c r="J142" s="39">
        <v>41731032</v>
      </c>
      <c r="K142" s="40">
        <f>((J142-M142)/J142)*100</f>
        <v>0</v>
      </c>
      <c r="L142" s="41">
        <f>J142-M142</f>
        <v>0</v>
      </c>
      <c r="M142" s="38">
        <v>41731032</v>
      </c>
      <c r="N142" s="41">
        <f>J142-O142</f>
        <v>0</v>
      </c>
      <c r="O142" s="38">
        <v>41731032</v>
      </c>
      <c r="P142" s="27">
        <f t="shared" ref="P142:Q157" si="22">O142</f>
        <v>41731032</v>
      </c>
      <c r="Q142" s="27">
        <f>P142</f>
        <v>41731032</v>
      </c>
      <c r="R142" s="27">
        <f>Q142/U142</f>
        <v>24.92</v>
      </c>
      <c r="S142" s="38">
        <f>Q142/U142</f>
        <v>24.92</v>
      </c>
      <c r="T142" s="38">
        <f>S142*AR142</f>
        <v>14952.000000000002</v>
      </c>
      <c r="U142" s="38">
        <f>V142+W142+X142</f>
        <v>1674600</v>
      </c>
      <c r="V142" s="38">
        <v>1134600</v>
      </c>
      <c r="W142" s="38">
        <v>540000</v>
      </c>
      <c r="X142" s="38">
        <v>0</v>
      </c>
      <c r="Y142" s="38">
        <v>0</v>
      </c>
      <c r="Z142" s="38">
        <f t="shared" si="20"/>
        <v>0</v>
      </c>
      <c r="AA142" s="38">
        <f>1134600+540000</f>
        <v>1674600</v>
      </c>
      <c r="AB142" s="38">
        <f t="shared" si="21"/>
        <v>41731032</v>
      </c>
      <c r="AC142" s="38">
        <f>U142/AR142</f>
        <v>2791</v>
      </c>
      <c r="AD142" s="38">
        <f t="shared" si="16"/>
        <v>2791</v>
      </c>
      <c r="AE142" s="33">
        <v>45323</v>
      </c>
      <c r="AF142" s="33">
        <v>45412</v>
      </c>
      <c r="AG142" s="33"/>
      <c r="AH142" s="33">
        <v>45352</v>
      </c>
      <c r="AI142" s="33">
        <v>45444</v>
      </c>
      <c r="AJ142" s="42"/>
      <c r="AK142" s="37" t="s">
        <v>731</v>
      </c>
      <c r="AL142" s="37" t="s">
        <v>983</v>
      </c>
      <c r="AM142" s="37" t="s">
        <v>733</v>
      </c>
      <c r="AN142" s="37" t="s">
        <v>174</v>
      </c>
      <c r="AO142" s="43">
        <v>0</v>
      </c>
      <c r="AP142" s="35">
        <v>100</v>
      </c>
      <c r="AQ142" s="35" t="s">
        <v>175</v>
      </c>
      <c r="AR142" s="44">
        <v>600</v>
      </c>
      <c r="AS142" s="37" t="s">
        <v>380</v>
      </c>
    </row>
    <row r="143" spans="1:45" ht="81.75" customHeight="1" x14ac:dyDescent="0.25">
      <c r="A143" s="46" t="s">
        <v>984</v>
      </c>
      <c r="B143" s="42">
        <v>45268</v>
      </c>
      <c r="C143" s="37">
        <v>1416</v>
      </c>
      <c r="D143" s="35" t="s">
        <v>547</v>
      </c>
      <c r="E143" s="1" t="s">
        <v>985</v>
      </c>
      <c r="F143" s="35" t="s">
        <v>547</v>
      </c>
      <c r="G143" s="35" t="s">
        <v>547</v>
      </c>
      <c r="H143" s="35" t="s">
        <v>547</v>
      </c>
      <c r="I143" s="37" t="s">
        <v>986</v>
      </c>
      <c r="J143" s="39">
        <v>468865320</v>
      </c>
      <c r="K143" s="40">
        <f>((J143-M143)/J143)*100</f>
        <v>100</v>
      </c>
      <c r="L143" s="41">
        <f>J143-M143</f>
        <v>468865320</v>
      </c>
      <c r="M143" s="38"/>
      <c r="N143" s="41">
        <f>J143-O143</f>
        <v>468865320</v>
      </c>
      <c r="O143" s="38">
        <v>0</v>
      </c>
      <c r="P143" s="27">
        <f t="shared" si="22"/>
        <v>0</v>
      </c>
      <c r="Q143" s="27">
        <f>P143</f>
        <v>0</v>
      </c>
      <c r="R143" s="27" t="e">
        <f>Q143/U143</f>
        <v>#DIV/0!</v>
      </c>
      <c r="S143" s="38" t="e">
        <f>Q143/U143</f>
        <v>#DIV/0!</v>
      </c>
      <c r="T143" s="38" t="e">
        <f>S143*AR143</f>
        <v>#DIV/0!</v>
      </c>
      <c r="U143" s="38">
        <v>0</v>
      </c>
      <c r="V143" s="38">
        <v>0</v>
      </c>
      <c r="W143" s="38">
        <v>0</v>
      </c>
      <c r="X143" s="38">
        <v>0</v>
      </c>
      <c r="Y143" s="38"/>
      <c r="Z143" s="38" t="e">
        <f t="shared" si="20"/>
        <v>#DIV/0!</v>
      </c>
      <c r="AA143" s="38"/>
      <c r="AB143" s="38" t="e">
        <f t="shared" si="21"/>
        <v>#DIV/0!</v>
      </c>
      <c r="AC143" s="38" t="e">
        <f>U143/AR143</f>
        <v>#DIV/0!</v>
      </c>
      <c r="AD143" s="38" t="e">
        <f t="shared" si="16"/>
        <v>#DIV/0!</v>
      </c>
      <c r="AE143" s="33">
        <v>45352</v>
      </c>
      <c r="AF143" s="33">
        <v>45565</v>
      </c>
      <c r="AG143" s="33">
        <v>45717</v>
      </c>
      <c r="AH143" s="33"/>
      <c r="AI143" s="33"/>
      <c r="AJ143" s="42"/>
      <c r="AK143" s="37"/>
      <c r="AL143" s="37"/>
      <c r="AM143" s="37"/>
      <c r="AN143" s="37"/>
      <c r="AO143" s="43"/>
      <c r="AP143" s="35"/>
      <c r="AQ143" s="35"/>
      <c r="AR143" s="44"/>
      <c r="AS143" s="37" t="s">
        <v>485</v>
      </c>
    </row>
    <row r="144" spans="1:45" ht="114.75" customHeight="1" x14ac:dyDescent="0.25">
      <c r="A144" s="46" t="s">
        <v>987</v>
      </c>
      <c r="B144" s="42">
        <v>45268</v>
      </c>
      <c r="C144" s="37">
        <v>1416</v>
      </c>
      <c r="D144" s="36" t="s">
        <v>988</v>
      </c>
      <c r="E144" s="1" t="s">
        <v>989</v>
      </c>
      <c r="F144" s="33">
        <v>45289</v>
      </c>
      <c r="G144" s="35" t="s">
        <v>990</v>
      </c>
      <c r="H144" s="37" t="s">
        <v>219</v>
      </c>
      <c r="I144" s="37" t="s">
        <v>991</v>
      </c>
      <c r="J144" s="39">
        <v>85205610</v>
      </c>
      <c r="K144" s="40">
        <f>((J144-M144)/J144)*100</f>
        <v>0</v>
      </c>
      <c r="L144" s="41">
        <f>J144-M144</f>
        <v>0</v>
      </c>
      <c r="M144" s="38">
        <v>85205610</v>
      </c>
      <c r="N144" s="41">
        <f>J144-O144</f>
        <v>0</v>
      </c>
      <c r="O144" s="38">
        <v>85205610</v>
      </c>
      <c r="P144" s="27">
        <f t="shared" si="22"/>
        <v>85205610</v>
      </c>
      <c r="Q144" s="27">
        <f>P144</f>
        <v>85205610</v>
      </c>
      <c r="R144" s="27">
        <f>Q144/U144</f>
        <v>12.51</v>
      </c>
      <c r="S144" s="38">
        <f>Q144/U144</f>
        <v>12.51</v>
      </c>
      <c r="T144" s="38">
        <f>S144*AR144</f>
        <v>6255</v>
      </c>
      <c r="U144" s="38">
        <v>6811000</v>
      </c>
      <c r="V144" s="38">
        <f>6551000+260000</f>
        <v>6811000</v>
      </c>
      <c r="W144" s="38">
        <v>0</v>
      </c>
      <c r="X144" s="38">
        <v>0</v>
      </c>
      <c r="Y144" s="38">
        <v>260000</v>
      </c>
      <c r="Z144" s="38">
        <f t="shared" si="20"/>
        <v>3252600</v>
      </c>
      <c r="AA144" s="38">
        <v>6551000</v>
      </c>
      <c r="AB144" s="38">
        <f t="shared" si="21"/>
        <v>81953010</v>
      </c>
      <c r="AC144" s="38">
        <f>U144/AR144</f>
        <v>13622</v>
      </c>
      <c r="AD144" s="38">
        <f t="shared" si="16"/>
        <v>13622</v>
      </c>
      <c r="AE144" s="33">
        <v>45381</v>
      </c>
      <c r="AF144" s="33"/>
      <c r="AG144" s="33"/>
      <c r="AH144" s="33">
        <v>45413</v>
      </c>
      <c r="AI144" s="33"/>
      <c r="AJ144" s="42"/>
      <c r="AK144" s="37" t="s">
        <v>992</v>
      </c>
      <c r="AL144" s="37" t="s">
        <v>993</v>
      </c>
      <c r="AM144" s="37" t="s">
        <v>994</v>
      </c>
      <c r="AN144" s="37" t="s">
        <v>50</v>
      </c>
      <c r="AO144" s="43">
        <v>100</v>
      </c>
      <c r="AP144" s="35">
        <v>0</v>
      </c>
      <c r="AQ144" s="35" t="s">
        <v>175</v>
      </c>
      <c r="AR144" s="44">
        <v>500</v>
      </c>
      <c r="AS144" s="37" t="s">
        <v>176</v>
      </c>
    </row>
    <row r="145" spans="1:45" ht="105" x14ac:dyDescent="0.25">
      <c r="A145" s="46" t="s">
        <v>995</v>
      </c>
      <c r="B145" s="42">
        <v>45268</v>
      </c>
      <c r="C145" s="37">
        <v>1416</v>
      </c>
      <c r="D145" s="36" t="s">
        <v>996</v>
      </c>
      <c r="E145" s="1" t="s">
        <v>997</v>
      </c>
      <c r="F145" s="33">
        <v>45310</v>
      </c>
      <c r="G145" s="35" t="s">
        <v>998</v>
      </c>
      <c r="H145" s="37" t="s">
        <v>219</v>
      </c>
      <c r="I145" s="37" t="s">
        <v>999</v>
      </c>
      <c r="J145" s="39">
        <v>6881444100</v>
      </c>
      <c r="K145" s="40">
        <f>((J145-M145)/J145)*100</f>
        <v>0</v>
      </c>
      <c r="L145" s="41">
        <f>J145-M145</f>
        <v>0</v>
      </c>
      <c r="M145" s="38">
        <v>6881444100</v>
      </c>
      <c r="N145" s="41">
        <f>J145-O145</f>
        <v>3440722050</v>
      </c>
      <c r="O145" s="38">
        <v>3440722050</v>
      </c>
      <c r="P145" s="27">
        <f t="shared" si="22"/>
        <v>3440722050</v>
      </c>
      <c r="Q145" s="27">
        <v>6881444100</v>
      </c>
      <c r="R145" s="27">
        <f>Q145/U145</f>
        <v>5594.67</v>
      </c>
      <c r="S145" s="38">
        <f>Q145/U145</f>
        <v>5594.67</v>
      </c>
      <c r="T145" s="38">
        <f>S145*AR145</f>
        <v>83920.05</v>
      </c>
      <c r="U145" s="38">
        <v>1230000</v>
      </c>
      <c r="V145" s="38">
        <f>1660+377840</f>
        <v>379500</v>
      </c>
      <c r="W145" s="38">
        <v>235500</v>
      </c>
      <c r="X145" s="38">
        <v>0</v>
      </c>
      <c r="Y145" s="38">
        <v>1660</v>
      </c>
      <c r="Z145" s="38">
        <f t="shared" si="20"/>
        <v>9287152.1999999993</v>
      </c>
      <c r="AA145" s="38">
        <f>377840+235500</f>
        <v>613340</v>
      </c>
      <c r="AB145" s="38">
        <f t="shared" si="21"/>
        <v>3431434897.8000002</v>
      </c>
      <c r="AC145" s="38">
        <f>U145/AR145</f>
        <v>82000</v>
      </c>
      <c r="AD145" s="38">
        <f t="shared" si="16"/>
        <v>82000</v>
      </c>
      <c r="AE145" s="33">
        <v>45397</v>
      </c>
      <c r="AF145" s="33">
        <v>45474</v>
      </c>
      <c r="AG145" s="33" t="s">
        <v>1000</v>
      </c>
      <c r="AH145" s="33">
        <v>45427</v>
      </c>
      <c r="AI145" s="33">
        <v>45505</v>
      </c>
      <c r="AJ145" s="42" t="s">
        <v>1001</v>
      </c>
      <c r="AK145" s="37" t="s">
        <v>1002</v>
      </c>
      <c r="AL145" s="37" t="s">
        <v>1003</v>
      </c>
      <c r="AM145" s="37" t="s">
        <v>1004</v>
      </c>
      <c r="AN145" s="37" t="s">
        <v>174</v>
      </c>
      <c r="AO145" s="43">
        <v>0</v>
      </c>
      <c r="AP145" s="35">
        <v>100</v>
      </c>
      <c r="AQ145" s="35" t="s">
        <v>164</v>
      </c>
      <c r="AR145" s="44">
        <v>15</v>
      </c>
      <c r="AS145" s="37" t="s">
        <v>52</v>
      </c>
    </row>
    <row r="146" spans="1:45" ht="105" x14ac:dyDescent="0.25">
      <c r="A146" s="46" t="s">
        <v>1005</v>
      </c>
      <c r="B146" s="42">
        <v>45268</v>
      </c>
      <c r="C146" s="37">
        <v>1416</v>
      </c>
      <c r="D146" s="36" t="s">
        <v>1006</v>
      </c>
      <c r="E146" s="1" t="s">
        <v>1007</v>
      </c>
      <c r="F146" s="33">
        <v>45289</v>
      </c>
      <c r="G146" s="35" t="s">
        <v>1008</v>
      </c>
      <c r="H146" s="37" t="s">
        <v>374</v>
      </c>
      <c r="I146" s="37" t="s">
        <v>1009</v>
      </c>
      <c r="J146" s="39">
        <v>41597582.399999999</v>
      </c>
      <c r="K146" s="40">
        <f>((J146-M146)/J146)*100</f>
        <v>0</v>
      </c>
      <c r="L146" s="41">
        <f>J146-M146</f>
        <v>0</v>
      </c>
      <c r="M146" s="38">
        <v>41597582.399999999</v>
      </c>
      <c r="N146" s="41">
        <f>J146-O146</f>
        <v>0</v>
      </c>
      <c r="O146" s="38">
        <v>41597582.399999999</v>
      </c>
      <c r="P146" s="27">
        <f t="shared" si="22"/>
        <v>41597582.399999999</v>
      </c>
      <c r="Q146" s="27">
        <f t="shared" si="22"/>
        <v>41597582.399999999</v>
      </c>
      <c r="R146" s="27">
        <f>Q146/U146</f>
        <v>16048.449999999999</v>
      </c>
      <c r="S146" s="38">
        <f>Q146/U146</f>
        <v>16048.449999999999</v>
      </c>
      <c r="T146" s="38">
        <f>S146*AR146</f>
        <v>57774.42</v>
      </c>
      <c r="U146" s="38">
        <v>2592</v>
      </c>
      <c r="V146" s="38">
        <v>2592</v>
      </c>
      <c r="W146" s="38">
        <v>0</v>
      </c>
      <c r="X146" s="38">
        <v>0</v>
      </c>
      <c r="Y146" s="38">
        <v>1976.4</v>
      </c>
      <c r="Z146" s="38">
        <f t="shared" si="20"/>
        <v>31718156.579999998</v>
      </c>
      <c r="AA146" s="38">
        <v>615.6</v>
      </c>
      <c r="AB146" s="38">
        <f t="shared" si="21"/>
        <v>9879425.8200000003</v>
      </c>
      <c r="AC146" s="38">
        <f>U146/AR146</f>
        <v>720</v>
      </c>
      <c r="AD146" s="38">
        <f t="shared" si="16"/>
        <v>720</v>
      </c>
      <c r="AE146" s="33">
        <v>45323</v>
      </c>
      <c r="AF146" s="33"/>
      <c r="AG146" s="33"/>
      <c r="AH146" s="33">
        <v>45352</v>
      </c>
      <c r="AI146" s="33"/>
      <c r="AJ146" s="42"/>
      <c r="AK146" s="37" t="s">
        <v>323</v>
      </c>
      <c r="AL146" s="37" t="s">
        <v>1010</v>
      </c>
      <c r="AM146" s="37" t="s">
        <v>1011</v>
      </c>
      <c r="AN146" s="37" t="s">
        <v>174</v>
      </c>
      <c r="AO146" s="43">
        <v>0</v>
      </c>
      <c r="AP146" s="35">
        <v>100</v>
      </c>
      <c r="AQ146" s="35">
        <v>100</v>
      </c>
      <c r="AR146" s="49">
        <v>3.6</v>
      </c>
      <c r="AS146" s="37" t="s">
        <v>176</v>
      </c>
    </row>
    <row r="147" spans="1:45" ht="47.25" customHeight="1" x14ac:dyDescent="0.25">
      <c r="A147" s="46" t="s">
        <v>1012</v>
      </c>
      <c r="B147" s="42">
        <v>45268</v>
      </c>
      <c r="C147" s="37">
        <v>1416</v>
      </c>
      <c r="D147" s="36"/>
      <c r="E147" s="1" t="s">
        <v>1013</v>
      </c>
      <c r="F147" s="33"/>
      <c r="G147" s="35"/>
      <c r="H147" s="37"/>
      <c r="I147" s="37" t="s">
        <v>764</v>
      </c>
      <c r="J147" s="39">
        <v>2676317280</v>
      </c>
      <c r="K147" s="40">
        <f>((J147-M147)/J147)*100</f>
        <v>100</v>
      </c>
      <c r="L147" s="41">
        <f>J147-M147</f>
        <v>2676317280</v>
      </c>
      <c r="M147" s="38"/>
      <c r="N147" s="41">
        <f>J147-O147</f>
        <v>2676317280</v>
      </c>
      <c r="O147" s="38">
        <v>0</v>
      </c>
      <c r="P147" s="27">
        <f t="shared" si="22"/>
        <v>0</v>
      </c>
      <c r="Q147" s="27">
        <f t="shared" si="22"/>
        <v>0</v>
      </c>
      <c r="R147" s="27" t="e">
        <f>Q147/U147</f>
        <v>#DIV/0!</v>
      </c>
      <c r="S147" s="38" t="e">
        <f>Q147/U147</f>
        <v>#DIV/0!</v>
      </c>
      <c r="T147" s="38" t="e">
        <f>S147*AR147</f>
        <v>#DIV/0!</v>
      </c>
      <c r="U147" s="38">
        <v>0</v>
      </c>
      <c r="V147" s="38">
        <v>0</v>
      </c>
      <c r="W147" s="38">
        <v>0</v>
      </c>
      <c r="X147" s="38">
        <v>0</v>
      </c>
      <c r="Y147" s="38"/>
      <c r="Z147" s="38" t="e">
        <f t="shared" si="20"/>
        <v>#DIV/0!</v>
      </c>
      <c r="AA147" s="38"/>
      <c r="AB147" s="38" t="e">
        <f t="shared" si="21"/>
        <v>#DIV/0!</v>
      </c>
      <c r="AC147" s="38" t="e">
        <f>U147/AR147</f>
        <v>#DIV/0!</v>
      </c>
      <c r="AD147" s="38" t="e">
        <f t="shared" si="16"/>
        <v>#DIV/0!</v>
      </c>
      <c r="AE147" s="33">
        <v>45352</v>
      </c>
      <c r="AF147" s="33">
        <v>45504</v>
      </c>
      <c r="AG147" s="33">
        <v>45717</v>
      </c>
      <c r="AH147" s="33"/>
      <c r="AI147" s="33"/>
      <c r="AJ147" s="42"/>
      <c r="AK147" s="37"/>
      <c r="AL147" s="37"/>
      <c r="AM147" s="37"/>
      <c r="AN147" s="37"/>
      <c r="AO147" s="43"/>
      <c r="AP147" s="35"/>
      <c r="AQ147" s="35"/>
      <c r="AR147" s="44"/>
      <c r="AS147" s="37" t="s">
        <v>485</v>
      </c>
    </row>
    <row r="148" spans="1:45" ht="47.25" customHeight="1" x14ac:dyDescent="0.25">
      <c r="A148" s="46" t="s">
        <v>1014</v>
      </c>
      <c r="B148" s="42">
        <v>45268</v>
      </c>
      <c r="C148" s="37">
        <v>1416</v>
      </c>
      <c r="D148" s="36"/>
      <c r="E148" s="1" t="s">
        <v>1015</v>
      </c>
      <c r="F148" s="33"/>
      <c r="G148" s="35"/>
      <c r="H148" s="37"/>
      <c r="I148" s="37" t="s">
        <v>1016</v>
      </c>
      <c r="J148" s="39">
        <v>13163854000</v>
      </c>
      <c r="K148" s="40">
        <f>((J148-M148)/J148)*100</f>
        <v>100</v>
      </c>
      <c r="L148" s="41">
        <f>J148-M148</f>
        <v>13163854000</v>
      </c>
      <c r="M148" s="38"/>
      <c r="N148" s="41">
        <f>J148-O148</f>
        <v>13163854000</v>
      </c>
      <c r="O148" s="38">
        <v>0</v>
      </c>
      <c r="P148" s="27">
        <f t="shared" si="22"/>
        <v>0</v>
      </c>
      <c r="Q148" s="27">
        <f t="shared" si="22"/>
        <v>0</v>
      </c>
      <c r="R148" s="27" t="e">
        <f>Q148/U148</f>
        <v>#DIV/0!</v>
      </c>
      <c r="S148" s="38" t="e">
        <f>Q148/U148</f>
        <v>#DIV/0!</v>
      </c>
      <c r="T148" s="38" t="e">
        <f>S148*AR148</f>
        <v>#DIV/0!</v>
      </c>
      <c r="U148" s="38">
        <v>0</v>
      </c>
      <c r="V148" s="38">
        <v>0</v>
      </c>
      <c r="W148" s="38">
        <v>0</v>
      </c>
      <c r="X148" s="38">
        <v>0</v>
      </c>
      <c r="Y148" s="38"/>
      <c r="Z148" s="38" t="e">
        <f t="shared" si="20"/>
        <v>#DIV/0!</v>
      </c>
      <c r="AA148" s="38"/>
      <c r="AB148" s="38" t="e">
        <f t="shared" si="21"/>
        <v>#DIV/0!</v>
      </c>
      <c r="AC148" s="38" t="e">
        <f>U148/AR148</f>
        <v>#DIV/0!</v>
      </c>
      <c r="AD148" s="38" t="e">
        <f t="shared" si="16"/>
        <v>#DIV/0!</v>
      </c>
      <c r="AE148" s="33">
        <v>45352</v>
      </c>
      <c r="AF148" s="33">
        <v>45717</v>
      </c>
      <c r="AG148" s="33"/>
      <c r="AH148" s="33"/>
      <c r="AI148" s="33"/>
      <c r="AJ148" s="42"/>
      <c r="AK148" s="37"/>
      <c r="AL148" s="37"/>
      <c r="AM148" s="37"/>
      <c r="AN148" s="37"/>
      <c r="AO148" s="43"/>
      <c r="AP148" s="35"/>
      <c r="AQ148" s="35"/>
      <c r="AR148" s="44"/>
      <c r="AS148" s="37" t="s">
        <v>485</v>
      </c>
    </row>
    <row r="149" spans="1:45" ht="97.5" customHeight="1" x14ac:dyDescent="0.25">
      <c r="A149" s="46" t="s">
        <v>1017</v>
      </c>
      <c r="B149" s="42">
        <v>45271</v>
      </c>
      <c r="C149" s="37">
        <v>1416</v>
      </c>
      <c r="D149" s="36" t="s">
        <v>1018</v>
      </c>
      <c r="E149" s="1" t="s">
        <v>1019</v>
      </c>
      <c r="F149" s="33">
        <v>45307</v>
      </c>
      <c r="G149" s="35" t="s">
        <v>1020</v>
      </c>
      <c r="H149" s="37" t="s">
        <v>219</v>
      </c>
      <c r="I149" s="37" t="s">
        <v>1021</v>
      </c>
      <c r="J149" s="39">
        <v>522671220</v>
      </c>
      <c r="K149" s="40">
        <f>((J149-M149)/J149)*100</f>
        <v>0</v>
      </c>
      <c r="L149" s="41">
        <f>J149-M149</f>
        <v>0</v>
      </c>
      <c r="M149" s="39">
        <v>522671220</v>
      </c>
      <c r="N149" s="41">
        <f>J149-O149</f>
        <v>0</v>
      </c>
      <c r="O149" s="39">
        <v>522671220</v>
      </c>
      <c r="P149" s="27">
        <f t="shared" si="22"/>
        <v>522671220</v>
      </c>
      <c r="Q149" s="27">
        <f t="shared" si="22"/>
        <v>522671220</v>
      </c>
      <c r="R149" s="27">
        <f>Q149/U149</f>
        <v>12.38</v>
      </c>
      <c r="S149" s="38">
        <f>Q149/U149</f>
        <v>12.38</v>
      </c>
      <c r="T149" s="38">
        <f>S149*AR149</f>
        <v>12380</v>
      </c>
      <c r="U149" s="38">
        <v>42219000</v>
      </c>
      <c r="V149" s="38">
        <v>42219000</v>
      </c>
      <c r="W149" s="38">
        <v>0</v>
      </c>
      <c r="X149" s="38">
        <v>0</v>
      </c>
      <c r="Y149" s="38">
        <v>1393000</v>
      </c>
      <c r="Z149" s="38">
        <f t="shared" si="20"/>
        <v>17245340</v>
      </c>
      <c r="AA149" s="38">
        <v>40826000</v>
      </c>
      <c r="AB149" s="38">
        <f t="shared" si="21"/>
        <v>505425880.00000006</v>
      </c>
      <c r="AC149" s="38">
        <f>U149/AR149</f>
        <v>42219</v>
      </c>
      <c r="AD149" s="38">
        <f t="shared" si="16"/>
        <v>42219</v>
      </c>
      <c r="AE149" s="33">
        <v>45381</v>
      </c>
      <c r="AF149" s="33"/>
      <c r="AG149" s="33"/>
      <c r="AH149" s="33">
        <v>45413</v>
      </c>
      <c r="AI149" s="33"/>
      <c r="AJ149" s="42"/>
      <c r="AK149" s="37" t="s">
        <v>1022</v>
      </c>
      <c r="AL149" s="37" t="s">
        <v>1023</v>
      </c>
      <c r="AM149" s="37" t="s">
        <v>1024</v>
      </c>
      <c r="AN149" s="37" t="s">
        <v>50</v>
      </c>
      <c r="AO149" s="43">
        <v>100</v>
      </c>
      <c r="AP149" s="35">
        <v>0</v>
      </c>
      <c r="AQ149" s="35" t="s">
        <v>175</v>
      </c>
      <c r="AR149" s="44">
        <v>1000</v>
      </c>
      <c r="AS149" s="37" t="s">
        <v>52</v>
      </c>
    </row>
    <row r="150" spans="1:45" ht="78.75" customHeight="1" x14ac:dyDescent="0.25">
      <c r="A150" s="46" t="s">
        <v>1025</v>
      </c>
      <c r="B150" s="42">
        <v>45271</v>
      </c>
      <c r="C150" s="37">
        <v>1416</v>
      </c>
      <c r="D150" s="36" t="s">
        <v>1026</v>
      </c>
      <c r="E150" s="1" t="s">
        <v>1027</v>
      </c>
      <c r="F150" s="33">
        <v>45300</v>
      </c>
      <c r="G150" s="35" t="s">
        <v>1028</v>
      </c>
      <c r="H150" s="37" t="s">
        <v>291</v>
      </c>
      <c r="I150" s="37" t="s">
        <v>1029</v>
      </c>
      <c r="J150" s="39">
        <v>220214728.80000001</v>
      </c>
      <c r="K150" s="40">
        <f>((J150-M150)/J150)*100</f>
        <v>0.50007063832690279</v>
      </c>
      <c r="L150" s="41">
        <f>J150-M150</f>
        <v>1101229.2000000179</v>
      </c>
      <c r="M150" s="38">
        <v>219113499.59999999</v>
      </c>
      <c r="N150" s="41">
        <f>J150-O150</f>
        <v>1101229.2000000179</v>
      </c>
      <c r="O150" s="38">
        <v>219113499.59999999</v>
      </c>
      <c r="P150" s="27">
        <f t="shared" si="22"/>
        <v>219113499.59999999</v>
      </c>
      <c r="Q150" s="27">
        <f t="shared" si="22"/>
        <v>219113499.59999999</v>
      </c>
      <c r="R150" s="27">
        <f>Q150/U150</f>
        <v>4084.89</v>
      </c>
      <c r="S150" s="38">
        <f>Q150/U150</f>
        <v>4084.89</v>
      </c>
      <c r="T150" s="38">
        <f>S150*AR150</f>
        <v>4084.89</v>
      </c>
      <c r="U150" s="38">
        <v>53640</v>
      </c>
      <c r="V150" s="38">
        <v>53640</v>
      </c>
      <c r="W150" s="38">
        <v>0</v>
      </c>
      <c r="X150" s="38">
        <v>0</v>
      </c>
      <c r="Y150" s="38">
        <v>0</v>
      </c>
      <c r="Z150" s="38">
        <f t="shared" si="20"/>
        <v>0</v>
      </c>
      <c r="AA150" s="38">
        <v>53640</v>
      </c>
      <c r="AB150" s="38">
        <f t="shared" si="21"/>
        <v>219113499.59999999</v>
      </c>
      <c r="AC150" s="38">
        <f>U150/AR150</f>
        <v>53640</v>
      </c>
      <c r="AD150" s="38">
        <f t="shared" si="16"/>
        <v>53640</v>
      </c>
      <c r="AE150" s="33">
        <v>45352</v>
      </c>
      <c r="AF150" s="33"/>
      <c r="AG150" s="33"/>
      <c r="AH150" s="33">
        <v>45383</v>
      </c>
      <c r="AI150" s="33"/>
      <c r="AJ150" s="42"/>
      <c r="AK150" s="37" t="s">
        <v>1030</v>
      </c>
      <c r="AL150" s="37" t="s">
        <v>1031</v>
      </c>
      <c r="AM150" s="37" t="s">
        <v>1032</v>
      </c>
      <c r="AN150" s="37" t="s">
        <v>50</v>
      </c>
      <c r="AO150" s="43">
        <v>100</v>
      </c>
      <c r="AP150" s="35">
        <v>0</v>
      </c>
      <c r="AQ150" s="35" t="s">
        <v>441</v>
      </c>
      <c r="AR150" s="44">
        <v>1</v>
      </c>
      <c r="AS150" s="37" t="s">
        <v>176</v>
      </c>
    </row>
    <row r="151" spans="1:45" ht="108" customHeight="1" x14ac:dyDescent="0.25">
      <c r="A151" s="46" t="s">
        <v>1033</v>
      </c>
      <c r="B151" s="42">
        <v>45273</v>
      </c>
      <c r="C151" s="37">
        <v>1416</v>
      </c>
      <c r="D151" s="36" t="s">
        <v>1034</v>
      </c>
      <c r="E151" s="1" t="s">
        <v>1035</v>
      </c>
      <c r="F151" s="33">
        <v>45303</v>
      </c>
      <c r="G151" s="35" t="s">
        <v>1036</v>
      </c>
      <c r="H151" s="37" t="s">
        <v>219</v>
      </c>
      <c r="I151" s="37" t="s">
        <v>1037</v>
      </c>
      <c r="J151" s="39">
        <v>158125500</v>
      </c>
      <c r="K151" s="40">
        <f>((J151-M151)/J151)*100</f>
        <v>0</v>
      </c>
      <c r="L151" s="41">
        <f>J151-M151</f>
        <v>0</v>
      </c>
      <c r="M151" s="38">
        <v>158125500</v>
      </c>
      <c r="N151" s="41">
        <f>J151-O151</f>
        <v>0</v>
      </c>
      <c r="O151" s="38">
        <v>158125500</v>
      </c>
      <c r="P151" s="27">
        <f t="shared" si="22"/>
        <v>158125500</v>
      </c>
      <c r="Q151" s="27">
        <f t="shared" si="22"/>
        <v>158125500</v>
      </c>
      <c r="R151" s="27">
        <f>Q151/U151</f>
        <v>11.05</v>
      </c>
      <c r="S151" s="38">
        <f>Q151/U151</f>
        <v>11.05</v>
      </c>
      <c r="T151" s="38">
        <f>S151*AR151</f>
        <v>22100</v>
      </c>
      <c r="U151" s="38">
        <v>14310000</v>
      </c>
      <c r="V151" s="38">
        <v>14310000</v>
      </c>
      <c r="W151" s="38">
        <v>0</v>
      </c>
      <c r="X151" s="38">
        <v>0</v>
      </c>
      <c r="Y151" s="38">
        <v>216000</v>
      </c>
      <c r="Z151" s="38">
        <f t="shared" si="20"/>
        <v>2386800</v>
      </c>
      <c r="AA151" s="38">
        <v>14094000</v>
      </c>
      <c r="AB151" s="38">
        <f t="shared" si="21"/>
        <v>155738700</v>
      </c>
      <c r="AC151" s="38">
        <f>U151/AR151</f>
        <v>7155</v>
      </c>
      <c r="AD151" s="38">
        <f t="shared" si="16"/>
        <v>7155</v>
      </c>
      <c r="AE151" s="33">
        <v>45381</v>
      </c>
      <c r="AF151" s="33"/>
      <c r="AG151" s="33"/>
      <c r="AH151" s="33">
        <v>45413</v>
      </c>
      <c r="AI151" s="33"/>
      <c r="AJ151" s="42"/>
      <c r="AK151" s="37" t="s">
        <v>1038</v>
      </c>
      <c r="AL151" s="37" t="s">
        <v>1039</v>
      </c>
      <c r="AM151" s="37" t="s">
        <v>1040</v>
      </c>
      <c r="AN151" s="37" t="s">
        <v>50</v>
      </c>
      <c r="AO151" s="43">
        <v>100</v>
      </c>
      <c r="AP151" s="35">
        <v>0</v>
      </c>
      <c r="AQ151" s="35" t="s">
        <v>175</v>
      </c>
      <c r="AR151" s="44">
        <v>2000</v>
      </c>
      <c r="AS151" s="37" t="s">
        <v>176</v>
      </c>
    </row>
    <row r="152" spans="1:45" ht="105" x14ac:dyDescent="0.25">
      <c r="A152" s="46" t="s">
        <v>1041</v>
      </c>
      <c r="B152" s="42">
        <v>45273</v>
      </c>
      <c r="C152" s="37">
        <v>1416</v>
      </c>
      <c r="D152" s="36" t="s">
        <v>1042</v>
      </c>
      <c r="E152" s="1" t="s">
        <v>1043</v>
      </c>
      <c r="F152" s="33">
        <v>45300</v>
      </c>
      <c r="G152" s="35" t="s">
        <v>1044</v>
      </c>
      <c r="H152" s="37" t="s">
        <v>411</v>
      </c>
      <c r="I152" s="37" t="s">
        <v>1045</v>
      </c>
      <c r="J152" s="39">
        <v>206377759.94</v>
      </c>
      <c r="K152" s="40">
        <f>((J152-M152)/J152)*100</f>
        <v>0</v>
      </c>
      <c r="L152" s="41">
        <f>J152-M152</f>
        <v>0</v>
      </c>
      <c r="M152" s="38">
        <v>206377759.94</v>
      </c>
      <c r="N152" s="41">
        <f>J152-O152</f>
        <v>0</v>
      </c>
      <c r="O152" s="38">
        <v>206377759.94</v>
      </c>
      <c r="P152" s="27">
        <f t="shared" si="22"/>
        <v>206377759.94</v>
      </c>
      <c r="Q152" s="27">
        <f t="shared" si="22"/>
        <v>206377759.94</v>
      </c>
      <c r="R152" s="27">
        <f>Q152/U152</f>
        <v>52768.54</v>
      </c>
      <c r="S152" s="38">
        <f>Q152/U152</f>
        <v>52768.54</v>
      </c>
      <c r="T152" s="38">
        <f>S152*AR152</f>
        <v>52768.54</v>
      </c>
      <c r="U152" s="38">
        <v>3911</v>
      </c>
      <c r="V152" s="38">
        <v>1326</v>
      </c>
      <c r="W152" s="38">
        <v>2585</v>
      </c>
      <c r="X152" s="38">
        <v>0</v>
      </c>
      <c r="Y152" s="38">
        <f>1174+2290</f>
        <v>3464</v>
      </c>
      <c r="Z152" s="38">
        <f t="shared" si="20"/>
        <v>182790222.56</v>
      </c>
      <c r="AA152" s="38">
        <f>152+295</f>
        <v>447</v>
      </c>
      <c r="AB152" s="38">
        <f t="shared" si="21"/>
        <v>23587537.379999999</v>
      </c>
      <c r="AC152" s="38">
        <f>U152/AR152</f>
        <v>3911</v>
      </c>
      <c r="AD152" s="38">
        <f t="shared" si="16"/>
        <v>3911</v>
      </c>
      <c r="AE152" s="33">
        <v>45366</v>
      </c>
      <c r="AF152" s="33">
        <v>45413</v>
      </c>
      <c r="AG152" s="33"/>
      <c r="AH152" s="33">
        <v>45397</v>
      </c>
      <c r="AI152" s="33">
        <v>45458</v>
      </c>
      <c r="AJ152" s="42"/>
      <c r="AK152" s="37" t="s">
        <v>786</v>
      </c>
      <c r="AL152" s="37" t="s">
        <v>1046</v>
      </c>
      <c r="AM152" s="37" t="s">
        <v>788</v>
      </c>
      <c r="AN152" s="37" t="s">
        <v>326</v>
      </c>
      <c r="AO152" s="43">
        <v>0</v>
      </c>
      <c r="AP152" s="35">
        <v>100</v>
      </c>
      <c r="AQ152" s="35" t="s">
        <v>164</v>
      </c>
      <c r="AR152" s="44">
        <v>1</v>
      </c>
      <c r="AS152" s="37" t="s">
        <v>176</v>
      </c>
    </row>
    <row r="153" spans="1:45" ht="80.25" customHeight="1" x14ac:dyDescent="0.25">
      <c r="A153" s="46" t="s">
        <v>1047</v>
      </c>
      <c r="B153" s="42">
        <v>45273</v>
      </c>
      <c r="C153" s="37" t="s">
        <v>486</v>
      </c>
      <c r="D153" s="36" t="s">
        <v>1048</v>
      </c>
      <c r="E153" s="1" t="s">
        <v>1049</v>
      </c>
      <c r="F153" s="33">
        <v>45310</v>
      </c>
      <c r="G153" s="35" t="s">
        <v>1050</v>
      </c>
      <c r="H153" s="37" t="s">
        <v>219</v>
      </c>
      <c r="I153" s="37" t="s">
        <v>1051</v>
      </c>
      <c r="J153" s="39">
        <v>997835333.39999998</v>
      </c>
      <c r="K153" s="40">
        <f>((J153-M153)/J153)*100</f>
        <v>0</v>
      </c>
      <c r="L153" s="41">
        <f>J153-M153</f>
        <v>0</v>
      </c>
      <c r="M153" s="38">
        <v>997835333.39999998</v>
      </c>
      <c r="N153" s="41">
        <f>J153-O153</f>
        <v>0</v>
      </c>
      <c r="O153" s="38">
        <v>997835333.39999998</v>
      </c>
      <c r="P153" s="27">
        <f t="shared" si="22"/>
        <v>997835333.39999998</v>
      </c>
      <c r="Q153" s="27">
        <f t="shared" si="22"/>
        <v>997835333.39999998</v>
      </c>
      <c r="R153" s="27">
        <f>Q153/U153</f>
        <v>524.30999999999995</v>
      </c>
      <c r="S153" s="38">
        <f>Q153/U153</f>
        <v>524.30999999999995</v>
      </c>
      <c r="T153" s="38">
        <f>S153*AR153</f>
        <v>15729.3</v>
      </c>
      <c r="U153" s="38">
        <f t="shared" ref="U153:U159" si="23">V153+W153+X153</f>
        <v>1903140</v>
      </c>
      <c r="V153" s="38">
        <v>1903140</v>
      </c>
      <c r="W153" s="38">
        <v>0</v>
      </c>
      <c r="X153" s="38">
        <v>0</v>
      </c>
      <c r="Y153" s="38"/>
      <c r="Z153" s="38">
        <f t="shared" si="20"/>
        <v>0</v>
      </c>
      <c r="AA153" s="38"/>
      <c r="AB153" s="38">
        <f t="shared" si="21"/>
        <v>0</v>
      </c>
      <c r="AC153" s="38">
        <f>U153/AR153</f>
        <v>63438</v>
      </c>
      <c r="AD153" s="38">
        <f t="shared" si="16"/>
        <v>63438</v>
      </c>
      <c r="AE153" s="33">
        <v>45397</v>
      </c>
      <c r="AF153" s="33"/>
      <c r="AG153" s="33"/>
      <c r="AH153" s="33">
        <v>45427</v>
      </c>
      <c r="AI153" s="33"/>
      <c r="AJ153" s="42"/>
      <c r="AK153" s="37" t="s">
        <v>1052</v>
      </c>
      <c r="AL153" s="37" t="s">
        <v>1053</v>
      </c>
      <c r="AM153" s="37" t="s">
        <v>1054</v>
      </c>
      <c r="AN153" s="37" t="s">
        <v>143</v>
      </c>
      <c r="AO153" s="43">
        <v>0</v>
      </c>
      <c r="AP153" s="35">
        <v>100</v>
      </c>
      <c r="AQ153" s="35" t="s">
        <v>441</v>
      </c>
      <c r="AR153" s="44">
        <v>30</v>
      </c>
      <c r="AS153" s="37" t="s">
        <v>52</v>
      </c>
    </row>
    <row r="154" spans="1:45" ht="105" x14ac:dyDescent="0.25">
      <c r="A154" s="46" t="s">
        <v>1055</v>
      </c>
      <c r="B154" s="42">
        <v>45273</v>
      </c>
      <c r="C154" s="37" t="s">
        <v>486</v>
      </c>
      <c r="D154" s="36" t="s">
        <v>1056</v>
      </c>
      <c r="E154" s="1" t="s">
        <v>1057</v>
      </c>
      <c r="F154" s="33">
        <v>45309</v>
      </c>
      <c r="G154" s="35" t="s">
        <v>1058</v>
      </c>
      <c r="H154" s="37" t="s">
        <v>219</v>
      </c>
      <c r="I154" s="37" t="s">
        <v>1059</v>
      </c>
      <c r="J154" s="39">
        <v>433303291.19999999</v>
      </c>
      <c r="K154" s="40">
        <f>((J154-M154)/J154)*100</f>
        <v>0</v>
      </c>
      <c r="L154" s="41">
        <f>J154-M154</f>
        <v>0</v>
      </c>
      <c r="M154" s="38">
        <v>433303291.19999999</v>
      </c>
      <c r="N154" s="41">
        <f>J154-O154</f>
        <v>0</v>
      </c>
      <c r="O154" s="38">
        <v>433303291.19999999</v>
      </c>
      <c r="P154" s="27">
        <f t="shared" si="22"/>
        <v>433303291.19999999</v>
      </c>
      <c r="Q154" s="27">
        <f t="shared" si="22"/>
        <v>433303291.19999999</v>
      </c>
      <c r="R154" s="27">
        <f>Q154/U154</f>
        <v>524.31999999999994</v>
      </c>
      <c r="S154" s="38">
        <f>Q154/U154</f>
        <v>524.31999999999994</v>
      </c>
      <c r="T154" s="38">
        <f>S154*AR154</f>
        <v>15729.599999999999</v>
      </c>
      <c r="U154" s="38">
        <f t="shared" si="23"/>
        <v>826410</v>
      </c>
      <c r="V154" s="38">
        <v>826410</v>
      </c>
      <c r="W154" s="38">
        <v>0</v>
      </c>
      <c r="X154" s="38">
        <v>0</v>
      </c>
      <c r="Y154" s="38"/>
      <c r="Z154" s="38">
        <f t="shared" si="20"/>
        <v>0</v>
      </c>
      <c r="AA154" s="38"/>
      <c r="AB154" s="38">
        <f t="shared" si="21"/>
        <v>0</v>
      </c>
      <c r="AC154" s="38">
        <f>U154/AR154</f>
        <v>27547</v>
      </c>
      <c r="AD154" s="38">
        <f t="shared" si="16"/>
        <v>27547</v>
      </c>
      <c r="AE154" s="33">
        <v>45397</v>
      </c>
      <c r="AF154" s="33"/>
      <c r="AG154" s="33"/>
      <c r="AH154" s="33">
        <v>45427</v>
      </c>
      <c r="AI154" s="33"/>
      <c r="AJ154" s="42"/>
      <c r="AK154" s="37" t="s">
        <v>1060</v>
      </c>
      <c r="AL154" s="37" t="s">
        <v>1061</v>
      </c>
      <c r="AM154" s="37" t="s">
        <v>1062</v>
      </c>
      <c r="AN154" s="37" t="s">
        <v>143</v>
      </c>
      <c r="AO154" s="43">
        <v>0</v>
      </c>
      <c r="AP154" s="35">
        <v>100</v>
      </c>
      <c r="AQ154" s="35" t="s">
        <v>441</v>
      </c>
      <c r="AR154" s="44">
        <v>30</v>
      </c>
      <c r="AS154" s="37" t="s">
        <v>52</v>
      </c>
    </row>
    <row r="155" spans="1:45" ht="75.75" customHeight="1" x14ac:dyDescent="0.25">
      <c r="A155" s="46" t="s">
        <v>1063</v>
      </c>
      <c r="B155" s="42">
        <v>45273</v>
      </c>
      <c r="C155" s="37">
        <v>1416</v>
      </c>
      <c r="D155" s="36" t="s">
        <v>1064</v>
      </c>
      <c r="E155" s="1" t="s">
        <v>1065</v>
      </c>
      <c r="F155" s="33">
        <v>45310</v>
      </c>
      <c r="G155" s="35" t="s">
        <v>1066</v>
      </c>
      <c r="H155" s="37" t="s">
        <v>1067</v>
      </c>
      <c r="I155" s="37" t="s">
        <v>1068</v>
      </c>
      <c r="J155" s="39">
        <v>1174571925</v>
      </c>
      <c r="K155" s="40">
        <f>((J155-M155)/J155)*100</f>
        <v>0</v>
      </c>
      <c r="L155" s="41">
        <f>J155-M155</f>
        <v>0</v>
      </c>
      <c r="M155" s="38">
        <v>1174571925</v>
      </c>
      <c r="N155" s="41">
        <f>J155-O155</f>
        <v>0</v>
      </c>
      <c r="O155" s="38">
        <v>1174571925</v>
      </c>
      <c r="P155" s="27">
        <f t="shared" si="22"/>
        <v>1174571925</v>
      </c>
      <c r="Q155" s="27">
        <f t="shared" si="22"/>
        <v>1174571925</v>
      </c>
      <c r="R155" s="27">
        <f>Q155/U155</f>
        <v>18607.080000000002</v>
      </c>
      <c r="S155" s="38">
        <f>Q155/U155</f>
        <v>18607.080000000002</v>
      </c>
      <c r="T155" s="38">
        <f>S155*AR155</f>
        <v>93035.400000000009</v>
      </c>
      <c r="U155" s="38">
        <f t="shared" si="23"/>
        <v>63125</v>
      </c>
      <c r="V155" s="38">
        <f>11310+8690</f>
        <v>20000</v>
      </c>
      <c r="W155" s="38">
        <f>24390+18735</f>
        <v>43125</v>
      </c>
      <c r="X155" s="38">
        <v>0</v>
      </c>
      <c r="Y155" s="38">
        <f>11310+24390</f>
        <v>35700</v>
      </c>
      <c r="Z155" s="38">
        <f t="shared" si="20"/>
        <v>664272756.00000012</v>
      </c>
      <c r="AA155" s="38">
        <f>8690+18735</f>
        <v>27425</v>
      </c>
      <c r="AB155" s="38">
        <f t="shared" si="21"/>
        <v>510299169.00000006</v>
      </c>
      <c r="AC155" s="38">
        <f>U155/AR155</f>
        <v>12625</v>
      </c>
      <c r="AD155" s="38">
        <f t="shared" si="16"/>
        <v>12625</v>
      </c>
      <c r="AE155" s="33">
        <v>45443</v>
      </c>
      <c r="AF155" s="33">
        <v>45596</v>
      </c>
      <c r="AG155" s="33"/>
      <c r="AH155" s="33">
        <v>45474</v>
      </c>
      <c r="AI155" s="33">
        <v>45627</v>
      </c>
      <c r="AJ155" s="42"/>
      <c r="AK155" s="37" t="s">
        <v>1069</v>
      </c>
      <c r="AL155" s="37" t="s">
        <v>1070</v>
      </c>
      <c r="AM155" s="37" t="s">
        <v>1071</v>
      </c>
      <c r="AN155" s="37" t="s">
        <v>174</v>
      </c>
      <c r="AO155" s="43">
        <v>0</v>
      </c>
      <c r="AP155" s="35">
        <v>100</v>
      </c>
      <c r="AQ155" s="35" t="s">
        <v>164</v>
      </c>
      <c r="AR155" s="44">
        <v>5</v>
      </c>
      <c r="AS155" s="37" t="s">
        <v>52</v>
      </c>
    </row>
    <row r="156" spans="1:45" ht="60" customHeight="1" x14ac:dyDescent="0.25">
      <c r="A156" s="46" t="s">
        <v>1072</v>
      </c>
      <c r="B156" s="42">
        <v>45274</v>
      </c>
      <c r="C156" s="37">
        <v>545</v>
      </c>
      <c r="D156" s="36" t="s">
        <v>1073</v>
      </c>
      <c r="E156" s="1" t="s">
        <v>1074</v>
      </c>
      <c r="F156" s="33">
        <v>45313</v>
      </c>
      <c r="G156" s="35" t="s">
        <v>1075</v>
      </c>
      <c r="H156" s="37" t="s">
        <v>374</v>
      </c>
      <c r="I156" s="37" t="s">
        <v>375</v>
      </c>
      <c r="J156" s="39">
        <v>675266099.20000005</v>
      </c>
      <c r="K156" s="40">
        <f>((J156-M156)/J156)*100</f>
        <v>0</v>
      </c>
      <c r="L156" s="41">
        <f>J156-M156</f>
        <v>0</v>
      </c>
      <c r="M156" s="38">
        <v>675266099.20000005</v>
      </c>
      <c r="N156" s="41">
        <f>J156-O156</f>
        <v>0</v>
      </c>
      <c r="O156" s="38">
        <v>675266099.20000005</v>
      </c>
      <c r="P156" s="27">
        <v>825995139.20000005</v>
      </c>
      <c r="Q156" s="27">
        <f t="shared" si="22"/>
        <v>825995139.20000005</v>
      </c>
      <c r="R156" s="27">
        <f>Q156/U156</f>
        <v>10766.36</v>
      </c>
      <c r="S156" s="38">
        <f>Q156/U156</f>
        <v>10766.36</v>
      </c>
      <c r="T156" s="38">
        <f>S156*AR156</f>
        <v>1507290.4000000001</v>
      </c>
      <c r="U156" s="38">
        <f t="shared" si="23"/>
        <v>76720</v>
      </c>
      <c r="V156" s="38">
        <v>43400</v>
      </c>
      <c r="W156" s="38">
        <f>32200+1120</f>
        <v>33320</v>
      </c>
      <c r="X156" s="38">
        <v>0</v>
      </c>
      <c r="Y156" s="38">
        <v>0</v>
      </c>
      <c r="Z156" s="38">
        <f t="shared" si="20"/>
        <v>0</v>
      </c>
      <c r="AA156" s="38">
        <v>0</v>
      </c>
      <c r="AB156" s="38">
        <f t="shared" si="21"/>
        <v>0</v>
      </c>
      <c r="AC156" s="38">
        <f>U156/AR156</f>
        <v>548</v>
      </c>
      <c r="AD156" s="38">
        <f t="shared" si="16"/>
        <v>548</v>
      </c>
      <c r="AE156" s="33">
        <v>45444</v>
      </c>
      <c r="AF156" s="33">
        <v>45505</v>
      </c>
      <c r="AG156" s="33"/>
      <c r="AH156" s="33">
        <v>45474</v>
      </c>
      <c r="AI156" s="33">
        <v>45536</v>
      </c>
      <c r="AJ156" s="42"/>
      <c r="AK156" s="37" t="s">
        <v>376</v>
      </c>
      <c r="AL156" s="37" t="s">
        <v>377</v>
      </c>
      <c r="AM156" s="37" t="s">
        <v>378</v>
      </c>
      <c r="AN156" s="37" t="s">
        <v>224</v>
      </c>
      <c r="AO156" s="43">
        <v>0</v>
      </c>
      <c r="AP156" s="35">
        <v>100</v>
      </c>
      <c r="AQ156" s="35" t="s">
        <v>379</v>
      </c>
      <c r="AR156" s="44">
        <v>140</v>
      </c>
      <c r="AS156" s="37" t="s">
        <v>52</v>
      </c>
    </row>
    <row r="157" spans="1:45" ht="105" x14ac:dyDescent="0.25">
      <c r="A157" s="46" t="s">
        <v>1076</v>
      </c>
      <c r="B157" s="42">
        <v>45274</v>
      </c>
      <c r="C157" s="37">
        <v>1416</v>
      </c>
      <c r="D157" s="36" t="s">
        <v>485</v>
      </c>
      <c r="E157" s="1" t="s">
        <v>1077</v>
      </c>
      <c r="F157" s="33" t="s">
        <v>485</v>
      </c>
      <c r="G157" s="35" t="s">
        <v>485</v>
      </c>
      <c r="H157" s="37" t="s">
        <v>485</v>
      </c>
      <c r="I157" s="37" t="s">
        <v>1078</v>
      </c>
      <c r="J157" s="39">
        <v>1379400</v>
      </c>
      <c r="K157" s="40">
        <f>((J157-M157)/J157)*100</f>
        <v>100</v>
      </c>
      <c r="L157" s="41">
        <f>J157-M157</f>
        <v>1379400</v>
      </c>
      <c r="M157" s="38"/>
      <c r="N157" s="41">
        <f>J157-O157</f>
        <v>1379400</v>
      </c>
      <c r="O157" s="38">
        <v>0</v>
      </c>
      <c r="P157" s="27">
        <f t="shared" ref="P157:Q172" si="24">O157</f>
        <v>0</v>
      </c>
      <c r="Q157" s="27">
        <f t="shared" si="22"/>
        <v>0</v>
      </c>
      <c r="R157" s="27" t="e">
        <f>Q157/U157</f>
        <v>#DIV/0!</v>
      </c>
      <c r="S157" s="38" t="e">
        <f>Q157/U157</f>
        <v>#DIV/0!</v>
      </c>
      <c r="T157" s="38" t="e">
        <f>S157*AR157</f>
        <v>#DIV/0!</v>
      </c>
      <c r="U157" s="38">
        <f t="shared" si="23"/>
        <v>0</v>
      </c>
      <c r="V157" s="38">
        <v>0</v>
      </c>
      <c r="W157" s="38">
        <v>0</v>
      </c>
      <c r="X157" s="38">
        <v>0</v>
      </c>
      <c r="Y157" s="38"/>
      <c r="Z157" s="38" t="e">
        <f t="shared" si="20"/>
        <v>#DIV/0!</v>
      </c>
      <c r="AA157" s="38"/>
      <c r="AB157" s="38" t="e">
        <f t="shared" si="21"/>
        <v>#DIV/0!</v>
      </c>
      <c r="AC157" s="38" t="e">
        <f>U157/AR157</f>
        <v>#DIV/0!</v>
      </c>
      <c r="AD157" s="38" t="e">
        <f t="shared" si="16"/>
        <v>#DIV/0!</v>
      </c>
      <c r="AE157" s="33">
        <v>45352</v>
      </c>
      <c r="AF157" s="33"/>
      <c r="AG157" s="33"/>
      <c r="AH157" s="33"/>
      <c r="AI157" s="33"/>
      <c r="AJ157" s="42"/>
      <c r="AK157" s="37"/>
      <c r="AL157" s="37"/>
      <c r="AM157" s="37"/>
      <c r="AN157" s="37"/>
      <c r="AO157" s="43"/>
      <c r="AP157" s="35"/>
      <c r="AQ157" s="35"/>
      <c r="AR157" s="44"/>
      <c r="AS157" s="37" t="s">
        <v>485</v>
      </c>
    </row>
    <row r="158" spans="1:45" ht="93" customHeight="1" x14ac:dyDescent="0.25">
      <c r="A158" s="46" t="s">
        <v>1079</v>
      </c>
      <c r="B158" s="42">
        <v>45275</v>
      </c>
      <c r="C158" s="37" t="s">
        <v>486</v>
      </c>
      <c r="D158" s="36" t="s">
        <v>1080</v>
      </c>
      <c r="E158" s="1" t="s">
        <v>1081</v>
      </c>
      <c r="F158" s="33">
        <v>45314</v>
      </c>
      <c r="G158" s="35" t="s">
        <v>1082</v>
      </c>
      <c r="H158" s="37" t="s">
        <v>863</v>
      </c>
      <c r="I158" s="37" t="s">
        <v>864</v>
      </c>
      <c r="J158" s="39">
        <v>1526748762</v>
      </c>
      <c r="K158" s="40">
        <f>((J158-M158)/J158)*100</f>
        <v>0</v>
      </c>
      <c r="L158" s="41">
        <f>J158-M158</f>
        <v>0</v>
      </c>
      <c r="M158" s="38">
        <v>1526748762</v>
      </c>
      <c r="N158" s="41">
        <f>J158-O158</f>
        <v>0</v>
      </c>
      <c r="O158" s="38">
        <v>1526748762</v>
      </c>
      <c r="P158" s="27">
        <f t="shared" si="24"/>
        <v>1526748762</v>
      </c>
      <c r="Q158" s="27">
        <f t="shared" si="24"/>
        <v>1526748762</v>
      </c>
      <c r="R158" s="27">
        <f>Q158/U158</f>
        <v>204.82</v>
      </c>
      <c r="S158" s="38">
        <f>Q158/U158</f>
        <v>204.82</v>
      </c>
      <c r="T158" s="38">
        <f>S158*AR158</f>
        <v>6144.5999999999995</v>
      </c>
      <c r="U158" s="38">
        <f t="shared" si="23"/>
        <v>7454100</v>
      </c>
      <c r="V158" s="38">
        <v>7454100</v>
      </c>
      <c r="W158" s="38">
        <v>0</v>
      </c>
      <c r="X158" s="38">
        <v>0</v>
      </c>
      <c r="Y158" s="38"/>
      <c r="Z158" s="38">
        <f t="shared" si="20"/>
        <v>0</v>
      </c>
      <c r="AA158" s="38"/>
      <c r="AB158" s="38">
        <f t="shared" si="21"/>
        <v>0</v>
      </c>
      <c r="AC158" s="38">
        <f>U158/AR158</f>
        <v>248470</v>
      </c>
      <c r="AD158" s="38">
        <f t="shared" si="16"/>
        <v>248470</v>
      </c>
      <c r="AE158" s="33">
        <v>45383</v>
      </c>
      <c r="AF158" s="33"/>
      <c r="AG158" s="33"/>
      <c r="AH158" s="33">
        <v>45413</v>
      </c>
      <c r="AI158" s="33"/>
      <c r="AJ158" s="42"/>
      <c r="AK158" s="37" t="s">
        <v>1083</v>
      </c>
      <c r="AL158" s="37" t="s">
        <v>1084</v>
      </c>
      <c r="AM158" s="37" t="s">
        <v>1085</v>
      </c>
      <c r="AN158" s="37" t="s">
        <v>50</v>
      </c>
      <c r="AO158" s="43">
        <v>100</v>
      </c>
      <c r="AP158" s="35">
        <v>0</v>
      </c>
      <c r="AQ158" s="35" t="s">
        <v>441</v>
      </c>
      <c r="AR158" s="44">
        <v>30</v>
      </c>
      <c r="AS158" s="37" t="s">
        <v>52</v>
      </c>
    </row>
    <row r="159" spans="1:45" ht="75" customHeight="1" x14ac:dyDescent="0.25">
      <c r="A159" s="46" t="s">
        <v>1086</v>
      </c>
      <c r="B159" s="42">
        <v>45275</v>
      </c>
      <c r="C159" s="37" t="s">
        <v>486</v>
      </c>
      <c r="D159" s="36" t="s">
        <v>1087</v>
      </c>
      <c r="E159" s="1" t="s">
        <v>1088</v>
      </c>
      <c r="F159" s="33">
        <v>45314</v>
      </c>
      <c r="G159" s="35" t="s">
        <v>1089</v>
      </c>
      <c r="H159" s="37" t="s">
        <v>863</v>
      </c>
      <c r="I159" s="37" t="s">
        <v>864</v>
      </c>
      <c r="J159" s="39">
        <v>1140112096.2</v>
      </c>
      <c r="K159" s="40">
        <f>((J159-M159)/J159)*100</f>
        <v>0</v>
      </c>
      <c r="L159" s="41">
        <f>J159-M159</f>
        <v>0</v>
      </c>
      <c r="M159" s="38">
        <v>1140112096.2</v>
      </c>
      <c r="N159" s="41">
        <f>J159-O159</f>
        <v>0</v>
      </c>
      <c r="O159" s="38">
        <v>1140112096.2</v>
      </c>
      <c r="P159" s="27">
        <f t="shared" si="24"/>
        <v>1140112096.2</v>
      </c>
      <c r="Q159" s="27">
        <f t="shared" si="24"/>
        <v>1140112096.2</v>
      </c>
      <c r="R159" s="27">
        <f>Q159/U159</f>
        <v>204.82000000000002</v>
      </c>
      <c r="S159" s="38">
        <f>Q159/U159</f>
        <v>204.82000000000002</v>
      </c>
      <c r="T159" s="38">
        <f>S159*AR159</f>
        <v>6144.6</v>
      </c>
      <c r="U159" s="38">
        <f t="shared" si="23"/>
        <v>5566410</v>
      </c>
      <c r="V159" s="38">
        <v>5566410</v>
      </c>
      <c r="W159" s="38">
        <v>0</v>
      </c>
      <c r="X159" s="38">
        <v>0</v>
      </c>
      <c r="Y159" s="38">
        <v>0</v>
      </c>
      <c r="Z159" s="38">
        <f t="shared" si="20"/>
        <v>0</v>
      </c>
      <c r="AA159" s="38">
        <v>0</v>
      </c>
      <c r="AB159" s="38">
        <f t="shared" si="21"/>
        <v>0</v>
      </c>
      <c r="AC159" s="38">
        <f>U159/AR159</f>
        <v>185547</v>
      </c>
      <c r="AD159" s="38">
        <f t="shared" si="16"/>
        <v>185547</v>
      </c>
      <c r="AE159" s="33">
        <v>45352</v>
      </c>
      <c r="AF159" s="33"/>
      <c r="AG159" s="33"/>
      <c r="AH159" s="33">
        <v>45383</v>
      </c>
      <c r="AI159" s="33"/>
      <c r="AJ159" s="42"/>
      <c r="AK159" s="37" t="s">
        <v>865</v>
      </c>
      <c r="AL159" s="37" t="s">
        <v>866</v>
      </c>
      <c r="AM159" s="37" t="s">
        <v>867</v>
      </c>
      <c r="AN159" s="37" t="s">
        <v>50</v>
      </c>
      <c r="AO159" s="43">
        <v>100</v>
      </c>
      <c r="AP159" s="35">
        <v>0</v>
      </c>
      <c r="AQ159" s="35" t="s">
        <v>441</v>
      </c>
      <c r="AR159" s="44">
        <v>30</v>
      </c>
      <c r="AS159" s="37" t="s">
        <v>176</v>
      </c>
    </row>
    <row r="160" spans="1:45" ht="94.5" customHeight="1" x14ac:dyDescent="0.25">
      <c r="A160" s="46" t="s">
        <v>1090</v>
      </c>
      <c r="B160" s="42">
        <v>45275</v>
      </c>
      <c r="C160" s="37">
        <v>1416</v>
      </c>
      <c r="D160" s="36" t="s">
        <v>1091</v>
      </c>
      <c r="E160" s="1" t="s">
        <v>1092</v>
      </c>
      <c r="F160" s="33">
        <v>45313</v>
      </c>
      <c r="G160" s="35" t="s">
        <v>1093</v>
      </c>
      <c r="H160" s="37" t="s">
        <v>169</v>
      </c>
      <c r="I160" s="37" t="s">
        <v>756</v>
      </c>
      <c r="J160" s="39">
        <v>421756960</v>
      </c>
      <c r="K160" s="40">
        <f>((J160-M160)/J160)*100</f>
        <v>0</v>
      </c>
      <c r="L160" s="41">
        <f>J160-M160</f>
        <v>0</v>
      </c>
      <c r="M160" s="38">
        <v>421756960</v>
      </c>
      <c r="N160" s="41">
        <f>J160-O160</f>
        <v>210878480</v>
      </c>
      <c r="O160" s="38">
        <v>210878480</v>
      </c>
      <c r="P160" s="27">
        <f t="shared" si="24"/>
        <v>210878480</v>
      </c>
      <c r="Q160" s="27">
        <v>421756960</v>
      </c>
      <c r="R160" s="27">
        <f>Q160/U160</f>
        <v>10.72</v>
      </c>
      <c r="S160" s="38">
        <f>Q160/U160</f>
        <v>10.72</v>
      </c>
      <c r="T160" s="38" t="e">
        <f>S160*AR160</f>
        <v>#VALUE!</v>
      </c>
      <c r="U160" s="38">
        <v>39343000</v>
      </c>
      <c r="V160" s="38">
        <f>6456500+3381500</f>
        <v>9838000</v>
      </c>
      <c r="W160" s="38">
        <f>6456500+3377000</f>
        <v>9833500</v>
      </c>
      <c r="X160" s="38">
        <v>0</v>
      </c>
      <c r="Y160" s="38">
        <f>6456500+6456500</f>
        <v>12913000</v>
      </c>
      <c r="Z160" s="38">
        <f t="shared" si="20"/>
        <v>138427360</v>
      </c>
      <c r="AA160" s="38">
        <f>3381500+3377000</f>
        <v>6758500</v>
      </c>
      <c r="AB160" s="38">
        <f t="shared" si="21"/>
        <v>72451120</v>
      </c>
      <c r="AC160" s="38" t="s">
        <v>1094</v>
      </c>
      <c r="AD160" s="39" t="s">
        <v>1095</v>
      </c>
      <c r="AE160" s="33">
        <v>45352</v>
      </c>
      <c r="AF160" s="33">
        <v>45504</v>
      </c>
      <c r="AG160" s="33">
        <v>45717</v>
      </c>
      <c r="AH160" s="33">
        <v>45383</v>
      </c>
      <c r="AI160" s="33">
        <v>45536</v>
      </c>
      <c r="AJ160" s="42">
        <v>45748</v>
      </c>
      <c r="AK160" s="37" t="s">
        <v>1096</v>
      </c>
      <c r="AL160" s="37" t="s">
        <v>1097</v>
      </c>
      <c r="AM160" s="37" t="s">
        <v>1098</v>
      </c>
      <c r="AN160" s="37" t="s">
        <v>1099</v>
      </c>
      <c r="AO160" s="43">
        <v>0</v>
      </c>
      <c r="AP160" s="35">
        <v>100</v>
      </c>
      <c r="AQ160" s="35" t="s">
        <v>175</v>
      </c>
      <c r="AR160" s="48" t="s">
        <v>1100</v>
      </c>
      <c r="AS160" s="37" t="s">
        <v>380</v>
      </c>
    </row>
    <row r="161" spans="1:45" ht="105" x14ac:dyDescent="0.25">
      <c r="A161" s="46" t="s">
        <v>1101</v>
      </c>
      <c r="B161" s="42">
        <v>45275</v>
      </c>
      <c r="C161" s="37">
        <v>1416</v>
      </c>
      <c r="D161" s="36" t="s">
        <v>1102</v>
      </c>
      <c r="E161" s="1" t="s">
        <v>1103</v>
      </c>
      <c r="F161" s="33">
        <v>45314</v>
      </c>
      <c r="G161" s="35" t="s">
        <v>1104</v>
      </c>
      <c r="H161" s="37" t="s">
        <v>411</v>
      </c>
      <c r="I161" s="37" t="s">
        <v>1105</v>
      </c>
      <c r="J161" s="39">
        <v>1696403023.9200001</v>
      </c>
      <c r="K161" s="40">
        <f>((J161-M161)/J161)*100</f>
        <v>0</v>
      </c>
      <c r="L161" s="41">
        <f>J161-M161</f>
        <v>0</v>
      </c>
      <c r="M161" s="38">
        <v>1696403023.9200001</v>
      </c>
      <c r="N161" s="41">
        <f>J161-O161</f>
        <v>0</v>
      </c>
      <c r="O161" s="38">
        <v>1696403023.9200001</v>
      </c>
      <c r="P161" s="27">
        <f t="shared" si="24"/>
        <v>1696403023.9200001</v>
      </c>
      <c r="Q161" s="27">
        <f t="shared" si="24"/>
        <v>1696403023.9200001</v>
      </c>
      <c r="R161" s="27">
        <f>Q161/U161</f>
        <v>263842.7</v>
      </c>
      <c r="S161" s="38">
        <f>Q161/U161</f>
        <v>263842.7</v>
      </c>
      <c r="T161" s="38">
        <f>S161*AR161</f>
        <v>105537.08000000002</v>
      </c>
      <c r="U161" s="38">
        <f t="shared" ref="U161:U173" si="25">V161+W161+X161</f>
        <v>6429.6</v>
      </c>
      <c r="V161" s="38">
        <f>1141.6+186.8</f>
        <v>1328.3999999999999</v>
      </c>
      <c r="W161" s="38">
        <f>4385.6+715.6</f>
        <v>5101.2000000000007</v>
      </c>
      <c r="X161" s="38">
        <v>0</v>
      </c>
      <c r="Y161" s="38">
        <f>1141.6+4385.6</f>
        <v>5527.2000000000007</v>
      </c>
      <c r="Z161" s="38">
        <f t="shared" si="20"/>
        <v>1458311371.4400003</v>
      </c>
      <c r="AA161" s="38">
        <f>186.8+715.6</f>
        <v>902.40000000000009</v>
      </c>
      <c r="AB161" s="38">
        <f t="shared" si="21"/>
        <v>238091652.48000005</v>
      </c>
      <c r="AC161" s="38">
        <f>U161/AR161</f>
        <v>16074</v>
      </c>
      <c r="AD161" s="38">
        <f t="shared" ref="AD161:AD224" si="26">_xlfn.CEILING.MATH(AC161)</f>
        <v>16074</v>
      </c>
      <c r="AE161" s="33">
        <v>45366</v>
      </c>
      <c r="AF161" s="33">
        <v>45412</v>
      </c>
      <c r="AG161" s="33"/>
      <c r="AH161" s="33">
        <v>45397</v>
      </c>
      <c r="AI161" s="33">
        <v>45444</v>
      </c>
      <c r="AJ161" s="42"/>
      <c r="AK161" s="37" t="s">
        <v>786</v>
      </c>
      <c r="AL161" s="37" t="s">
        <v>1106</v>
      </c>
      <c r="AM161" s="37" t="s">
        <v>788</v>
      </c>
      <c r="AN161" s="37" t="s">
        <v>326</v>
      </c>
      <c r="AO161" s="43">
        <v>0</v>
      </c>
      <c r="AP161" s="35">
        <v>100</v>
      </c>
      <c r="AQ161" s="35" t="s">
        <v>164</v>
      </c>
      <c r="AR161" s="49">
        <v>0.4</v>
      </c>
      <c r="AS161" s="37" t="s">
        <v>176</v>
      </c>
    </row>
    <row r="162" spans="1:45" ht="69" customHeight="1" x14ac:dyDescent="0.25">
      <c r="A162" s="46" t="s">
        <v>1107</v>
      </c>
      <c r="B162" s="42">
        <v>45275</v>
      </c>
      <c r="C162" s="37">
        <v>1416</v>
      </c>
      <c r="D162" s="36" t="s">
        <v>485</v>
      </c>
      <c r="E162" s="1" t="s">
        <v>1108</v>
      </c>
      <c r="F162" s="33" t="s">
        <v>485</v>
      </c>
      <c r="G162" s="35" t="s">
        <v>485</v>
      </c>
      <c r="H162" s="37" t="s">
        <v>485</v>
      </c>
      <c r="I162" s="37" t="s">
        <v>1109</v>
      </c>
      <c r="J162" s="39">
        <v>63181752.479999997</v>
      </c>
      <c r="K162" s="40">
        <f>((J162-M162)/J162)*100</f>
        <v>100</v>
      </c>
      <c r="L162" s="41">
        <f>J162-M162</f>
        <v>63181752.479999997</v>
      </c>
      <c r="M162" s="38"/>
      <c r="N162" s="41">
        <f>J162-O162</f>
        <v>63181752.479999997</v>
      </c>
      <c r="O162" s="38">
        <v>0</v>
      </c>
      <c r="P162" s="27">
        <f t="shared" si="24"/>
        <v>0</v>
      </c>
      <c r="Q162" s="27">
        <f t="shared" si="24"/>
        <v>0</v>
      </c>
      <c r="R162" s="27" t="e">
        <f>Q162/U162</f>
        <v>#DIV/0!</v>
      </c>
      <c r="S162" s="38" t="e">
        <f>Q162/U162</f>
        <v>#DIV/0!</v>
      </c>
      <c r="T162" s="38" t="e">
        <f>S162*AR162</f>
        <v>#DIV/0!</v>
      </c>
      <c r="U162" s="38">
        <f t="shared" si="25"/>
        <v>0</v>
      </c>
      <c r="V162" s="38">
        <v>0</v>
      </c>
      <c r="W162" s="38">
        <v>0</v>
      </c>
      <c r="X162" s="38">
        <v>0</v>
      </c>
      <c r="Y162" s="38"/>
      <c r="Z162" s="38" t="e">
        <f t="shared" si="20"/>
        <v>#DIV/0!</v>
      </c>
      <c r="AA162" s="38"/>
      <c r="AB162" s="38" t="e">
        <f t="shared" si="21"/>
        <v>#DIV/0!</v>
      </c>
      <c r="AC162" s="38" t="e">
        <f>U162/AR162</f>
        <v>#DIV/0!</v>
      </c>
      <c r="AD162" s="38" t="e">
        <f t="shared" si="26"/>
        <v>#DIV/0!</v>
      </c>
      <c r="AE162" s="33">
        <v>45352</v>
      </c>
      <c r="AF162" s="33"/>
      <c r="AG162" s="33"/>
      <c r="AH162" s="33"/>
      <c r="AI162" s="33"/>
      <c r="AJ162" s="42"/>
      <c r="AK162" s="37"/>
      <c r="AL162" s="37"/>
      <c r="AM162" s="37"/>
      <c r="AN162" s="37"/>
      <c r="AO162" s="43"/>
      <c r="AP162" s="35"/>
      <c r="AQ162" s="35"/>
      <c r="AR162" s="44"/>
      <c r="AS162" s="37" t="s">
        <v>485</v>
      </c>
    </row>
    <row r="163" spans="1:45" ht="69.75" customHeight="1" x14ac:dyDescent="0.25">
      <c r="A163" s="46" t="s">
        <v>1110</v>
      </c>
      <c r="B163" s="42">
        <v>45275</v>
      </c>
      <c r="C163" s="37">
        <v>1416</v>
      </c>
      <c r="D163" s="36" t="s">
        <v>1111</v>
      </c>
      <c r="E163" s="1" t="s">
        <v>1112</v>
      </c>
      <c r="F163" s="33">
        <v>45313</v>
      </c>
      <c r="G163" s="35" t="s">
        <v>1113</v>
      </c>
      <c r="H163" s="37" t="s">
        <v>169</v>
      </c>
      <c r="I163" s="37" t="s">
        <v>1114</v>
      </c>
      <c r="J163" s="39">
        <v>360340176</v>
      </c>
      <c r="K163" s="40">
        <f>((J163-M163)/J163)*100</f>
        <v>0</v>
      </c>
      <c r="L163" s="41">
        <f>J163-M163</f>
        <v>0</v>
      </c>
      <c r="M163" s="38">
        <v>360340176</v>
      </c>
      <c r="N163" s="41">
        <f>J163-O163</f>
        <v>0</v>
      </c>
      <c r="O163" s="38">
        <v>360340176</v>
      </c>
      <c r="P163" s="27">
        <f t="shared" si="24"/>
        <v>360340176</v>
      </c>
      <c r="Q163" s="27">
        <f t="shared" si="24"/>
        <v>360340176</v>
      </c>
      <c r="R163" s="27">
        <f>Q163/U163</f>
        <v>175.81</v>
      </c>
      <c r="S163" s="38">
        <f>Q163/U163</f>
        <v>175.81</v>
      </c>
      <c r="T163" s="38">
        <f>S163*AR163</f>
        <v>70324</v>
      </c>
      <c r="U163" s="38">
        <f t="shared" si="25"/>
        <v>2049600</v>
      </c>
      <c r="V163" s="38">
        <f>1444800+604800</f>
        <v>2049600</v>
      </c>
      <c r="W163" s="38">
        <v>0</v>
      </c>
      <c r="X163" s="38">
        <v>0</v>
      </c>
      <c r="Y163" s="38">
        <v>1444800</v>
      </c>
      <c r="Z163" s="38">
        <f t="shared" si="20"/>
        <v>254010288</v>
      </c>
      <c r="AA163" s="38">
        <v>604800</v>
      </c>
      <c r="AB163" s="38">
        <f t="shared" si="21"/>
        <v>106329888</v>
      </c>
      <c r="AC163" s="38">
        <f>U163/AR163</f>
        <v>5124</v>
      </c>
      <c r="AD163" s="38">
        <f t="shared" si="26"/>
        <v>5124</v>
      </c>
      <c r="AE163" s="33">
        <v>45352</v>
      </c>
      <c r="AF163" s="33"/>
      <c r="AG163" s="33"/>
      <c r="AH163" s="33">
        <v>45383</v>
      </c>
      <c r="AI163" s="33"/>
      <c r="AJ163" s="42"/>
      <c r="AK163" s="37" t="s">
        <v>1115</v>
      </c>
      <c r="AL163" s="37" t="s">
        <v>1116</v>
      </c>
      <c r="AM163" s="37" t="s">
        <v>1117</v>
      </c>
      <c r="AN163" s="37" t="s">
        <v>174</v>
      </c>
      <c r="AO163" s="43">
        <v>0</v>
      </c>
      <c r="AP163" s="35">
        <v>100</v>
      </c>
      <c r="AQ163" s="35" t="s">
        <v>1118</v>
      </c>
      <c r="AR163" s="44">
        <v>400</v>
      </c>
      <c r="AS163" s="37" t="s">
        <v>176</v>
      </c>
    </row>
    <row r="164" spans="1:45" ht="117.75" customHeight="1" x14ac:dyDescent="0.25">
      <c r="A164" s="46" t="s">
        <v>1119</v>
      </c>
      <c r="B164" s="42">
        <v>45278</v>
      </c>
      <c r="C164" s="37">
        <v>1416</v>
      </c>
      <c r="D164" s="36" t="s">
        <v>485</v>
      </c>
      <c r="E164" s="1" t="s">
        <v>1120</v>
      </c>
      <c r="F164" s="33" t="s">
        <v>485</v>
      </c>
      <c r="G164" s="35" t="s">
        <v>485</v>
      </c>
      <c r="H164" s="37" t="s">
        <v>485</v>
      </c>
      <c r="I164" s="37" t="s">
        <v>1121</v>
      </c>
      <c r="J164" s="39">
        <v>455563001.51999998</v>
      </c>
      <c r="K164" s="40">
        <f>((J164-M164)/J164)*100</f>
        <v>100</v>
      </c>
      <c r="L164" s="41">
        <f>J164-M164</f>
        <v>455563001.51999998</v>
      </c>
      <c r="M164" s="38"/>
      <c r="N164" s="41">
        <f>J164-O164</f>
        <v>455563001.51999998</v>
      </c>
      <c r="O164" s="38">
        <v>0</v>
      </c>
      <c r="P164" s="27">
        <f t="shared" si="24"/>
        <v>0</v>
      </c>
      <c r="Q164" s="27">
        <f t="shared" si="24"/>
        <v>0</v>
      </c>
      <c r="R164" s="27" t="e">
        <f>Q164/U164</f>
        <v>#DIV/0!</v>
      </c>
      <c r="S164" s="38" t="e">
        <f>Q164/U164</f>
        <v>#DIV/0!</v>
      </c>
      <c r="T164" s="38" t="e">
        <f>S164*AR164</f>
        <v>#DIV/0!</v>
      </c>
      <c r="U164" s="38">
        <f t="shared" si="25"/>
        <v>0</v>
      </c>
      <c r="V164" s="38">
        <v>0</v>
      </c>
      <c r="W164" s="38">
        <v>0</v>
      </c>
      <c r="X164" s="38">
        <v>0</v>
      </c>
      <c r="Y164" s="38"/>
      <c r="Z164" s="38" t="e">
        <f t="shared" si="20"/>
        <v>#DIV/0!</v>
      </c>
      <c r="AA164" s="38"/>
      <c r="AB164" s="38" t="e">
        <f t="shared" si="21"/>
        <v>#DIV/0!</v>
      </c>
      <c r="AC164" s="38" t="e">
        <f>U164/AR164</f>
        <v>#DIV/0!</v>
      </c>
      <c r="AD164" s="38" t="e">
        <f t="shared" si="26"/>
        <v>#DIV/0!</v>
      </c>
      <c r="AE164" s="33">
        <v>45352</v>
      </c>
      <c r="AF164" s="33"/>
      <c r="AG164" s="33"/>
      <c r="AH164" s="33"/>
      <c r="AI164" s="33"/>
      <c r="AJ164" s="42"/>
      <c r="AK164" s="37"/>
      <c r="AL164" s="37"/>
      <c r="AM164" s="37"/>
      <c r="AN164" s="37"/>
      <c r="AO164" s="43"/>
      <c r="AP164" s="35"/>
      <c r="AQ164" s="35"/>
      <c r="AR164" s="44"/>
      <c r="AS164" s="37" t="s">
        <v>485</v>
      </c>
    </row>
    <row r="165" spans="1:45" ht="105" x14ac:dyDescent="0.25">
      <c r="A165" s="46" t="s">
        <v>1122</v>
      </c>
      <c r="B165" s="42">
        <v>45278</v>
      </c>
      <c r="C165" s="37">
        <v>545</v>
      </c>
      <c r="D165" s="36" t="s">
        <v>1123</v>
      </c>
      <c r="E165" s="1" t="s">
        <v>1124</v>
      </c>
      <c r="F165" s="33">
        <v>45307</v>
      </c>
      <c r="G165" s="35" t="s">
        <v>1125</v>
      </c>
      <c r="H165" s="37" t="s">
        <v>219</v>
      </c>
      <c r="I165" s="37" t="s">
        <v>1126</v>
      </c>
      <c r="J165" s="39">
        <v>3719931.6</v>
      </c>
      <c r="K165" s="40">
        <f>((J165-M165)/J165)*100</f>
        <v>0</v>
      </c>
      <c r="L165" s="41">
        <f>J165-M165</f>
        <v>0</v>
      </c>
      <c r="M165" s="39">
        <v>3719931.6</v>
      </c>
      <c r="N165" s="41">
        <f>J165-O165</f>
        <v>0</v>
      </c>
      <c r="O165" s="39">
        <v>3719931.6</v>
      </c>
      <c r="P165" s="27">
        <v>4835911.08</v>
      </c>
      <c r="Q165" s="27">
        <f t="shared" si="24"/>
        <v>4835911.08</v>
      </c>
      <c r="R165" s="27">
        <f>Q165/U165</f>
        <v>4428.49</v>
      </c>
      <c r="S165" s="38">
        <f>Q165/U165</f>
        <v>4428.49</v>
      </c>
      <c r="T165" s="38">
        <f>S165*AR165</f>
        <v>123997.72</v>
      </c>
      <c r="U165" s="38">
        <f t="shared" si="25"/>
        <v>1092</v>
      </c>
      <c r="V165" s="38">
        <v>1092</v>
      </c>
      <c r="W165" s="38">
        <v>0</v>
      </c>
      <c r="X165" s="38">
        <v>0</v>
      </c>
      <c r="Y165" s="38"/>
      <c r="Z165" s="38">
        <f t="shared" si="20"/>
        <v>0</v>
      </c>
      <c r="AA165" s="38"/>
      <c r="AB165" s="38">
        <f t="shared" si="21"/>
        <v>0</v>
      </c>
      <c r="AC165" s="38">
        <f>U165/AR165</f>
        <v>39</v>
      </c>
      <c r="AD165" s="38">
        <f t="shared" si="26"/>
        <v>39</v>
      </c>
      <c r="AE165" s="33">
        <v>45337</v>
      </c>
      <c r="AF165" s="33"/>
      <c r="AG165" s="33"/>
      <c r="AH165" s="33">
        <v>45366</v>
      </c>
      <c r="AI165" s="33"/>
      <c r="AJ165" s="42"/>
      <c r="AK165" s="37" t="s">
        <v>1127</v>
      </c>
      <c r="AL165" s="37" t="s">
        <v>1128</v>
      </c>
      <c r="AM165" s="37" t="s">
        <v>1129</v>
      </c>
      <c r="AN165" s="37" t="s">
        <v>143</v>
      </c>
      <c r="AO165" s="43">
        <v>0</v>
      </c>
      <c r="AP165" s="35">
        <v>100</v>
      </c>
      <c r="AQ165" s="35" t="s">
        <v>441</v>
      </c>
      <c r="AR165" s="44">
        <v>28</v>
      </c>
      <c r="AS165" s="37" t="s">
        <v>176</v>
      </c>
    </row>
    <row r="166" spans="1:45" ht="66" customHeight="1" x14ac:dyDescent="0.25">
      <c r="A166" s="46" t="s">
        <v>1130</v>
      </c>
      <c r="B166" s="42">
        <v>45280</v>
      </c>
      <c r="C166" s="37">
        <v>1416</v>
      </c>
      <c r="D166" s="36" t="s">
        <v>1131</v>
      </c>
      <c r="E166" s="1" t="s">
        <v>1132</v>
      </c>
      <c r="F166" s="33">
        <v>45314</v>
      </c>
      <c r="G166" s="35" t="s">
        <v>1133</v>
      </c>
      <c r="H166" s="37" t="s">
        <v>219</v>
      </c>
      <c r="I166" s="37" t="s">
        <v>1134</v>
      </c>
      <c r="J166" s="39">
        <v>466054680</v>
      </c>
      <c r="K166" s="40">
        <f>((J166-M166)/J166)*100</f>
        <v>0</v>
      </c>
      <c r="L166" s="41">
        <f>J166-M166</f>
        <v>0</v>
      </c>
      <c r="M166" s="38">
        <v>466054680</v>
      </c>
      <c r="N166" s="41">
        <f>J166-O166</f>
        <v>0</v>
      </c>
      <c r="O166" s="38">
        <v>466054680</v>
      </c>
      <c r="P166" s="27">
        <f t="shared" ref="P166:Q190" si="27">O166</f>
        <v>466054680</v>
      </c>
      <c r="Q166" s="27">
        <f t="shared" si="24"/>
        <v>466054680</v>
      </c>
      <c r="R166" s="27">
        <f>Q166/U166</f>
        <v>164.15</v>
      </c>
      <c r="S166" s="38">
        <f>Q166/U166</f>
        <v>164.15</v>
      </c>
      <c r="T166" s="38">
        <f>S166*AR166</f>
        <v>65660</v>
      </c>
      <c r="U166" s="38">
        <f t="shared" si="25"/>
        <v>2839200</v>
      </c>
      <c r="V166" s="38">
        <f>1603600+1235600</f>
        <v>2839200</v>
      </c>
      <c r="W166" s="38">
        <v>0</v>
      </c>
      <c r="X166" s="38">
        <v>0</v>
      </c>
      <c r="Y166" s="38">
        <v>1330000</v>
      </c>
      <c r="Z166" s="38">
        <f t="shared" si="20"/>
        <v>218319500</v>
      </c>
      <c r="AA166" s="38">
        <v>1509200</v>
      </c>
      <c r="AB166" s="38">
        <f t="shared" si="21"/>
        <v>247735180</v>
      </c>
      <c r="AC166" s="38">
        <f>U166/AR166</f>
        <v>7098</v>
      </c>
      <c r="AD166" s="38">
        <f t="shared" si="26"/>
        <v>7098</v>
      </c>
      <c r="AE166" s="33">
        <v>45383</v>
      </c>
      <c r="AF166" s="33"/>
      <c r="AG166" s="33"/>
      <c r="AH166" s="33">
        <v>45413</v>
      </c>
      <c r="AI166" s="33"/>
      <c r="AJ166" s="42"/>
      <c r="AK166" s="37" t="s">
        <v>1135</v>
      </c>
      <c r="AL166" s="37" t="s">
        <v>1116</v>
      </c>
      <c r="AM166" s="37" t="s">
        <v>1136</v>
      </c>
      <c r="AN166" s="37" t="s">
        <v>50</v>
      </c>
      <c r="AO166" s="43">
        <v>100</v>
      </c>
      <c r="AP166" s="35">
        <v>0</v>
      </c>
      <c r="AQ166" s="35" t="s">
        <v>1118</v>
      </c>
      <c r="AR166" s="44">
        <v>400</v>
      </c>
      <c r="AS166" s="37" t="s">
        <v>52</v>
      </c>
    </row>
    <row r="167" spans="1:45" ht="66" customHeight="1" x14ac:dyDescent="0.25">
      <c r="A167" s="46" t="s">
        <v>1137</v>
      </c>
      <c r="B167" s="42">
        <v>45280</v>
      </c>
      <c r="C167" s="37">
        <v>1416</v>
      </c>
      <c r="D167" s="36" t="s">
        <v>1138</v>
      </c>
      <c r="E167" s="1" t="s">
        <v>1139</v>
      </c>
      <c r="F167" s="33">
        <v>45313</v>
      </c>
      <c r="G167" s="35" t="s">
        <v>1140</v>
      </c>
      <c r="H167" s="37" t="s">
        <v>556</v>
      </c>
      <c r="I167" s="37" t="s">
        <v>1141</v>
      </c>
      <c r="J167" s="39">
        <v>380020516</v>
      </c>
      <c r="K167" s="40">
        <f>((J167-M167)/J167)*100</f>
        <v>0</v>
      </c>
      <c r="L167" s="41">
        <f>J167-M167</f>
        <v>0</v>
      </c>
      <c r="M167" s="38">
        <v>380020516</v>
      </c>
      <c r="N167" s="41">
        <f>J167-O167</f>
        <v>0</v>
      </c>
      <c r="O167" s="38">
        <v>380020516</v>
      </c>
      <c r="P167" s="27">
        <f t="shared" si="27"/>
        <v>380020516</v>
      </c>
      <c r="Q167" s="27">
        <f t="shared" si="24"/>
        <v>380020516</v>
      </c>
      <c r="R167" s="27">
        <f>Q167/U167</f>
        <v>7950.22</v>
      </c>
      <c r="S167" s="38">
        <f>Q167/U167</f>
        <v>7950.22</v>
      </c>
      <c r="T167" s="38">
        <f>S167*AR167</f>
        <v>39751.1</v>
      </c>
      <c r="U167" s="38">
        <f t="shared" si="25"/>
        <v>47800</v>
      </c>
      <c r="V167" s="38">
        <f>38070+9730</f>
        <v>47800</v>
      </c>
      <c r="W167" s="38">
        <v>0</v>
      </c>
      <c r="X167" s="38">
        <v>0</v>
      </c>
      <c r="Y167" s="38">
        <v>38160</v>
      </c>
      <c r="Z167" s="38">
        <f t="shared" si="20"/>
        <v>303380395.19999999</v>
      </c>
      <c r="AA167" s="38">
        <v>9640</v>
      </c>
      <c r="AB167" s="38">
        <f t="shared" si="21"/>
        <v>76640120.799999997</v>
      </c>
      <c r="AC167" s="38">
        <f>U167/AR167</f>
        <v>9560</v>
      </c>
      <c r="AD167" s="38">
        <f t="shared" si="26"/>
        <v>9560</v>
      </c>
      <c r="AE167" s="33">
        <v>45352</v>
      </c>
      <c r="AF167" s="33"/>
      <c r="AG167" s="33"/>
      <c r="AH167" s="33">
        <v>45383</v>
      </c>
      <c r="AI167" s="33"/>
      <c r="AJ167" s="42"/>
      <c r="AK167" s="37" t="s">
        <v>1142</v>
      </c>
      <c r="AL167" s="37" t="s">
        <v>1143</v>
      </c>
      <c r="AM167" s="37" t="s">
        <v>1144</v>
      </c>
      <c r="AN167" s="37" t="s">
        <v>174</v>
      </c>
      <c r="AO167" s="43">
        <v>0</v>
      </c>
      <c r="AP167" s="35">
        <v>100</v>
      </c>
      <c r="AQ167" s="35" t="s">
        <v>164</v>
      </c>
      <c r="AR167" s="44">
        <v>5</v>
      </c>
      <c r="AS167" s="37" t="s">
        <v>176</v>
      </c>
    </row>
    <row r="168" spans="1:45" s="55" customFormat="1" ht="66" customHeight="1" x14ac:dyDescent="0.25">
      <c r="A168" s="46" t="s">
        <v>1145</v>
      </c>
      <c r="B168" s="42">
        <v>45280</v>
      </c>
      <c r="C168" s="37">
        <v>1416</v>
      </c>
      <c r="D168" s="36" t="s">
        <v>1146</v>
      </c>
      <c r="E168" s="1" t="s">
        <v>1147</v>
      </c>
      <c r="F168" s="33">
        <v>45313</v>
      </c>
      <c r="G168" s="35" t="s">
        <v>1148</v>
      </c>
      <c r="H168" s="37" t="s">
        <v>1149</v>
      </c>
      <c r="I168" s="37" t="s">
        <v>1150</v>
      </c>
      <c r="J168" s="39">
        <v>379881680.63999999</v>
      </c>
      <c r="K168" s="40">
        <f>((J168-M168)/J168)*100</f>
        <v>0</v>
      </c>
      <c r="L168" s="41">
        <f>J168-M168</f>
        <v>0</v>
      </c>
      <c r="M168" s="38">
        <v>379881680.63999999</v>
      </c>
      <c r="N168" s="41">
        <f>J168-O168</f>
        <v>0</v>
      </c>
      <c r="O168" s="38">
        <v>379881680.63999999</v>
      </c>
      <c r="P168" s="27">
        <f t="shared" si="27"/>
        <v>379881680.63999999</v>
      </c>
      <c r="Q168" s="27">
        <f t="shared" si="24"/>
        <v>379881680.63999999</v>
      </c>
      <c r="R168" s="27">
        <f>Q168/U168</f>
        <v>13332.55</v>
      </c>
      <c r="S168" s="38">
        <f>Q168/U168</f>
        <v>13332.55</v>
      </c>
      <c r="T168" s="38">
        <f>S168*AR168</f>
        <v>63996.239999999991</v>
      </c>
      <c r="U168" s="38">
        <f t="shared" si="25"/>
        <v>28492.799999999999</v>
      </c>
      <c r="V168" s="38">
        <f>17664+10828.8</f>
        <v>28492.799999999999</v>
      </c>
      <c r="W168" s="38">
        <v>0</v>
      </c>
      <c r="X168" s="38">
        <v>0</v>
      </c>
      <c r="Y168" s="38">
        <v>17664</v>
      </c>
      <c r="Z168" s="38">
        <f t="shared" si="20"/>
        <v>235506163.19999999</v>
      </c>
      <c r="AA168" s="38">
        <v>10828.8</v>
      </c>
      <c r="AB168" s="38">
        <f t="shared" si="21"/>
        <v>144375517.43999997</v>
      </c>
      <c r="AC168" s="38">
        <f>U168/AR168</f>
        <v>5936</v>
      </c>
      <c r="AD168" s="38">
        <f t="shared" si="26"/>
        <v>5936</v>
      </c>
      <c r="AE168" s="33">
        <v>45352</v>
      </c>
      <c r="AF168" s="33"/>
      <c r="AG168" s="33"/>
      <c r="AH168" s="33">
        <v>45383</v>
      </c>
      <c r="AI168" s="33"/>
      <c r="AJ168" s="42"/>
      <c r="AK168" s="37" t="s">
        <v>1151</v>
      </c>
      <c r="AL168" s="37" t="s">
        <v>1152</v>
      </c>
      <c r="AM168" s="37" t="s">
        <v>1153</v>
      </c>
      <c r="AN168" s="37" t="s">
        <v>336</v>
      </c>
      <c r="AO168" s="43">
        <v>0</v>
      </c>
      <c r="AP168" s="35">
        <v>100</v>
      </c>
      <c r="AQ168" s="35" t="s">
        <v>379</v>
      </c>
      <c r="AR168" s="49">
        <v>4.8</v>
      </c>
      <c r="AS168" s="37" t="s">
        <v>176</v>
      </c>
    </row>
    <row r="169" spans="1:45" s="55" customFormat="1" ht="66" customHeight="1" x14ac:dyDescent="0.25">
      <c r="A169" s="46" t="s">
        <v>1154</v>
      </c>
      <c r="B169" s="42">
        <v>45280</v>
      </c>
      <c r="C169" s="37">
        <v>1416</v>
      </c>
      <c r="D169" s="36" t="s">
        <v>1155</v>
      </c>
      <c r="E169" s="1" t="s">
        <v>1156</v>
      </c>
      <c r="F169" s="33">
        <v>45314</v>
      </c>
      <c r="G169" s="35" t="s">
        <v>1157</v>
      </c>
      <c r="H169" s="37" t="s">
        <v>219</v>
      </c>
      <c r="I169" s="37" t="s">
        <v>1158</v>
      </c>
      <c r="J169" s="39">
        <v>712501307.10000002</v>
      </c>
      <c r="K169" s="40">
        <f>((J169-M169)/J169)*100</f>
        <v>0</v>
      </c>
      <c r="L169" s="41">
        <f>J169-M169</f>
        <v>0</v>
      </c>
      <c r="M169" s="38">
        <v>712501307.10000002</v>
      </c>
      <c r="N169" s="41">
        <f>J169-O169</f>
        <v>0</v>
      </c>
      <c r="O169" s="38">
        <v>712501307.10000002</v>
      </c>
      <c r="P169" s="27">
        <f t="shared" si="27"/>
        <v>712501307.10000002</v>
      </c>
      <c r="Q169" s="27">
        <f t="shared" si="24"/>
        <v>712501307.10000002</v>
      </c>
      <c r="R169" s="27">
        <f>Q169/U169</f>
        <v>401.58000000000004</v>
      </c>
      <c r="S169" s="38">
        <f>Q169/U169</f>
        <v>401.58000000000004</v>
      </c>
      <c r="T169" s="38">
        <f>S169*AR169</f>
        <v>6023.7000000000007</v>
      </c>
      <c r="U169" s="38">
        <f t="shared" si="25"/>
        <v>1774245</v>
      </c>
      <c r="V169" s="38">
        <f>1115040+9960</f>
        <v>1125000</v>
      </c>
      <c r="W169" s="38">
        <f>557910+91335</f>
        <v>649245</v>
      </c>
      <c r="X169" s="38">
        <v>0</v>
      </c>
      <c r="Y169" s="38">
        <f>1115040+557910</f>
        <v>1672950</v>
      </c>
      <c r="Z169" s="38">
        <f t="shared" si="20"/>
        <v>671823261.00000012</v>
      </c>
      <c r="AA169" s="38">
        <f>9960+91335</f>
        <v>101295</v>
      </c>
      <c r="AB169" s="38">
        <f t="shared" si="21"/>
        <v>40678046.100000001</v>
      </c>
      <c r="AC169" s="38">
        <f>U169/AR169</f>
        <v>118283</v>
      </c>
      <c r="AD169" s="38">
        <f t="shared" si="26"/>
        <v>118283</v>
      </c>
      <c r="AE169" s="33">
        <v>45352</v>
      </c>
      <c r="AF169" s="33">
        <v>45444</v>
      </c>
      <c r="AG169" s="33"/>
      <c r="AH169" s="33">
        <v>45383</v>
      </c>
      <c r="AI169" s="33">
        <v>45474</v>
      </c>
      <c r="AJ169" s="42"/>
      <c r="AK169" s="37" t="s">
        <v>1159</v>
      </c>
      <c r="AL169" s="37" t="s">
        <v>1160</v>
      </c>
      <c r="AM169" s="37" t="s">
        <v>1161</v>
      </c>
      <c r="AN169" s="37" t="s">
        <v>50</v>
      </c>
      <c r="AO169" s="43">
        <v>100</v>
      </c>
      <c r="AP169" s="35">
        <v>0</v>
      </c>
      <c r="AQ169" s="35" t="s">
        <v>164</v>
      </c>
      <c r="AR169" s="44">
        <v>15</v>
      </c>
      <c r="AS169" s="37" t="s">
        <v>380</v>
      </c>
    </row>
    <row r="170" spans="1:45" ht="66" customHeight="1" x14ac:dyDescent="0.25">
      <c r="A170" s="46" t="s">
        <v>1162</v>
      </c>
      <c r="B170" s="42">
        <v>45280</v>
      </c>
      <c r="C170" s="37">
        <v>1416</v>
      </c>
      <c r="D170" s="36" t="s">
        <v>1163</v>
      </c>
      <c r="E170" s="1" t="s">
        <v>1164</v>
      </c>
      <c r="F170" s="33">
        <v>45307</v>
      </c>
      <c r="G170" s="35" t="s">
        <v>1165</v>
      </c>
      <c r="H170" s="37" t="s">
        <v>1166</v>
      </c>
      <c r="I170" s="37" t="s">
        <v>1167</v>
      </c>
      <c r="J170" s="39">
        <v>27891956.399999999</v>
      </c>
      <c r="K170" s="40">
        <f>((J170-M170)/J170)*100</f>
        <v>0.50089279502816453</v>
      </c>
      <c r="L170" s="41">
        <f>J170-M170</f>
        <v>139708.79999999702</v>
      </c>
      <c r="M170" s="38">
        <v>27752247.600000001</v>
      </c>
      <c r="N170" s="41">
        <f>J170-O170</f>
        <v>139708.79999999702</v>
      </c>
      <c r="O170" s="38">
        <v>27752247.600000001</v>
      </c>
      <c r="P170" s="27">
        <f t="shared" si="27"/>
        <v>27752247.600000001</v>
      </c>
      <c r="Q170" s="27">
        <f t="shared" si="24"/>
        <v>27752247.600000001</v>
      </c>
      <c r="R170" s="27">
        <f>Q170/U170</f>
        <v>429.07000000000005</v>
      </c>
      <c r="S170" s="38">
        <f>Q170/U170</f>
        <v>429.07000000000005</v>
      </c>
      <c r="T170" s="38">
        <f>S170*AR170</f>
        <v>8581.4000000000015</v>
      </c>
      <c r="U170" s="38">
        <f t="shared" si="25"/>
        <v>64680</v>
      </c>
      <c r="V170" s="38">
        <v>64680</v>
      </c>
      <c r="W170" s="38">
        <v>0</v>
      </c>
      <c r="X170" s="38">
        <v>0</v>
      </c>
      <c r="Y170" s="38">
        <v>0</v>
      </c>
      <c r="Z170" s="38">
        <f t="shared" si="20"/>
        <v>0</v>
      </c>
      <c r="AA170" s="38">
        <v>64680</v>
      </c>
      <c r="AB170" s="38">
        <f t="shared" si="21"/>
        <v>27752247.600000001</v>
      </c>
      <c r="AC170" s="38">
        <f>U170/AR170</f>
        <v>3234</v>
      </c>
      <c r="AD170" s="38">
        <f t="shared" si="26"/>
        <v>3234</v>
      </c>
      <c r="AE170" s="33">
        <v>45352</v>
      </c>
      <c r="AF170" s="33"/>
      <c r="AG170" s="33"/>
      <c r="AH170" s="33">
        <v>45383</v>
      </c>
      <c r="AI170" s="33"/>
      <c r="AJ170" s="42"/>
      <c r="AK170" s="37" t="s">
        <v>1168</v>
      </c>
      <c r="AL170" s="37" t="s">
        <v>1169</v>
      </c>
      <c r="AM170" s="37" t="s">
        <v>1170</v>
      </c>
      <c r="AN170" s="37" t="s">
        <v>50</v>
      </c>
      <c r="AO170" s="43">
        <v>100</v>
      </c>
      <c r="AP170" s="35">
        <v>0</v>
      </c>
      <c r="AQ170" s="35" t="s">
        <v>441</v>
      </c>
      <c r="AR170" s="44">
        <v>20</v>
      </c>
      <c r="AS170" s="37" t="s">
        <v>176</v>
      </c>
    </row>
    <row r="171" spans="1:45" ht="66" customHeight="1" x14ac:dyDescent="0.25">
      <c r="A171" s="46" t="s">
        <v>1171</v>
      </c>
      <c r="B171" s="42">
        <v>45280</v>
      </c>
      <c r="C171" s="37">
        <v>1416</v>
      </c>
      <c r="D171" s="36" t="s">
        <v>1172</v>
      </c>
      <c r="E171" s="1" t="s">
        <v>1173</v>
      </c>
      <c r="F171" s="33">
        <v>45314</v>
      </c>
      <c r="G171" s="35" t="s">
        <v>1174</v>
      </c>
      <c r="H171" s="37" t="s">
        <v>219</v>
      </c>
      <c r="I171" s="37" t="s">
        <v>1175</v>
      </c>
      <c r="J171" s="39">
        <v>371696160</v>
      </c>
      <c r="K171" s="40">
        <f>((J171-M171)/J171)*100</f>
        <v>0</v>
      </c>
      <c r="L171" s="41">
        <f>J171-M171</f>
        <v>0</v>
      </c>
      <c r="M171" s="38">
        <v>371696160</v>
      </c>
      <c r="N171" s="41">
        <f>J171-O171</f>
        <v>0</v>
      </c>
      <c r="O171" s="38">
        <v>371696160</v>
      </c>
      <c r="P171" s="27">
        <f t="shared" si="27"/>
        <v>371696160</v>
      </c>
      <c r="Q171" s="27">
        <f t="shared" si="24"/>
        <v>371696160</v>
      </c>
      <c r="R171" s="27">
        <f>Q171/U171</f>
        <v>48.48</v>
      </c>
      <c r="S171" s="38">
        <f>Q171/U171</f>
        <v>48.48</v>
      </c>
      <c r="T171" s="38">
        <f>S171*AR171</f>
        <v>48480</v>
      </c>
      <c r="U171" s="38">
        <f t="shared" si="25"/>
        <v>7667000</v>
      </c>
      <c r="V171" s="38">
        <f>6190000+1477000</f>
        <v>7667000</v>
      </c>
      <c r="W171" s="38">
        <v>0</v>
      </c>
      <c r="X171" s="38">
        <v>0</v>
      </c>
      <c r="Y171" s="38">
        <v>6190000</v>
      </c>
      <c r="Z171" s="38">
        <f t="shared" si="20"/>
        <v>300091200</v>
      </c>
      <c r="AA171" s="38">
        <v>1477000</v>
      </c>
      <c r="AB171" s="38">
        <f t="shared" si="21"/>
        <v>71604960</v>
      </c>
      <c r="AC171" s="38">
        <f>U171/AR171</f>
        <v>7667</v>
      </c>
      <c r="AD171" s="38">
        <f t="shared" si="26"/>
        <v>7667</v>
      </c>
      <c r="AE171" s="33">
        <v>45381</v>
      </c>
      <c r="AF171" s="33"/>
      <c r="AG171" s="33"/>
      <c r="AH171" s="33">
        <v>45413</v>
      </c>
      <c r="AI171" s="33"/>
      <c r="AJ171" s="42"/>
      <c r="AK171" s="37" t="s">
        <v>1176</v>
      </c>
      <c r="AL171" s="37" t="s">
        <v>1177</v>
      </c>
      <c r="AM171" s="37" t="s">
        <v>1178</v>
      </c>
      <c r="AN171" s="37" t="s">
        <v>828</v>
      </c>
      <c r="AO171" s="43">
        <v>0</v>
      </c>
      <c r="AP171" s="35">
        <v>100</v>
      </c>
      <c r="AQ171" s="35" t="s">
        <v>1118</v>
      </c>
      <c r="AR171" s="44">
        <v>1000</v>
      </c>
      <c r="AS171" s="37" t="s">
        <v>52</v>
      </c>
    </row>
    <row r="172" spans="1:45" ht="66" customHeight="1" x14ac:dyDescent="0.25">
      <c r="A172" s="46" t="s">
        <v>1179</v>
      </c>
      <c r="B172" s="42">
        <v>45280</v>
      </c>
      <c r="C172" s="37">
        <v>1416</v>
      </c>
      <c r="D172" s="36" t="s">
        <v>1180</v>
      </c>
      <c r="E172" s="1" t="s">
        <v>1181</v>
      </c>
      <c r="F172" s="33">
        <v>45303</v>
      </c>
      <c r="G172" s="35" t="s">
        <v>1182</v>
      </c>
      <c r="H172" s="37" t="s">
        <v>291</v>
      </c>
      <c r="I172" s="37" t="s">
        <v>1183</v>
      </c>
      <c r="J172" s="39">
        <v>1135795.5</v>
      </c>
      <c r="K172" s="40">
        <f>((J172-M172)/J172)*100</f>
        <v>0</v>
      </c>
      <c r="L172" s="41">
        <f>J172-M172</f>
        <v>0</v>
      </c>
      <c r="M172" s="38">
        <v>1135795.5</v>
      </c>
      <c r="N172" s="41">
        <f>J172-O172</f>
        <v>0</v>
      </c>
      <c r="O172" s="38">
        <v>1135795.5</v>
      </c>
      <c r="P172" s="27">
        <f t="shared" si="27"/>
        <v>1135795.5</v>
      </c>
      <c r="Q172" s="27">
        <f t="shared" si="24"/>
        <v>1135795.5</v>
      </c>
      <c r="R172" s="27">
        <f>Q172/U172</f>
        <v>1802.85</v>
      </c>
      <c r="S172" s="38">
        <f>Q172/U172</f>
        <v>1802.85</v>
      </c>
      <c r="T172" s="38">
        <f>S172*AR172</f>
        <v>37859.85</v>
      </c>
      <c r="U172" s="38">
        <f t="shared" si="25"/>
        <v>630</v>
      </c>
      <c r="V172" s="38">
        <v>630</v>
      </c>
      <c r="W172" s="38">
        <v>0</v>
      </c>
      <c r="X172" s="38">
        <v>0</v>
      </c>
      <c r="Y172" s="38">
        <v>0</v>
      </c>
      <c r="Z172" s="38">
        <f t="shared" si="20"/>
        <v>0</v>
      </c>
      <c r="AA172" s="38">
        <v>630</v>
      </c>
      <c r="AB172" s="38">
        <f t="shared" si="21"/>
        <v>1135795.5</v>
      </c>
      <c r="AC172" s="38">
        <f>U172/AR172</f>
        <v>30</v>
      </c>
      <c r="AD172" s="38">
        <f t="shared" si="26"/>
        <v>30</v>
      </c>
      <c r="AE172" s="33">
        <v>45352</v>
      </c>
      <c r="AF172" s="33"/>
      <c r="AG172" s="33"/>
      <c r="AH172" s="33">
        <v>45383</v>
      </c>
      <c r="AI172" s="33"/>
      <c r="AJ172" s="42"/>
      <c r="AK172" s="37" t="s">
        <v>1184</v>
      </c>
      <c r="AL172" s="37" t="s">
        <v>1185</v>
      </c>
      <c r="AM172" s="37" t="s">
        <v>1186</v>
      </c>
      <c r="AN172" s="37" t="s">
        <v>50</v>
      </c>
      <c r="AO172" s="43">
        <v>100</v>
      </c>
      <c r="AP172" s="35">
        <v>0</v>
      </c>
      <c r="AQ172" s="35" t="s">
        <v>441</v>
      </c>
      <c r="AR172" s="44">
        <v>21</v>
      </c>
      <c r="AS172" s="37" t="s">
        <v>176</v>
      </c>
    </row>
    <row r="173" spans="1:45" ht="66" customHeight="1" x14ac:dyDescent="0.25">
      <c r="A173" s="46" t="s">
        <v>1187</v>
      </c>
      <c r="B173" s="42">
        <v>45280</v>
      </c>
      <c r="C173" s="37">
        <v>1416</v>
      </c>
      <c r="D173" s="36" t="s">
        <v>1188</v>
      </c>
      <c r="E173" s="1" t="s">
        <v>1189</v>
      </c>
      <c r="F173" s="33">
        <v>45308</v>
      </c>
      <c r="G173" s="35" t="s">
        <v>1190</v>
      </c>
      <c r="H173" s="37" t="s">
        <v>219</v>
      </c>
      <c r="I173" s="37" t="s">
        <v>1191</v>
      </c>
      <c r="J173" s="39">
        <v>20722240</v>
      </c>
      <c r="K173" s="40">
        <f>((J173-M173)/J173)*100</f>
        <v>0</v>
      </c>
      <c r="L173" s="41">
        <f>J173-M173</f>
        <v>0</v>
      </c>
      <c r="M173" s="38">
        <v>20722240</v>
      </c>
      <c r="N173" s="41">
        <f>J173-O173</f>
        <v>0</v>
      </c>
      <c r="O173" s="38">
        <v>20722240</v>
      </c>
      <c r="P173" s="27">
        <f t="shared" si="27"/>
        <v>20722240</v>
      </c>
      <c r="Q173" s="27">
        <f t="shared" si="27"/>
        <v>20722240</v>
      </c>
      <c r="R173" s="27">
        <f>Q173/U173</f>
        <v>51.04</v>
      </c>
      <c r="S173" s="38">
        <f>Q173/U173</f>
        <v>51.04</v>
      </c>
      <c r="T173" s="38">
        <f>S173*AR173</f>
        <v>25520</v>
      </c>
      <c r="U173" s="38">
        <f t="shared" si="25"/>
        <v>406000</v>
      </c>
      <c r="V173" s="38">
        <v>406000</v>
      </c>
      <c r="W173" s="38">
        <v>0</v>
      </c>
      <c r="X173" s="38">
        <v>0</v>
      </c>
      <c r="Y173" s="38">
        <v>406000</v>
      </c>
      <c r="Z173" s="38">
        <f t="shared" si="20"/>
        <v>20722240</v>
      </c>
      <c r="AA173" s="38">
        <v>0</v>
      </c>
      <c r="AB173" s="38">
        <f t="shared" si="21"/>
        <v>0</v>
      </c>
      <c r="AC173" s="38">
        <f>U173/AR173</f>
        <v>812</v>
      </c>
      <c r="AD173" s="38">
        <f t="shared" si="26"/>
        <v>812</v>
      </c>
      <c r="AE173" s="33">
        <v>45381</v>
      </c>
      <c r="AF173" s="33"/>
      <c r="AG173" s="33"/>
      <c r="AH173" s="33">
        <v>45413</v>
      </c>
      <c r="AI173" s="33"/>
      <c r="AJ173" s="42"/>
      <c r="AK173" s="37" t="s">
        <v>1176</v>
      </c>
      <c r="AL173" s="37" t="s">
        <v>1192</v>
      </c>
      <c r="AM173" s="37" t="s">
        <v>1178</v>
      </c>
      <c r="AN173" s="37" t="s">
        <v>828</v>
      </c>
      <c r="AO173" s="43">
        <v>0</v>
      </c>
      <c r="AP173" s="35">
        <v>100</v>
      </c>
      <c r="AQ173" s="35" t="s">
        <v>1118</v>
      </c>
      <c r="AR173" s="44">
        <v>500</v>
      </c>
      <c r="AS173" s="37" t="s">
        <v>52</v>
      </c>
    </row>
    <row r="174" spans="1:45" ht="66" customHeight="1" x14ac:dyDescent="0.25">
      <c r="A174" s="46" t="s">
        <v>1193</v>
      </c>
      <c r="B174" s="42">
        <v>45280</v>
      </c>
      <c r="C174" s="37">
        <v>1416</v>
      </c>
      <c r="D174" s="36" t="s">
        <v>1194</v>
      </c>
      <c r="E174" s="1" t="s">
        <v>1195</v>
      </c>
      <c r="F174" s="33">
        <v>45314</v>
      </c>
      <c r="G174" s="35" t="s">
        <v>1196</v>
      </c>
      <c r="H174" s="37" t="s">
        <v>169</v>
      </c>
      <c r="I174" s="37" t="s">
        <v>720</v>
      </c>
      <c r="J174" s="39">
        <v>1441732800</v>
      </c>
      <c r="K174" s="40">
        <f>((J174-M174)/J174)*100</f>
        <v>0</v>
      </c>
      <c r="L174" s="41">
        <f>J174-M174</f>
        <v>0</v>
      </c>
      <c r="M174" s="38">
        <v>1441732800</v>
      </c>
      <c r="N174" s="41">
        <f>J174-O174</f>
        <v>720866400</v>
      </c>
      <c r="O174" s="38">
        <v>720866400</v>
      </c>
      <c r="P174" s="27">
        <f t="shared" si="27"/>
        <v>720866400</v>
      </c>
      <c r="Q174" s="27">
        <v>1441732800</v>
      </c>
      <c r="R174" s="27">
        <f>Q174/U174</f>
        <v>10.72</v>
      </c>
      <c r="S174" s="38">
        <f>Q174/U174</f>
        <v>10.72</v>
      </c>
      <c r="T174" s="38" t="e">
        <f>S174*AR174</f>
        <v>#VALUE!</v>
      </c>
      <c r="U174" s="38">
        <v>134490000</v>
      </c>
      <c r="V174" s="38">
        <f>14124000+32252000</f>
        <v>46376000</v>
      </c>
      <c r="W174" s="38">
        <f>6354000+14515000</f>
        <v>20869000</v>
      </c>
      <c r="X174" s="38">
        <v>0</v>
      </c>
      <c r="Y174" s="38">
        <f>14124000+6354000</f>
        <v>20478000</v>
      </c>
      <c r="Z174" s="38">
        <f t="shared" si="20"/>
        <v>219524160</v>
      </c>
      <c r="AA174" s="38">
        <f>32252000+14515000</f>
        <v>46767000</v>
      </c>
      <c r="AB174" s="38">
        <f t="shared" si="21"/>
        <v>501342240.00000006</v>
      </c>
      <c r="AC174" s="38" t="e">
        <f>U174/AR174</f>
        <v>#VALUE!</v>
      </c>
      <c r="AD174" s="38" t="e">
        <f t="shared" si="26"/>
        <v>#VALUE!</v>
      </c>
      <c r="AE174" s="33">
        <v>45352</v>
      </c>
      <c r="AF174" s="33">
        <v>45565</v>
      </c>
      <c r="AG174" s="33" t="s">
        <v>1197</v>
      </c>
      <c r="AH174" s="33">
        <v>45383</v>
      </c>
      <c r="AI174" s="33">
        <v>45597</v>
      </c>
      <c r="AJ174" s="42" t="s">
        <v>1198</v>
      </c>
      <c r="AK174" s="37" t="s">
        <v>1199</v>
      </c>
      <c r="AL174" s="37" t="s">
        <v>1200</v>
      </c>
      <c r="AM174" s="37" t="s">
        <v>1201</v>
      </c>
      <c r="AN174" s="37" t="s">
        <v>1099</v>
      </c>
      <c r="AO174" s="43">
        <v>0</v>
      </c>
      <c r="AP174" s="35">
        <v>100</v>
      </c>
      <c r="AQ174" s="35" t="s">
        <v>175</v>
      </c>
      <c r="AR174" s="48" t="s">
        <v>1202</v>
      </c>
      <c r="AS174" s="37" t="s">
        <v>52</v>
      </c>
    </row>
    <row r="175" spans="1:45" ht="66" customHeight="1" x14ac:dyDescent="0.25">
      <c r="A175" s="46" t="s">
        <v>1203</v>
      </c>
      <c r="B175" s="42">
        <v>45280</v>
      </c>
      <c r="C175" s="37">
        <v>1416</v>
      </c>
      <c r="D175" s="36" t="s">
        <v>485</v>
      </c>
      <c r="E175" s="1" t="s">
        <v>1204</v>
      </c>
      <c r="F175" s="33" t="s">
        <v>485</v>
      </c>
      <c r="G175" s="35" t="s">
        <v>485</v>
      </c>
      <c r="H175" s="37" t="s">
        <v>485</v>
      </c>
      <c r="I175" s="37" t="s">
        <v>1205</v>
      </c>
      <c r="J175" s="39">
        <v>239282920</v>
      </c>
      <c r="K175" s="40">
        <f>((J175-M175)/J175)*100</f>
        <v>100</v>
      </c>
      <c r="L175" s="41">
        <f>J175-M175</f>
        <v>239282920</v>
      </c>
      <c r="M175" s="38"/>
      <c r="N175" s="41">
        <f>J175-O175</f>
        <v>239282920</v>
      </c>
      <c r="O175" s="38">
        <v>0</v>
      </c>
      <c r="P175" s="27">
        <f t="shared" si="27"/>
        <v>0</v>
      </c>
      <c r="Q175" s="27">
        <f t="shared" si="27"/>
        <v>0</v>
      </c>
      <c r="R175" s="27" t="e">
        <f>Q175/U175</f>
        <v>#DIV/0!</v>
      </c>
      <c r="S175" s="38" t="e">
        <f>Q175/U175</f>
        <v>#DIV/0!</v>
      </c>
      <c r="T175" s="38" t="e">
        <f>S175*AR175</f>
        <v>#DIV/0!</v>
      </c>
      <c r="U175" s="38">
        <f t="shared" ref="U175:U216" si="28">V175+W175+X175</f>
        <v>0</v>
      </c>
      <c r="V175" s="38">
        <v>0</v>
      </c>
      <c r="W175" s="38">
        <v>0</v>
      </c>
      <c r="X175" s="38">
        <v>0</v>
      </c>
      <c r="Y175" s="38"/>
      <c r="Z175" s="38" t="e">
        <f t="shared" si="20"/>
        <v>#DIV/0!</v>
      </c>
      <c r="AA175" s="38"/>
      <c r="AB175" s="38" t="e">
        <f t="shared" si="21"/>
        <v>#DIV/0!</v>
      </c>
      <c r="AC175" s="38" t="e">
        <f>U175/AR175</f>
        <v>#DIV/0!</v>
      </c>
      <c r="AD175" s="38" t="e">
        <f t="shared" si="26"/>
        <v>#DIV/0!</v>
      </c>
      <c r="AE175" s="33">
        <v>45382</v>
      </c>
      <c r="AF175" s="33">
        <v>45483</v>
      </c>
      <c r="AG175" s="33"/>
      <c r="AH175" s="33"/>
      <c r="AI175" s="33"/>
      <c r="AJ175" s="42"/>
      <c r="AK175" s="37"/>
      <c r="AL175" s="37"/>
      <c r="AM175" s="37"/>
      <c r="AN175" s="37"/>
      <c r="AO175" s="43"/>
      <c r="AP175" s="35"/>
      <c r="AQ175" s="35"/>
      <c r="AR175" s="44"/>
      <c r="AS175" s="37" t="s">
        <v>52</v>
      </c>
    </row>
    <row r="176" spans="1:45" ht="66" customHeight="1" x14ac:dyDescent="0.25">
      <c r="A176" s="46" t="s">
        <v>1206</v>
      </c>
      <c r="B176" s="42">
        <v>45280</v>
      </c>
      <c r="C176" s="37">
        <v>545</v>
      </c>
      <c r="D176" s="36" t="s">
        <v>1207</v>
      </c>
      <c r="E176" s="1" t="s">
        <v>1208</v>
      </c>
      <c r="F176" s="33">
        <v>45313</v>
      </c>
      <c r="G176" s="35" t="s">
        <v>1209</v>
      </c>
      <c r="H176" s="37" t="s">
        <v>331</v>
      </c>
      <c r="I176" s="37" t="s">
        <v>1210</v>
      </c>
      <c r="J176" s="39">
        <v>293433282.44999999</v>
      </c>
      <c r="K176" s="40">
        <f>((J176-M176)/J176)*100</f>
        <v>0</v>
      </c>
      <c r="L176" s="41">
        <f>J176-M176</f>
        <v>0</v>
      </c>
      <c r="M176" s="38">
        <v>293433282.44999999</v>
      </c>
      <c r="N176" s="41">
        <f>J176-O176</f>
        <v>0</v>
      </c>
      <c r="O176" s="38">
        <v>293433282.44999999</v>
      </c>
      <c r="P176" s="27">
        <f t="shared" si="27"/>
        <v>293433282.44999999</v>
      </c>
      <c r="Q176" s="27">
        <f t="shared" si="27"/>
        <v>293433282.44999999</v>
      </c>
      <c r="R176" s="27">
        <f>Q176/U176</f>
        <v>204411.9</v>
      </c>
      <c r="S176" s="38">
        <f>Q176/U176</f>
        <v>204411.9</v>
      </c>
      <c r="T176" s="38">
        <f>S176*AR176</f>
        <v>919853.54999999993</v>
      </c>
      <c r="U176" s="38">
        <f t="shared" si="28"/>
        <v>1435.5</v>
      </c>
      <c r="V176" s="38">
        <v>1435.5</v>
      </c>
      <c r="W176" s="38">
        <v>0</v>
      </c>
      <c r="X176" s="38">
        <v>0</v>
      </c>
      <c r="Y176" s="38">
        <v>0</v>
      </c>
      <c r="Z176" s="38">
        <f t="shared" si="20"/>
        <v>0</v>
      </c>
      <c r="AA176" s="38">
        <v>0</v>
      </c>
      <c r="AB176" s="38">
        <f t="shared" si="21"/>
        <v>0</v>
      </c>
      <c r="AC176" s="38">
        <f>U176/AR176</f>
        <v>319</v>
      </c>
      <c r="AD176" s="38">
        <f t="shared" si="26"/>
        <v>319</v>
      </c>
      <c r="AE176" s="33">
        <v>45352</v>
      </c>
      <c r="AF176" s="33"/>
      <c r="AG176" s="33"/>
      <c r="AH176" s="33">
        <v>45383</v>
      </c>
      <c r="AI176" s="33"/>
      <c r="AJ176" s="42"/>
      <c r="AK176" s="37" t="s">
        <v>802</v>
      </c>
      <c r="AL176" s="37" t="s">
        <v>1211</v>
      </c>
      <c r="AM176" s="37" t="s">
        <v>804</v>
      </c>
      <c r="AN176" s="37" t="s">
        <v>224</v>
      </c>
      <c r="AO176" s="43">
        <v>0</v>
      </c>
      <c r="AP176" s="35">
        <v>100</v>
      </c>
      <c r="AQ176" s="35" t="s">
        <v>164</v>
      </c>
      <c r="AR176" s="49">
        <v>4.5</v>
      </c>
      <c r="AS176" s="37" t="s">
        <v>176</v>
      </c>
    </row>
    <row r="177" spans="1:45" ht="66" customHeight="1" x14ac:dyDescent="0.25">
      <c r="A177" s="46" t="s">
        <v>1212</v>
      </c>
      <c r="B177" s="42">
        <v>45287</v>
      </c>
      <c r="C177" s="37">
        <v>1416</v>
      </c>
      <c r="D177" s="36" t="s">
        <v>1213</v>
      </c>
      <c r="E177" s="1" t="s">
        <v>1214</v>
      </c>
      <c r="F177" s="33">
        <v>45320</v>
      </c>
      <c r="G177" s="35" t="s">
        <v>1215</v>
      </c>
      <c r="H177" s="37" t="s">
        <v>1216</v>
      </c>
      <c r="I177" s="37" t="s">
        <v>1217</v>
      </c>
      <c r="J177" s="39">
        <v>346834734.83999997</v>
      </c>
      <c r="K177" s="40">
        <f>((J177-M177)/J177)*100</f>
        <v>0</v>
      </c>
      <c r="L177" s="41">
        <f>J177-M177</f>
        <v>0</v>
      </c>
      <c r="M177" s="38">
        <v>346834734.83999997</v>
      </c>
      <c r="N177" s="41">
        <f>J177-O177</f>
        <v>0</v>
      </c>
      <c r="O177" s="38">
        <v>346834734.83999997</v>
      </c>
      <c r="P177" s="27">
        <f t="shared" si="27"/>
        <v>346834734.83999997</v>
      </c>
      <c r="Q177" s="27">
        <f t="shared" si="27"/>
        <v>346834734.83999997</v>
      </c>
      <c r="R177" s="27">
        <f>Q177/U177</f>
        <v>50773.64</v>
      </c>
      <c r="S177" s="38">
        <f>Q177/U177</f>
        <v>50773.64</v>
      </c>
      <c r="T177" s="38">
        <f>S177*AR177</f>
        <v>152320.91999999998</v>
      </c>
      <c r="U177" s="38">
        <f t="shared" si="28"/>
        <v>6831</v>
      </c>
      <c r="V177" s="38">
        <f>5037+1794</f>
        <v>6831</v>
      </c>
      <c r="W177" s="38">
        <v>0</v>
      </c>
      <c r="X177" s="38">
        <v>0</v>
      </c>
      <c r="Y177" s="38">
        <v>5037</v>
      </c>
      <c r="Z177" s="38">
        <f t="shared" si="20"/>
        <v>255746824.68000001</v>
      </c>
      <c r="AA177" s="38">
        <v>1794</v>
      </c>
      <c r="AB177" s="38">
        <f t="shared" si="21"/>
        <v>91087910.159999996</v>
      </c>
      <c r="AC177" s="38">
        <f>U177/AR177</f>
        <v>2277</v>
      </c>
      <c r="AD177" s="38">
        <f t="shared" si="26"/>
        <v>2277</v>
      </c>
      <c r="AE177" s="33">
        <v>45352</v>
      </c>
      <c r="AF177" s="33"/>
      <c r="AG177" s="33"/>
      <c r="AH177" s="33">
        <v>45383</v>
      </c>
      <c r="AI177" s="33"/>
      <c r="AJ177" s="42"/>
      <c r="AK177" s="37" t="s">
        <v>1218</v>
      </c>
      <c r="AL177" s="37" t="s">
        <v>1219</v>
      </c>
      <c r="AM177" s="37" t="s">
        <v>1220</v>
      </c>
      <c r="AN177" s="37" t="s">
        <v>1221</v>
      </c>
      <c r="AO177" s="43">
        <v>0</v>
      </c>
      <c r="AP177" s="35">
        <v>100</v>
      </c>
      <c r="AQ177" s="35" t="s">
        <v>164</v>
      </c>
      <c r="AR177" s="44">
        <v>3</v>
      </c>
      <c r="AS177" s="37" t="s">
        <v>176</v>
      </c>
    </row>
    <row r="178" spans="1:45" ht="66" customHeight="1" x14ac:dyDescent="0.25">
      <c r="A178" s="46" t="s">
        <v>1222</v>
      </c>
      <c r="B178" s="42">
        <v>45287</v>
      </c>
      <c r="C178" s="37">
        <v>1416</v>
      </c>
      <c r="D178" s="36" t="s">
        <v>1223</v>
      </c>
      <c r="E178" s="1" t="s">
        <v>1224</v>
      </c>
      <c r="F178" s="33">
        <v>45317</v>
      </c>
      <c r="G178" s="35" t="s">
        <v>1225</v>
      </c>
      <c r="H178" s="37" t="s">
        <v>219</v>
      </c>
      <c r="I178" s="37" t="s">
        <v>1226</v>
      </c>
      <c r="J178" s="39">
        <v>966903210</v>
      </c>
      <c r="K178" s="40">
        <f>((J178-M178)/J178)*100</f>
        <v>0</v>
      </c>
      <c r="L178" s="41">
        <f>J178-M178</f>
        <v>0</v>
      </c>
      <c r="M178" s="38">
        <v>966903210</v>
      </c>
      <c r="N178" s="41">
        <f>J178-O178</f>
        <v>0</v>
      </c>
      <c r="O178" s="38">
        <v>966903210</v>
      </c>
      <c r="P178" s="27">
        <f t="shared" si="27"/>
        <v>966903210</v>
      </c>
      <c r="Q178" s="27">
        <f t="shared" si="27"/>
        <v>966903210</v>
      </c>
      <c r="R178" s="27">
        <f>Q178/U178</f>
        <v>12.39</v>
      </c>
      <c r="S178" s="38">
        <f>Q178/U178</f>
        <v>12.39</v>
      </c>
      <c r="T178" s="38" t="e">
        <f>S178*AR178</f>
        <v>#VALUE!</v>
      </c>
      <c r="U178" s="38">
        <f t="shared" si="28"/>
        <v>78039000</v>
      </c>
      <c r="V178" s="38">
        <f>23753000+16538000</f>
        <v>40291000</v>
      </c>
      <c r="W178" s="38">
        <f>23739000+14009000</f>
        <v>37748000</v>
      </c>
      <c r="X178" s="38">
        <v>0</v>
      </c>
      <c r="Y178" s="38">
        <f>23753000+23739000</f>
        <v>47492000</v>
      </c>
      <c r="Z178" s="38">
        <f t="shared" si="20"/>
        <v>588425880</v>
      </c>
      <c r="AA178" s="38">
        <f>16538000+14009000</f>
        <v>30547000</v>
      </c>
      <c r="AB178" s="38">
        <f t="shared" si="21"/>
        <v>378477330</v>
      </c>
      <c r="AC178" s="38" t="e">
        <f>U178/AR178</f>
        <v>#VALUE!</v>
      </c>
      <c r="AD178" s="38" t="e">
        <f t="shared" si="26"/>
        <v>#VALUE!</v>
      </c>
      <c r="AE178" s="33">
        <v>45383</v>
      </c>
      <c r="AF178" s="33">
        <v>45432</v>
      </c>
      <c r="AG178" s="33"/>
      <c r="AH178" s="33">
        <v>45413</v>
      </c>
      <c r="AI178" s="33">
        <v>45463</v>
      </c>
      <c r="AJ178" s="42"/>
      <c r="AK178" s="37" t="s">
        <v>1227</v>
      </c>
      <c r="AL178" s="37" t="s">
        <v>1228</v>
      </c>
      <c r="AM178" s="37" t="s">
        <v>1229</v>
      </c>
      <c r="AN178" s="37" t="s">
        <v>1230</v>
      </c>
      <c r="AO178" s="43">
        <v>0</v>
      </c>
      <c r="AP178" s="35">
        <v>100</v>
      </c>
      <c r="AQ178" s="35" t="s">
        <v>175</v>
      </c>
      <c r="AR178" s="48" t="s">
        <v>1231</v>
      </c>
      <c r="AS178" s="37" t="s">
        <v>52</v>
      </c>
    </row>
    <row r="179" spans="1:45" ht="66" customHeight="1" x14ac:dyDescent="0.25">
      <c r="A179" s="46" t="s">
        <v>1232</v>
      </c>
      <c r="B179" s="42">
        <v>45287</v>
      </c>
      <c r="C179" s="37">
        <v>1416</v>
      </c>
      <c r="D179" s="36" t="s">
        <v>1233</v>
      </c>
      <c r="E179" s="1" t="s">
        <v>1234</v>
      </c>
      <c r="F179" s="33">
        <v>45320</v>
      </c>
      <c r="G179" s="35" t="s">
        <v>1235</v>
      </c>
      <c r="H179" s="54" t="s">
        <v>1236</v>
      </c>
      <c r="I179" s="37" t="s">
        <v>1237</v>
      </c>
      <c r="J179" s="39">
        <v>41849051.399999999</v>
      </c>
      <c r="K179" s="40">
        <f>((J179-M179)/J179)*100</f>
        <v>2.5000000358430996</v>
      </c>
      <c r="L179" s="41">
        <f>J179-M179</f>
        <v>1046226.299999997</v>
      </c>
      <c r="M179" s="38">
        <v>40802825.100000001</v>
      </c>
      <c r="N179" s="41">
        <f>J179-O179</f>
        <v>8537716.1999999993</v>
      </c>
      <c r="O179" s="38">
        <v>33311335.199999999</v>
      </c>
      <c r="P179" s="27">
        <f t="shared" si="27"/>
        <v>33311335.199999999</v>
      </c>
      <c r="Q179" s="27">
        <f t="shared" si="27"/>
        <v>33311335.199999999</v>
      </c>
      <c r="R179" s="27">
        <f>Q179/U179</f>
        <v>44.44</v>
      </c>
      <c r="S179" s="38">
        <f>Q179/U179</f>
        <v>44.44</v>
      </c>
      <c r="T179" s="38">
        <f>S179*AR179</f>
        <v>2666.3999999999996</v>
      </c>
      <c r="U179" s="38">
        <f t="shared" si="28"/>
        <v>749580</v>
      </c>
      <c r="V179" s="38">
        <f>21060+194940</f>
        <v>216000</v>
      </c>
      <c r="W179" s="38">
        <f>51720+481860</f>
        <v>533580</v>
      </c>
      <c r="X179" s="38">
        <v>0</v>
      </c>
      <c r="Y179" s="38">
        <f>21060+51720</f>
        <v>72780</v>
      </c>
      <c r="Z179" s="38">
        <f t="shared" si="20"/>
        <v>3234343.1999999997</v>
      </c>
      <c r="AA179" s="38">
        <f>194940+481860</f>
        <v>676800</v>
      </c>
      <c r="AB179" s="38">
        <f t="shared" si="21"/>
        <v>30076992</v>
      </c>
      <c r="AC179" s="38">
        <f>U179/AR179</f>
        <v>12493</v>
      </c>
      <c r="AD179" s="38">
        <f t="shared" si="26"/>
        <v>12493</v>
      </c>
      <c r="AE179" s="33">
        <v>45352</v>
      </c>
      <c r="AF179" s="33">
        <v>45474</v>
      </c>
      <c r="AG179" s="33"/>
      <c r="AH179" s="33">
        <v>45383</v>
      </c>
      <c r="AI179" s="33">
        <v>45505</v>
      </c>
      <c r="AJ179" s="42"/>
      <c r="AK179" s="37" t="s">
        <v>1238</v>
      </c>
      <c r="AL179" s="37" t="s">
        <v>1239</v>
      </c>
      <c r="AM179" s="37" t="s">
        <v>1240</v>
      </c>
      <c r="AN179" s="37" t="s">
        <v>50</v>
      </c>
      <c r="AO179" s="43">
        <v>100</v>
      </c>
      <c r="AP179" s="35">
        <v>0</v>
      </c>
      <c r="AQ179" s="35" t="s">
        <v>441</v>
      </c>
      <c r="AR179" s="44">
        <v>60</v>
      </c>
      <c r="AS179" s="37" t="s">
        <v>52</v>
      </c>
    </row>
    <row r="180" spans="1:45" ht="66" customHeight="1" x14ac:dyDescent="0.25">
      <c r="A180" s="46" t="s">
        <v>1241</v>
      </c>
      <c r="B180" s="42">
        <v>45287</v>
      </c>
      <c r="C180" s="37">
        <v>1416</v>
      </c>
      <c r="D180" s="36" t="s">
        <v>1242</v>
      </c>
      <c r="E180" s="1" t="s">
        <v>1243</v>
      </c>
      <c r="F180" s="33">
        <v>45317</v>
      </c>
      <c r="G180" s="35" t="s">
        <v>1244</v>
      </c>
      <c r="H180" s="37" t="s">
        <v>219</v>
      </c>
      <c r="I180" s="37" t="s">
        <v>1245</v>
      </c>
      <c r="J180" s="39">
        <v>1312363937.5</v>
      </c>
      <c r="K180" s="40">
        <f>((J180-M180)/J180)*100</f>
        <v>0</v>
      </c>
      <c r="L180" s="41">
        <f>J180-M180</f>
        <v>0</v>
      </c>
      <c r="M180" s="38">
        <v>1312363937.5</v>
      </c>
      <c r="N180" s="41">
        <f>J180-O180</f>
        <v>0</v>
      </c>
      <c r="O180" s="38">
        <v>1312363937.5</v>
      </c>
      <c r="P180" s="27">
        <f t="shared" si="27"/>
        <v>1312363937.5</v>
      </c>
      <c r="Q180" s="27">
        <f t="shared" si="27"/>
        <v>1312363937.5</v>
      </c>
      <c r="R180" s="27">
        <f>Q180/U180</f>
        <v>23003.75</v>
      </c>
      <c r="S180" s="38">
        <f>Q180/U180</f>
        <v>23003.75</v>
      </c>
      <c r="T180" s="38">
        <f>S180*AR180</f>
        <v>23003.75</v>
      </c>
      <c r="U180" s="38">
        <f t="shared" si="28"/>
        <v>57050</v>
      </c>
      <c r="V180" s="38">
        <f>310+56740</f>
        <v>57050</v>
      </c>
      <c r="W180" s="38">
        <v>0</v>
      </c>
      <c r="X180" s="38">
        <v>0</v>
      </c>
      <c r="Y180" s="38">
        <v>310</v>
      </c>
      <c r="Z180" s="38">
        <f t="shared" si="20"/>
        <v>7131162.5</v>
      </c>
      <c r="AA180" s="38">
        <v>56740</v>
      </c>
      <c r="AB180" s="38">
        <f t="shared" si="21"/>
        <v>1305232775</v>
      </c>
      <c r="AC180" s="38">
        <f>U180/AR180</f>
        <v>57050</v>
      </c>
      <c r="AD180" s="38">
        <f t="shared" si="26"/>
        <v>57050</v>
      </c>
      <c r="AE180" s="33">
        <v>45383</v>
      </c>
      <c r="AF180" s="33"/>
      <c r="AG180" s="33"/>
      <c r="AH180" s="33">
        <v>45413</v>
      </c>
      <c r="AI180" s="33"/>
      <c r="AJ180" s="42"/>
      <c r="AK180" s="37" t="s">
        <v>1246</v>
      </c>
      <c r="AL180" s="37" t="s">
        <v>1247</v>
      </c>
      <c r="AM180" s="37" t="s">
        <v>1248</v>
      </c>
      <c r="AN180" s="37" t="s">
        <v>174</v>
      </c>
      <c r="AO180" s="43">
        <v>0</v>
      </c>
      <c r="AP180" s="35">
        <v>100</v>
      </c>
      <c r="AQ180" s="35" t="s">
        <v>164</v>
      </c>
      <c r="AR180" s="44">
        <v>1</v>
      </c>
      <c r="AS180" s="37" t="s">
        <v>52</v>
      </c>
    </row>
    <row r="181" spans="1:45" ht="66" customHeight="1" x14ac:dyDescent="0.25">
      <c r="A181" s="46" t="s">
        <v>1249</v>
      </c>
      <c r="B181" s="42">
        <v>45287</v>
      </c>
      <c r="C181" s="37">
        <v>1416</v>
      </c>
      <c r="D181" s="36" t="s">
        <v>1250</v>
      </c>
      <c r="E181" s="1" t="s">
        <v>1251</v>
      </c>
      <c r="F181" s="33">
        <v>45317</v>
      </c>
      <c r="G181" s="35" t="s">
        <v>1252</v>
      </c>
      <c r="H181" s="37" t="s">
        <v>1253</v>
      </c>
      <c r="I181" s="37" t="s">
        <v>1254</v>
      </c>
      <c r="J181" s="39">
        <v>29904355.5</v>
      </c>
      <c r="K181" s="40">
        <f>((J181-M181)/J181)*100</f>
        <v>0</v>
      </c>
      <c r="L181" s="41">
        <f>J181-M181</f>
        <v>0</v>
      </c>
      <c r="M181" s="38">
        <v>29904355.5</v>
      </c>
      <c r="N181" s="41">
        <f>J181-O181</f>
        <v>0</v>
      </c>
      <c r="O181" s="38">
        <v>29904355.5</v>
      </c>
      <c r="P181" s="27">
        <f t="shared" si="27"/>
        <v>29904355.5</v>
      </c>
      <c r="Q181" s="27">
        <f t="shared" si="27"/>
        <v>29904355.5</v>
      </c>
      <c r="R181" s="27">
        <f>Q181/U181</f>
        <v>15.69</v>
      </c>
      <c r="S181" s="38">
        <f>Q181/U181</f>
        <v>15.69</v>
      </c>
      <c r="T181" s="38" t="e">
        <f>S181*AR181</f>
        <v>#VALUE!</v>
      </c>
      <c r="U181" s="38">
        <f t="shared" si="28"/>
        <v>1905950</v>
      </c>
      <c r="V181" s="38">
        <f>950150+955800</f>
        <v>1905950</v>
      </c>
      <c r="W181" s="38">
        <v>0</v>
      </c>
      <c r="X181" s="38">
        <v>0</v>
      </c>
      <c r="Y181" s="38">
        <v>950150</v>
      </c>
      <c r="Z181" s="38">
        <f t="shared" si="20"/>
        <v>14907853.5</v>
      </c>
      <c r="AA181" s="38">
        <v>955800</v>
      </c>
      <c r="AB181" s="38">
        <f t="shared" si="21"/>
        <v>14996502</v>
      </c>
      <c r="AC181" s="38" t="e">
        <f>U181/AR181</f>
        <v>#VALUE!</v>
      </c>
      <c r="AD181" s="38" t="e">
        <f t="shared" si="26"/>
        <v>#VALUE!</v>
      </c>
      <c r="AE181" s="33">
        <v>45352</v>
      </c>
      <c r="AF181" s="33"/>
      <c r="AG181" s="33"/>
      <c r="AH181" s="33">
        <v>45383</v>
      </c>
      <c r="AI181" s="33"/>
      <c r="AJ181" s="42"/>
      <c r="AK181" s="37" t="s">
        <v>1255</v>
      </c>
      <c r="AL181" s="37" t="s">
        <v>1256</v>
      </c>
      <c r="AM181" s="37" t="s">
        <v>1257</v>
      </c>
      <c r="AN181" s="37" t="s">
        <v>50</v>
      </c>
      <c r="AO181" s="43">
        <v>100</v>
      </c>
      <c r="AP181" s="35">
        <v>0</v>
      </c>
      <c r="AQ181" s="35" t="s">
        <v>441</v>
      </c>
      <c r="AR181" s="48" t="s">
        <v>1258</v>
      </c>
      <c r="AS181" s="37" t="s">
        <v>52</v>
      </c>
    </row>
    <row r="182" spans="1:45" ht="66" customHeight="1" x14ac:dyDescent="0.25">
      <c r="A182" s="46" t="s">
        <v>1259</v>
      </c>
      <c r="B182" s="42">
        <v>45287</v>
      </c>
      <c r="C182" s="37">
        <v>545</v>
      </c>
      <c r="D182" s="36" t="s">
        <v>1260</v>
      </c>
      <c r="E182" s="1" t="s">
        <v>1261</v>
      </c>
      <c r="F182" s="33">
        <v>45320</v>
      </c>
      <c r="G182" s="35" t="s">
        <v>1262</v>
      </c>
      <c r="H182" s="37" t="s">
        <v>169</v>
      </c>
      <c r="I182" s="37" t="s">
        <v>436</v>
      </c>
      <c r="J182" s="39">
        <v>445962000</v>
      </c>
      <c r="K182" s="40">
        <f>((J182-M182)/J182)*100</f>
        <v>0</v>
      </c>
      <c r="L182" s="41">
        <f>J182-M182</f>
        <v>0</v>
      </c>
      <c r="M182" s="38">
        <v>445962000</v>
      </c>
      <c r="N182" s="41">
        <f>J182-O182</f>
        <v>0</v>
      </c>
      <c r="O182" s="38">
        <v>445962000</v>
      </c>
      <c r="P182" s="27">
        <f t="shared" si="27"/>
        <v>445962000</v>
      </c>
      <c r="Q182" s="27">
        <f t="shared" si="27"/>
        <v>445962000</v>
      </c>
      <c r="R182" s="27">
        <f>Q182/U182</f>
        <v>15950</v>
      </c>
      <c r="S182" s="38">
        <f>Q182/U182</f>
        <v>15950</v>
      </c>
      <c r="T182" s="38">
        <f>S182*AR182</f>
        <v>957000</v>
      </c>
      <c r="U182" s="38">
        <f t="shared" si="28"/>
        <v>27960</v>
      </c>
      <c r="V182" s="38">
        <v>27960</v>
      </c>
      <c r="W182" s="38">
        <v>0</v>
      </c>
      <c r="X182" s="38">
        <v>0</v>
      </c>
      <c r="Y182" s="38"/>
      <c r="Z182" s="38">
        <f t="shared" si="20"/>
        <v>0</v>
      </c>
      <c r="AA182" s="38"/>
      <c r="AB182" s="38">
        <f t="shared" si="21"/>
        <v>0</v>
      </c>
      <c r="AC182" s="38">
        <f>U182/AR182</f>
        <v>466</v>
      </c>
      <c r="AD182" s="38">
        <f t="shared" si="26"/>
        <v>466</v>
      </c>
      <c r="AE182" s="33">
        <v>45352</v>
      </c>
      <c r="AF182" s="33"/>
      <c r="AG182" s="33"/>
      <c r="AH182" s="33">
        <v>45383</v>
      </c>
      <c r="AI182" s="33"/>
      <c r="AJ182" s="42"/>
      <c r="AK182" s="37" t="s">
        <v>437</v>
      </c>
      <c r="AL182" s="37" t="s">
        <v>1263</v>
      </c>
      <c r="AM182" s="37" t="s">
        <v>439</v>
      </c>
      <c r="AN182" s="37" t="s">
        <v>440</v>
      </c>
      <c r="AO182" s="43">
        <v>100</v>
      </c>
      <c r="AP182" s="35">
        <v>0</v>
      </c>
      <c r="AQ182" s="35" t="s">
        <v>441</v>
      </c>
      <c r="AR182" s="44">
        <v>60</v>
      </c>
      <c r="AS182" s="37" t="s">
        <v>176</v>
      </c>
    </row>
    <row r="183" spans="1:45" ht="66" customHeight="1" x14ac:dyDescent="0.25">
      <c r="A183" s="46" t="s">
        <v>1264</v>
      </c>
      <c r="B183" s="42">
        <v>45287</v>
      </c>
      <c r="C183" s="37">
        <v>1416</v>
      </c>
      <c r="D183" s="36" t="s">
        <v>1265</v>
      </c>
      <c r="E183" s="1" t="s">
        <v>1266</v>
      </c>
      <c r="F183" s="33">
        <v>45320</v>
      </c>
      <c r="G183" s="35" t="s">
        <v>1267</v>
      </c>
      <c r="H183" s="37" t="s">
        <v>1268</v>
      </c>
      <c r="I183" s="37" t="s">
        <v>1269</v>
      </c>
      <c r="J183" s="39">
        <v>33513232.5</v>
      </c>
      <c r="K183" s="40">
        <f>((J183-M183)/J183)*100</f>
        <v>0</v>
      </c>
      <c r="L183" s="41">
        <f>J183-M183</f>
        <v>0</v>
      </c>
      <c r="M183" s="38">
        <v>33513232.5</v>
      </c>
      <c r="N183" s="41">
        <f>J183-O183</f>
        <v>0</v>
      </c>
      <c r="O183" s="38">
        <v>33513232.5</v>
      </c>
      <c r="P183" s="27">
        <f t="shared" si="27"/>
        <v>33513232.5</v>
      </c>
      <c r="Q183" s="27">
        <f t="shared" si="27"/>
        <v>33513232.5</v>
      </c>
      <c r="R183" s="27">
        <f>Q183/U183</f>
        <v>22.11</v>
      </c>
      <c r="S183" s="38">
        <f>Q183/U183</f>
        <v>22.11</v>
      </c>
      <c r="T183" s="38" t="e">
        <f>S183*AR183</f>
        <v>#VALUE!</v>
      </c>
      <c r="U183" s="38">
        <f t="shared" si="28"/>
        <v>1515750</v>
      </c>
      <c r="V183" s="38">
        <f>281500+1234250</f>
        <v>1515750</v>
      </c>
      <c r="W183" s="38">
        <v>0</v>
      </c>
      <c r="X183" s="38">
        <v>0</v>
      </c>
      <c r="Y183" s="38">
        <v>281500</v>
      </c>
      <c r="Z183" s="38">
        <f t="shared" si="20"/>
        <v>6223965</v>
      </c>
      <c r="AA183" s="38">
        <v>1234250</v>
      </c>
      <c r="AB183" s="38">
        <f t="shared" si="21"/>
        <v>27289267.5</v>
      </c>
      <c r="AC183" s="38" t="e">
        <f>U183/AR183</f>
        <v>#VALUE!</v>
      </c>
      <c r="AD183" s="38" t="e">
        <f t="shared" si="26"/>
        <v>#VALUE!</v>
      </c>
      <c r="AE183" s="33">
        <v>45352</v>
      </c>
      <c r="AF183" s="33"/>
      <c r="AG183" s="33"/>
      <c r="AH183" s="33">
        <v>45383</v>
      </c>
      <c r="AI183" s="33"/>
      <c r="AJ183" s="42"/>
      <c r="AK183" s="37" t="s">
        <v>1270</v>
      </c>
      <c r="AL183" s="37" t="s">
        <v>1271</v>
      </c>
      <c r="AM183" s="37" t="s">
        <v>1272</v>
      </c>
      <c r="AN183" s="37" t="s">
        <v>50</v>
      </c>
      <c r="AO183" s="43">
        <v>100</v>
      </c>
      <c r="AP183" s="35">
        <v>0</v>
      </c>
      <c r="AQ183" s="35" t="s">
        <v>441</v>
      </c>
      <c r="AR183" s="48" t="s">
        <v>1258</v>
      </c>
      <c r="AS183" s="37" t="s">
        <v>52</v>
      </c>
    </row>
    <row r="184" spans="1:45" ht="66" customHeight="1" x14ac:dyDescent="0.25">
      <c r="A184" s="46" t="s">
        <v>1273</v>
      </c>
      <c r="B184" s="42">
        <v>45287</v>
      </c>
      <c r="C184" s="37">
        <v>1416</v>
      </c>
      <c r="D184" s="36" t="s">
        <v>1274</v>
      </c>
      <c r="E184" s="1" t="s">
        <v>1275</v>
      </c>
      <c r="F184" s="33">
        <v>45317</v>
      </c>
      <c r="G184" s="35" t="s">
        <v>1276</v>
      </c>
      <c r="H184" s="37" t="s">
        <v>219</v>
      </c>
      <c r="I184" s="37" t="s">
        <v>1277</v>
      </c>
      <c r="J184" s="39">
        <v>7338720.4000000004</v>
      </c>
      <c r="K184" s="40">
        <f>((J184-M184)/J184)*100</f>
        <v>0</v>
      </c>
      <c r="L184" s="41">
        <f>J184-M184</f>
        <v>0</v>
      </c>
      <c r="M184" s="38">
        <v>7338720.4000000004</v>
      </c>
      <c r="N184" s="41">
        <f>J184-O184</f>
        <v>0</v>
      </c>
      <c r="O184" s="38">
        <v>7338720.4000000004</v>
      </c>
      <c r="P184" s="27">
        <f t="shared" si="27"/>
        <v>7338720.4000000004</v>
      </c>
      <c r="Q184" s="27">
        <f t="shared" si="27"/>
        <v>7338720.4000000004</v>
      </c>
      <c r="R184" s="27">
        <f>Q184/U184</f>
        <v>14446.300000000001</v>
      </c>
      <c r="S184" s="38">
        <f>Q184/U184</f>
        <v>14446.300000000001</v>
      </c>
      <c r="T184" s="38">
        <f>S184*AR184</f>
        <v>14446.300000000001</v>
      </c>
      <c r="U184" s="38">
        <f t="shared" si="28"/>
        <v>508</v>
      </c>
      <c r="V184" s="38">
        <f>4+504</f>
        <v>508</v>
      </c>
      <c r="W184" s="38">
        <v>0</v>
      </c>
      <c r="X184" s="38">
        <v>0</v>
      </c>
      <c r="Y184" s="38">
        <v>4</v>
      </c>
      <c r="Z184" s="38">
        <f t="shared" si="20"/>
        <v>57785.200000000004</v>
      </c>
      <c r="AA184" s="38">
        <v>504</v>
      </c>
      <c r="AB184" s="38">
        <f t="shared" si="21"/>
        <v>7280935.2000000002</v>
      </c>
      <c r="AC184" s="38">
        <f>U184/AR184</f>
        <v>508</v>
      </c>
      <c r="AD184" s="38">
        <f t="shared" si="26"/>
        <v>508</v>
      </c>
      <c r="AE184" s="33">
        <v>45383</v>
      </c>
      <c r="AF184" s="33"/>
      <c r="AG184" s="33"/>
      <c r="AH184" s="33">
        <v>45413</v>
      </c>
      <c r="AI184" s="33"/>
      <c r="AJ184" s="42"/>
      <c r="AK184" s="37" t="s">
        <v>1246</v>
      </c>
      <c r="AL184" s="37" t="s">
        <v>1278</v>
      </c>
      <c r="AM184" s="37" t="s">
        <v>1248</v>
      </c>
      <c r="AN184" s="37" t="s">
        <v>174</v>
      </c>
      <c r="AO184" s="43">
        <v>0</v>
      </c>
      <c r="AP184" s="35">
        <v>100</v>
      </c>
      <c r="AQ184" s="35" t="s">
        <v>441</v>
      </c>
      <c r="AR184" s="44">
        <v>1</v>
      </c>
      <c r="AS184" s="37" t="s">
        <v>52</v>
      </c>
    </row>
    <row r="185" spans="1:45" ht="58.5" customHeight="1" x14ac:dyDescent="0.25">
      <c r="A185" s="46" t="s">
        <v>1279</v>
      </c>
      <c r="B185" s="42">
        <v>45287</v>
      </c>
      <c r="C185" s="37">
        <v>1416</v>
      </c>
      <c r="D185" s="36" t="s">
        <v>1280</v>
      </c>
      <c r="E185" s="1" t="s">
        <v>1281</v>
      </c>
      <c r="F185" s="33">
        <v>45320</v>
      </c>
      <c r="G185" s="35" t="s">
        <v>1282</v>
      </c>
      <c r="H185" s="37" t="s">
        <v>169</v>
      </c>
      <c r="I185" s="37" t="s">
        <v>1283</v>
      </c>
      <c r="J185" s="39">
        <v>28214993.25</v>
      </c>
      <c r="K185" s="40">
        <f>((J185-M185)/J185)*100</f>
        <v>0</v>
      </c>
      <c r="L185" s="41">
        <f>J185-M185</f>
        <v>0</v>
      </c>
      <c r="M185" s="38">
        <v>28214993.25</v>
      </c>
      <c r="N185" s="41">
        <f>J185-O185</f>
        <v>0</v>
      </c>
      <c r="O185" s="38">
        <v>28214993.25</v>
      </c>
      <c r="P185" s="27">
        <f t="shared" si="27"/>
        <v>28214993.25</v>
      </c>
      <c r="Q185" s="27">
        <f t="shared" si="27"/>
        <v>28214993.25</v>
      </c>
      <c r="R185" s="27">
        <f>Q185/U185</f>
        <v>69666.649999999994</v>
      </c>
      <c r="S185" s="38">
        <f>Q185/U185</f>
        <v>69666.649999999994</v>
      </c>
      <c r="T185" s="38">
        <f>S185*AR185</f>
        <v>208999.94999999998</v>
      </c>
      <c r="U185" s="38">
        <f t="shared" si="28"/>
        <v>405</v>
      </c>
      <c r="V185" s="38">
        <v>405</v>
      </c>
      <c r="W185" s="38">
        <v>0</v>
      </c>
      <c r="X185" s="38">
        <v>0</v>
      </c>
      <c r="Y185" s="38">
        <v>0</v>
      </c>
      <c r="Z185" s="38">
        <f t="shared" si="20"/>
        <v>0</v>
      </c>
      <c r="AA185" s="38">
        <v>405</v>
      </c>
      <c r="AB185" s="38">
        <f t="shared" si="21"/>
        <v>28214993.249999996</v>
      </c>
      <c r="AC185" s="38">
        <f>U185/AR185</f>
        <v>135</v>
      </c>
      <c r="AD185" s="38">
        <f t="shared" si="26"/>
        <v>135</v>
      </c>
      <c r="AE185" s="33">
        <v>45352</v>
      </c>
      <c r="AF185" s="33"/>
      <c r="AG185" s="33"/>
      <c r="AH185" s="33">
        <v>45383</v>
      </c>
      <c r="AI185" s="33"/>
      <c r="AJ185" s="42"/>
      <c r="AK185" s="37" t="s">
        <v>1284</v>
      </c>
      <c r="AL185" s="37" t="s">
        <v>1285</v>
      </c>
      <c r="AM185" s="37" t="s">
        <v>1286</v>
      </c>
      <c r="AN185" s="37" t="s">
        <v>174</v>
      </c>
      <c r="AO185" s="43">
        <v>0</v>
      </c>
      <c r="AP185" s="35">
        <v>100</v>
      </c>
      <c r="AQ185" s="35" t="s">
        <v>441</v>
      </c>
      <c r="AR185" s="44">
        <v>3</v>
      </c>
      <c r="AS185" s="37" t="s">
        <v>176</v>
      </c>
    </row>
    <row r="186" spans="1:45" ht="58.5" customHeight="1" x14ac:dyDescent="0.25">
      <c r="A186" s="46" t="s">
        <v>1287</v>
      </c>
      <c r="B186" s="42">
        <v>45287</v>
      </c>
      <c r="C186" s="37">
        <v>1416</v>
      </c>
      <c r="D186" s="36" t="s">
        <v>485</v>
      </c>
      <c r="E186" s="1" t="s">
        <v>1288</v>
      </c>
      <c r="F186" s="33" t="s">
        <v>485</v>
      </c>
      <c r="G186" s="35" t="s">
        <v>485</v>
      </c>
      <c r="H186" s="37" t="s">
        <v>485</v>
      </c>
      <c r="I186" s="37" t="s">
        <v>1289</v>
      </c>
      <c r="J186" s="39">
        <v>5281557.5</v>
      </c>
      <c r="K186" s="40">
        <f>((J186-M186)/J186)*100</f>
        <v>100</v>
      </c>
      <c r="L186" s="41">
        <f>J186-M186</f>
        <v>5281557.5</v>
      </c>
      <c r="M186" s="38"/>
      <c r="N186" s="41">
        <f>J186-O186</f>
        <v>5281557.5</v>
      </c>
      <c r="O186" s="38">
        <v>0</v>
      </c>
      <c r="P186" s="27">
        <f t="shared" si="27"/>
        <v>0</v>
      </c>
      <c r="Q186" s="27">
        <f t="shared" si="27"/>
        <v>0</v>
      </c>
      <c r="R186" s="27" t="e">
        <f>Q186/U186</f>
        <v>#DIV/0!</v>
      </c>
      <c r="S186" s="38" t="e">
        <f>Q186/U186</f>
        <v>#DIV/0!</v>
      </c>
      <c r="T186" s="38" t="e">
        <f>S186*AR186</f>
        <v>#DIV/0!</v>
      </c>
      <c r="U186" s="38">
        <f t="shared" si="28"/>
        <v>0</v>
      </c>
      <c r="V186" s="38">
        <v>0</v>
      </c>
      <c r="W186" s="38">
        <v>0</v>
      </c>
      <c r="X186" s="38">
        <v>0</v>
      </c>
      <c r="Y186" s="38"/>
      <c r="Z186" s="38" t="e">
        <f t="shared" si="20"/>
        <v>#DIV/0!</v>
      </c>
      <c r="AA186" s="38"/>
      <c r="AB186" s="38" t="e">
        <f t="shared" si="21"/>
        <v>#DIV/0!</v>
      </c>
      <c r="AC186" s="38" t="e">
        <f>U186/AR186</f>
        <v>#DIV/0!</v>
      </c>
      <c r="AD186" s="38" t="e">
        <f t="shared" si="26"/>
        <v>#DIV/0!</v>
      </c>
      <c r="AE186" s="33">
        <v>45352</v>
      </c>
      <c r="AF186" s="33"/>
      <c r="AG186" s="33"/>
      <c r="AH186" s="33"/>
      <c r="AI186" s="33"/>
      <c r="AJ186" s="42"/>
      <c r="AK186" s="37"/>
      <c r="AL186" s="37"/>
      <c r="AM186" s="37"/>
      <c r="AN186" s="37"/>
      <c r="AO186" s="43"/>
      <c r="AP186" s="35"/>
      <c r="AQ186" s="35"/>
      <c r="AR186" s="44"/>
      <c r="AS186" s="37" t="s">
        <v>485</v>
      </c>
    </row>
    <row r="187" spans="1:45" ht="58.5" customHeight="1" x14ac:dyDescent="0.25">
      <c r="A187" s="46" t="s">
        <v>1290</v>
      </c>
      <c r="B187" s="42">
        <v>45287</v>
      </c>
      <c r="C187" s="37" t="s">
        <v>486</v>
      </c>
      <c r="D187" s="36" t="s">
        <v>1291</v>
      </c>
      <c r="E187" s="1" t="s">
        <v>1292</v>
      </c>
      <c r="F187" s="33">
        <v>45317</v>
      </c>
      <c r="G187" s="35" t="s">
        <v>1293</v>
      </c>
      <c r="H187" s="37" t="s">
        <v>291</v>
      </c>
      <c r="I187" s="37" t="s">
        <v>545</v>
      </c>
      <c r="J187" s="39">
        <v>64380912</v>
      </c>
      <c r="K187" s="40">
        <f>((J187-M187)/J187)*100</f>
        <v>0</v>
      </c>
      <c r="L187" s="41">
        <f>J187-M187</f>
        <v>0</v>
      </c>
      <c r="M187" s="38">
        <v>64380912</v>
      </c>
      <c r="N187" s="41">
        <f>J187-O187</f>
        <v>0</v>
      </c>
      <c r="O187" s="38">
        <v>64380912</v>
      </c>
      <c r="P187" s="27">
        <v>64412588.299999997</v>
      </c>
      <c r="Q187" s="27">
        <f t="shared" si="27"/>
        <v>64412588.299999997</v>
      </c>
      <c r="R187" s="27">
        <f>Q187/U187</f>
        <v>17.3</v>
      </c>
      <c r="S187" s="38">
        <f>Q187/U187</f>
        <v>17.3</v>
      </c>
      <c r="T187" s="38">
        <f>S187*AR187</f>
        <v>1038</v>
      </c>
      <c r="U187" s="38">
        <f t="shared" si="28"/>
        <v>3723271</v>
      </c>
      <c r="V187" s="38">
        <f>3721440+1831</f>
        <v>3723271</v>
      </c>
      <c r="W187" s="38">
        <v>0</v>
      </c>
      <c r="X187" s="38">
        <v>0</v>
      </c>
      <c r="Y187" s="38">
        <v>0</v>
      </c>
      <c r="Z187" s="38">
        <f t="shared" si="20"/>
        <v>0</v>
      </c>
      <c r="AA187" s="38">
        <v>0</v>
      </c>
      <c r="AB187" s="38">
        <f t="shared" si="21"/>
        <v>0</v>
      </c>
      <c r="AC187" s="38">
        <f>U187/AR187</f>
        <v>62054.51666666667</v>
      </c>
      <c r="AD187" s="38">
        <f t="shared" si="26"/>
        <v>62055</v>
      </c>
      <c r="AE187" s="33">
        <v>45382</v>
      </c>
      <c r="AF187" s="33"/>
      <c r="AG187" s="33"/>
      <c r="AH187" s="33">
        <v>45413</v>
      </c>
      <c r="AI187" s="33"/>
      <c r="AJ187" s="42"/>
      <c r="AK187" s="37" t="s">
        <v>1294</v>
      </c>
      <c r="AL187" s="37" t="s">
        <v>1295</v>
      </c>
      <c r="AM187" s="37" t="s">
        <v>1296</v>
      </c>
      <c r="AN187" s="37" t="s">
        <v>50</v>
      </c>
      <c r="AO187" s="43">
        <v>100</v>
      </c>
      <c r="AP187" s="35">
        <v>0</v>
      </c>
      <c r="AQ187" s="35" t="s">
        <v>441</v>
      </c>
      <c r="AR187" s="44">
        <v>60</v>
      </c>
      <c r="AS187" s="37" t="s">
        <v>52</v>
      </c>
    </row>
    <row r="188" spans="1:45" ht="58.5" customHeight="1" x14ac:dyDescent="0.25">
      <c r="A188" s="46" t="s">
        <v>1297</v>
      </c>
      <c r="B188" s="42">
        <v>45287</v>
      </c>
      <c r="C188" s="37" t="s">
        <v>486</v>
      </c>
      <c r="D188" s="36" t="s">
        <v>1298</v>
      </c>
      <c r="E188" s="1" t="s">
        <v>1299</v>
      </c>
      <c r="F188" s="33">
        <v>45317</v>
      </c>
      <c r="G188" s="35" t="s">
        <v>1300</v>
      </c>
      <c r="H188" s="37" t="s">
        <v>291</v>
      </c>
      <c r="I188" s="37" t="s">
        <v>1301</v>
      </c>
      <c r="J188" s="39">
        <v>18012532.800000001</v>
      </c>
      <c r="K188" s="40">
        <f>((J188-M188)/J188)*100</f>
        <v>0</v>
      </c>
      <c r="L188" s="41">
        <f>J188-M188</f>
        <v>0</v>
      </c>
      <c r="M188" s="38">
        <v>18012532.800000001</v>
      </c>
      <c r="N188" s="41">
        <f>J188-O188</f>
        <v>0</v>
      </c>
      <c r="O188" s="38">
        <v>18012532.800000001</v>
      </c>
      <c r="P188" s="27">
        <f t="shared" si="27"/>
        <v>18012532.800000001</v>
      </c>
      <c r="Q188" s="27">
        <f t="shared" si="27"/>
        <v>18012532.800000001</v>
      </c>
      <c r="R188" s="27">
        <f>Q188/U188</f>
        <v>110.86</v>
      </c>
      <c r="S188" s="38">
        <f>Q188/U188</f>
        <v>110.86</v>
      </c>
      <c r="T188" s="38">
        <f>S188*AR188</f>
        <v>13303.2</v>
      </c>
      <c r="U188" s="38">
        <f t="shared" si="28"/>
        <v>162480</v>
      </c>
      <c r="V188" s="38">
        <v>162480</v>
      </c>
      <c r="W188" s="38">
        <v>0</v>
      </c>
      <c r="X188" s="38">
        <v>0</v>
      </c>
      <c r="Y188" s="38">
        <v>0</v>
      </c>
      <c r="Z188" s="38">
        <f t="shared" si="20"/>
        <v>0</v>
      </c>
      <c r="AA188" s="38">
        <v>0</v>
      </c>
      <c r="AB188" s="38">
        <f t="shared" si="21"/>
        <v>0</v>
      </c>
      <c r="AC188" s="38">
        <f>U188/AR188</f>
        <v>1354</v>
      </c>
      <c r="AD188" s="38">
        <f t="shared" si="26"/>
        <v>1354</v>
      </c>
      <c r="AE188" s="33">
        <v>45383</v>
      </c>
      <c r="AF188" s="33"/>
      <c r="AG188" s="33"/>
      <c r="AH188" s="33">
        <v>45413</v>
      </c>
      <c r="AI188" s="33"/>
      <c r="AJ188" s="42"/>
      <c r="AK188" s="37" t="s">
        <v>1302</v>
      </c>
      <c r="AL188" s="37" t="s">
        <v>1303</v>
      </c>
      <c r="AM188" s="37" t="s">
        <v>1304</v>
      </c>
      <c r="AN188" s="37" t="s">
        <v>50</v>
      </c>
      <c r="AO188" s="43">
        <v>100</v>
      </c>
      <c r="AP188" s="35">
        <v>0</v>
      </c>
      <c r="AQ188" s="35" t="s">
        <v>441</v>
      </c>
      <c r="AR188" s="44">
        <v>120</v>
      </c>
      <c r="AS188" s="37" t="s">
        <v>52</v>
      </c>
    </row>
    <row r="189" spans="1:45" ht="58.5" customHeight="1" x14ac:dyDescent="0.25">
      <c r="A189" s="46" t="s">
        <v>1305</v>
      </c>
      <c r="B189" s="42">
        <v>45287</v>
      </c>
      <c r="C189" s="37" t="s">
        <v>486</v>
      </c>
      <c r="D189" s="36" t="s">
        <v>1306</v>
      </c>
      <c r="E189" s="1" t="s">
        <v>1307</v>
      </c>
      <c r="F189" s="33" t="s">
        <v>1306</v>
      </c>
      <c r="G189" s="35" t="s">
        <v>1306</v>
      </c>
      <c r="H189" s="35" t="s">
        <v>1306</v>
      </c>
      <c r="I189" s="37" t="s">
        <v>1308</v>
      </c>
      <c r="J189" s="39">
        <v>7038016</v>
      </c>
      <c r="K189" s="40">
        <f>((J189-M189)/J189)*100</f>
        <v>100</v>
      </c>
      <c r="L189" s="41">
        <f>J189-M189</f>
        <v>7038016</v>
      </c>
      <c r="M189" s="38"/>
      <c r="N189" s="41">
        <f>J189-O189</f>
        <v>7038016</v>
      </c>
      <c r="O189" s="38">
        <v>0</v>
      </c>
      <c r="P189" s="27">
        <f t="shared" si="27"/>
        <v>0</v>
      </c>
      <c r="Q189" s="27">
        <f t="shared" si="27"/>
        <v>0</v>
      </c>
      <c r="R189" s="27" t="e">
        <f>Q189/U189</f>
        <v>#DIV/0!</v>
      </c>
      <c r="S189" s="38" t="e">
        <f>Q189/U189</f>
        <v>#DIV/0!</v>
      </c>
      <c r="T189" s="38" t="e">
        <f>S189*AR189</f>
        <v>#DIV/0!</v>
      </c>
      <c r="U189" s="38">
        <f t="shared" si="28"/>
        <v>0</v>
      </c>
      <c r="V189" s="38">
        <v>0</v>
      </c>
      <c r="W189" s="38">
        <v>0</v>
      </c>
      <c r="X189" s="38">
        <v>0</v>
      </c>
      <c r="Y189" s="38"/>
      <c r="Z189" s="38" t="e">
        <f t="shared" si="20"/>
        <v>#DIV/0!</v>
      </c>
      <c r="AA189" s="38"/>
      <c r="AB189" s="38" t="e">
        <f t="shared" si="21"/>
        <v>#DIV/0!</v>
      </c>
      <c r="AC189" s="38" t="e">
        <f>U189/AR189</f>
        <v>#DIV/0!</v>
      </c>
      <c r="AD189" s="38" t="e">
        <f t="shared" si="26"/>
        <v>#DIV/0!</v>
      </c>
      <c r="AE189" s="33">
        <v>45337</v>
      </c>
      <c r="AF189" s="33"/>
      <c r="AG189" s="33"/>
      <c r="AH189" s="33"/>
      <c r="AI189" s="33"/>
      <c r="AJ189" s="42"/>
      <c r="AK189" s="37"/>
      <c r="AL189" s="37"/>
      <c r="AM189" s="37"/>
      <c r="AN189" s="37"/>
      <c r="AO189" s="43"/>
      <c r="AP189" s="35"/>
      <c r="AQ189" s="35"/>
      <c r="AR189" s="44"/>
      <c r="AS189" s="35" t="s">
        <v>1306</v>
      </c>
    </row>
    <row r="190" spans="1:45" ht="58.5" customHeight="1" x14ac:dyDescent="0.25">
      <c r="A190" s="46" t="s">
        <v>1309</v>
      </c>
      <c r="B190" s="42">
        <v>45287</v>
      </c>
      <c r="C190" s="37" t="s">
        <v>486</v>
      </c>
      <c r="D190" s="36" t="s">
        <v>485</v>
      </c>
      <c r="E190" s="1" t="s">
        <v>1310</v>
      </c>
      <c r="F190" s="33" t="s">
        <v>485</v>
      </c>
      <c r="G190" s="35" t="s">
        <v>485</v>
      </c>
      <c r="H190" s="37" t="s">
        <v>485</v>
      </c>
      <c r="I190" s="37" t="s">
        <v>1311</v>
      </c>
      <c r="J190" s="39">
        <v>2030112</v>
      </c>
      <c r="K190" s="40">
        <f>((J190-M190)/J190)*100</f>
        <v>100</v>
      </c>
      <c r="L190" s="41">
        <f>J190-M190</f>
        <v>2030112</v>
      </c>
      <c r="M190" s="38"/>
      <c r="N190" s="41">
        <f>J190-O190</f>
        <v>2030112</v>
      </c>
      <c r="O190" s="38">
        <v>0</v>
      </c>
      <c r="P190" s="27">
        <f t="shared" si="27"/>
        <v>0</v>
      </c>
      <c r="Q190" s="27">
        <f t="shared" si="27"/>
        <v>0</v>
      </c>
      <c r="R190" s="27" t="e">
        <f>Q190/U190</f>
        <v>#DIV/0!</v>
      </c>
      <c r="S190" s="38" t="e">
        <f>Q190/U190</f>
        <v>#DIV/0!</v>
      </c>
      <c r="T190" s="38" t="e">
        <f>S190*AR190</f>
        <v>#DIV/0!</v>
      </c>
      <c r="U190" s="38">
        <f t="shared" si="28"/>
        <v>0</v>
      </c>
      <c r="V190" s="38">
        <v>0</v>
      </c>
      <c r="W190" s="38">
        <v>0</v>
      </c>
      <c r="X190" s="38">
        <v>0</v>
      </c>
      <c r="Y190" s="38"/>
      <c r="Z190" s="38" t="e">
        <f t="shared" si="20"/>
        <v>#DIV/0!</v>
      </c>
      <c r="AA190" s="38"/>
      <c r="AB190" s="38" t="e">
        <f t="shared" si="21"/>
        <v>#DIV/0!</v>
      </c>
      <c r="AC190" s="38" t="e">
        <f>U190/AR190</f>
        <v>#DIV/0!</v>
      </c>
      <c r="AD190" s="38" t="e">
        <f t="shared" si="26"/>
        <v>#DIV/0!</v>
      </c>
      <c r="AE190" s="33">
        <v>45383</v>
      </c>
      <c r="AF190" s="33"/>
      <c r="AG190" s="33"/>
      <c r="AH190" s="33"/>
      <c r="AI190" s="33"/>
      <c r="AJ190" s="42"/>
      <c r="AK190" s="37"/>
      <c r="AL190" s="37"/>
      <c r="AM190" s="37"/>
      <c r="AN190" s="37"/>
      <c r="AO190" s="43"/>
      <c r="AP190" s="35"/>
      <c r="AQ190" s="35"/>
      <c r="AR190" s="44"/>
      <c r="AS190" s="37" t="s">
        <v>485</v>
      </c>
    </row>
    <row r="191" spans="1:45" ht="58.5" customHeight="1" x14ac:dyDescent="0.25">
      <c r="A191" s="46" t="s">
        <v>1312</v>
      </c>
      <c r="B191" s="42">
        <v>45287</v>
      </c>
      <c r="C191" s="37">
        <v>545</v>
      </c>
      <c r="D191" s="36" t="s">
        <v>1313</v>
      </c>
      <c r="E191" s="1" t="s">
        <v>1314</v>
      </c>
      <c r="F191" s="33">
        <v>45320</v>
      </c>
      <c r="G191" s="35" t="s">
        <v>1315</v>
      </c>
      <c r="H191" s="37" t="s">
        <v>138</v>
      </c>
      <c r="I191" s="37" t="s">
        <v>1316</v>
      </c>
      <c r="J191" s="39">
        <v>9071705.1600000001</v>
      </c>
      <c r="K191" s="40">
        <f>((J191-M191)/J191)*100</f>
        <v>0</v>
      </c>
      <c r="L191" s="41">
        <f>J191-M191</f>
        <v>0</v>
      </c>
      <c r="M191" s="38">
        <v>9071705.1600000001</v>
      </c>
      <c r="N191" s="41">
        <f>J191-O191</f>
        <v>0</v>
      </c>
      <c r="O191" s="38">
        <v>9071705.1600000001</v>
      </c>
      <c r="P191" s="27">
        <v>11663620.92</v>
      </c>
      <c r="Q191" s="27">
        <f t="shared" ref="Q191:Q196" si="29">P191</f>
        <v>11663620.92</v>
      </c>
      <c r="R191" s="27">
        <f>Q191/U191</f>
        <v>2204.0099999999998</v>
      </c>
      <c r="S191" s="38">
        <f>Q191/U191</f>
        <v>2204.0099999999998</v>
      </c>
      <c r="T191" s="38">
        <f>S191*AR191</f>
        <v>185136.83999999997</v>
      </c>
      <c r="U191" s="38">
        <f t="shared" si="28"/>
        <v>5292</v>
      </c>
      <c r="V191" s="38">
        <v>5292</v>
      </c>
      <c r="W191" s="38">
        <v>0</v>
      </c>
      <c r="X191" s="38">
        <v>0</v>
      </c>
      <c r="Y191" s="38">
        <v>0</v>
      </c>
      <c r="Z191" s="38">
        <f t="shared" si="20"/>
        <v>0</v>
      </c>
      <c r="AA191" s="38">
        <v>0</v>
      </c>
      <c r="AB191" s="38">
        <f t="shared" si="21"/>
        <v>0</v>
      </c>
      <c r="AC191" s="38">
        <f>U191/AR191</f>
        <v>63</v>
      </c>
      <c r="AD191" s="38">
        <f t="shared" si="26"/>
        <v>63</v>
      </c>
      <c r="AE191" s="33">
        <v>45337</v>
      </c>
      <c r="AF191" s="33"/>
      <c r="AG191" s="33"/>
      <c r="AH191" s="33">
        <v>45366</v>
      </c>
      <c r="AI191" s="33"/>
      <c r="AJ191" s="42"/>
      <c r="AK191" s="37" t="s">
        <v>631</v>
      </c>
      <c r="AL191" s="37" t="s">
        <v>1317</v>
      </c>
      <c r="AM191" s="37" t="s">
        <v>886</v>
      </c>
      <c r="AN191" s="37" t="s">
        <v>143</v>
      </c>
      <c r="AO191" s="43">
        <v>0</v>
      </c>
      <c r="AP191" s="35">
        <v>100</v>
      </c>
      <c r="AQ191" s="35" t="s">
        <v>441</v>
      </c>
      <c r="AR191" s="44">
        <v>84</v>
      </c>
      <c r="AS191" s="37" t="s">
        <v>176</v>
      </c>
    </row>
    <row r="192" spans="1:45" ht="58.5" customHeight="1" x14ac:dyDescent="0.25">
      <c r="A192" s="46" t="s">
        <v>1318</v>
      </c>
      <c r="B192" s="42">
        <v>45287</v>
      </c>
      <c r="C192" s="37" t="s">
        <v>486</v>
      </c>
      <c r="D192" s="36" t="s">
        <v>1319</v>
      </c>
      <c r="E192" s="1" t="s">
        <v>1320</v>
      </c>
      <c r="F192" s="33">
        <v>45317</v>
      </c>
      <c r="G192" s="35" t="s">
        <v>1321</v>
      </c>
      <c r="H192" s="37" t="s">
        <v>219</v>
      </c>
      <c r="I192" s="37" t="s">
        <v>1322</v>
      </c>
      <c r="J192" s="39">
        <v>253458935.40000001</v>
      </c>
      <c r="K192" s="40">
        <f>((J192-M192)/J192)*100</f>
        <v>0</v>
      </c>
      <c r="L192" s="41">
        <f>J192-M192</f>
        <v>0</v>
      </c>
      <c r="M192" s="38">
        <v>253458935.40000001</v>
      </c>
      <c r="N192" s="41">
        <f>J192-O192</f>
        <v>0</v>
      </c>
      <c r="O192" s="38">
        <v>253458935.40000001</v>
      </c>
      <c r="P192" s="27">
        <f>O192</f>
        <v>253458935.40000001</v>
      </c>
      <c r="Q192" s="27">
        <f t="shared" si="29"/>
        <v>253458935.40000001</v>
      </c>
      <c r="R192" s="27">
        <f>Q192/U192</f>
        <v>835.01</v>
      </c>
      <c r="S192" s="38">
        <f>Q192/U192</f>
        <v>835.01</v>
      </c>
      <c r="T192" s="38">
        <f>S192*AR192</f>
        <v>25050.3</v>
      </c>
      <c r="U192" s="38">
        <f t="shared" si="28"/>
        <v>303540</v>
      </c>
      <c r="V192" s="38">
        <v>303540</v>
      </c>
      <c r="W192" s="38">
        <v>0</v>
      </c>
      <c r="X192" s="38">
        <v>0</v>
      </c>
      <c r="Y192" s="38">
        <v>0</v>
      </c>
      <c r="Z192" s="38">
        <f t="shared" si="20"/>
        <v>0</v>
      </c>
      <c r="AA192" s="38">
        <v>0</v>
      </c>
      <c r="AB192" s="38">
        <f t="shared" si="21"/>
        <v>0</v>
      </c>
      <c r="AC192" s="38">
        <f>U192/AR192</f>
        <v>10118</v>
      </c>
      <c r="AD192" s="38">
        <f t="shared" si="26"/>
        <v>10118</v>
      </c>
      <c r="AE192" s="33">
        <v>45352</v>
      </c>
      <c r="AF192" s="33"/>
      <c r="AG192" s="33"/>
      <c r="AH192" s="33">
        <v>45383</v>
      </c>
      <c r="AI192" s="33"/>
      <c r="AJ192" s="42"/>
      <c r="AK192" s="37" t="s">
        <v>1323</v>
      </c>
      <c r="AL192" s="37" t="s">
        <v>1324</v>
      </c>
      <c r="AM192" s="37" t="s">
        <v>1325</v>
      </c>
      <c r="AN192" s="37" t="s">
        <v>1326</v>
      </c>
      <c r="AO192" s="43">
        <v>0</v>
      </c>
      <c r="AP192" s="35">
        <v>100</v>
      </c>
      <c r="AQ192" s="35" t="s">
        <v>441</v>
      </c>
      <c r="AR192" s="44">
        <v>30</v>
      </c>
      <c r="AS192" s="37" t="s">
        <v>176</v>
      </c>
    </row>
    <row r="193" spans="1:45" ht="58.5" customHeight="1" x14ac:dyDescent="0.25">
      <c r="A193" s="46" t="s">
        <v>1327</v>
      </c>
      <c r="B193" s="42">
        <v>45287</v>
      </c>
      <c r="C193" s="37">
        <v>1416</v>
      </c>
      <c r="D193" s="36" t="s">
        <v>1328</v>
      </c>
      <c r="E193" s="1" t="s">
        <v>1329</v>
      </c>
      <c r="F193" s="33">
        <v>45322</v>
      </c>
      <c r="G193" s="35" t="s">
        <v>1330</v>
      </c>
      <c r="H193" s="37" t="s">
        <v>219</v>
      </c>
      <c r="I193" s="37" t="s">
        <v>923</v>
      </c>
      <c r="J193" s="39">
        <v>51629211.270000003</v>
      </c>
      <c r="K193" s="40">
        <f>((J193-M193)/J193)*100</f>
        <v>0</v>
      </c>
      <c r="L193" s="41">
        <f>J193-M193</f>
        <v>0</v>
      </c>
      <c r="M193" s="38">
        <v>51629211.270000003</v>
      </c>
      <c r="N193" s="41">
        <f>J193-O193</f>
        <v>0</v>
      </c>
      <c r="O193" s="39">
        <v>51629211.270000003</v>
      </c>
      <c r="P193" s="27">
        <v>51628919.939999998</v>
      </c>
      <c r="Q193" s="27">
        <f t="shared" si="29"/>
        <v>51628919.939999998</v>
      </c>
      <c r="R193" s="27">
        <f>Q193/U193</f>
        <v>8860.9</v>
      </c>
      <c r="S193" s="38">
        <f>Q193/U193</f>
        <v>8860.9</v>
      </c>
      <c r="T193" s="38">
        <f>S193*AR193</f>
        <v>103672.52999999998</v>
      </c>
      <c r="U193" s="38">
        <f t="shared" si="28"/>
        <v>5826.6</v>
      </c>
      <c r="V193" s="38">
        <v>5826.6</v>
      </c>
      <c r="W193" s="38">
        <v>0</v>
      </c>
      <c r="X193" s="38">
        <v>0</v>
      </c>
      <c r="Y193" s="38">
        <v>0</v>
      </c>
      <c r="Z193" s="38">
        <f t="shared" si="20"/>
        <v>0</v>
      </c>
      <c r="AA193" s="38">
        <v>5826.6</v>
      </c>
      <c r="AB193" s="38">
        <f t="shared" si="21"/>
        <v>51628919.939999998</v>
      </c>
      <c r="AC193" s="38">
        <f>U193/AR193</f>
        <v>498.00000000000006</v>
      </c>
      <c r="AD193" s="38">
        <f t="shared" si="26"/>
        <v>498</v>
      </c>
      <c r="AE193" s="33">
        <v>45412</v>
      </c>
      <c r="AF193" s="33"/>
      <c r="AG193" s="33"/>
      <c r="AH193" s="33">
        <v>45444</v>
      </c>
      <c r="AI193" s="33"/>
      <c r="AJ193" s="42"/>
      <c r="AK193" s="37" t="s">
        <v>1331</v>
      </c>
      <c r="AL193" s="37" t="s">
        <v>1332</v>
      </c>
      <c r="AM193" s="37" t="s">
        <v>1333</v>
      </c>
      <c r="AN193" s="37" t="s">
        <v>352</v>
      </c>
      <c r="AO193" s="43">
        <v>0</v>
      </c>
      <c r="AP193" s="35">
        <v>100</v>
      </c>
      <c r="AQ193" s="35" t="s">
        <v>164</v>
      </c>
      <c r="AR193" s="49">
        <v>11.7</v>
      </c>
      <c r="AS193" s="37" t="s">
        <v>52</v>
      </c>
    </row>
    <row r="194" spans="1:45" ht="58.5" customHeight="1" x14ac:dyDescent="0.25">
      <c r="A194" s="46" t="s">
        <v>1334</v>
      </c>
      <c r="B194" s="42">
        <v>45287</v>
      </c>
      <c r="C194" s="37">
        <v>1416</v>
      </c>
      <c r="D194" s="36" t="s">
        <v>1335</v>
      </c>
      <c r="E194" s="1" t="s">
        <v>1336</v>
      </c>
      <c r="F194" s="33">
        <v>45320</v>
      </c>
      <c r="G194" s="35" t="s">
        <v>1337</v>
      </c>
      <c r="H194" s="37" t="s">
        <v>169</v>
      </c>
      <c r="I194" s="37" t="s">
        <v>1338</v>
      </c>
      <c r="J194" s="39">
        <v>785003812.20000005</v>
      </c>
      <c r="K194" s="40">
        <f>((J194-M194)/J194)*100</f>
        <v>0</v>
      </c>
      <c r="L194" s="41">
        <f>J194-M194</f>
        <v>0</v>
      </c>
      <c r="M194" s="38">
        <v>785003812.20000005</v>
      </c>
      <c r="N194" s="41">
        <f>J194-O194</f>
        <v>0</v>
      </c>
      <c r="O194" s="38">
        <v>785003812.20000005</v>
      </c>
      <c r="P194" s="27">
        <f>O194</f>
        <v>785003812.20000005</v>
      </c>
      <c r="Q194" s="27">
        <f t="shared" si="29"/>
        <v>785003812.20000005</v>
      </c>
      <c r="R194" s="27">
        <f>Q194/U194</f>
        <v>69666.650000000009</v>
      </c>
      <c r="S194" s="38">
        <f>Q194/U194</f>
        <v>69666.650000000009</v>
      </c>
      <c r="T194" s="38">
        <f>S194*AR194</f>
        <v>208999.95</v>
      </c>
      <c r="U194" s="38">
        <f t="shared" si="28"/>
        <v>11268</v>
      </c>
      <c r="V194" s="38">
        <v>11268</v>
      </c>
      <c r="W194" s="38">
        <v>0</v>
      </c>
      <c r="X194" s="38">
        <v>0</v>
      </c>
      <c r="Y194" s="38">
        <v>0</v>
      </c>
      <c r="Z194" s="38">
        <f t="shared" si="20"/>
        <v>0</v>
      </c>
      <c r="AA194" s="38">
        <v>11268</v>
      </c>
      <c r="AB194" s="38">
        <f t="shared" si="21"/>
        <v>785003812.20000005</v>
      </c>
      <c r="AC194" s="38">
        <f>U194/AR194</f>
        <v>3756</v>
      </c>
      <c r="AD194" s="38">
        <f t="shared" si="26"/>
        <v>3756</v>
      </c>
      <c r="AE194" s="33">
        <v>45352</v>
      </c>
      <c r="AF194" s="33"/>
      <c r="AG194" s="33"/>
      <c r="AH194" s="33">
        <v>45383</v>
      </c>
      <c r="AI194" s="33"/>
      <c r="AJ194" s="42"/>
      <c r="AK194" s="37" t="s">
        <v>1284</v>
      </c>
      <c r="AL194" s="37" t="s">
        <v>1339</v>
      </c>
      <c r="AM194" s="37" t="s">
        <v>1340</v>
      </c>
      <c r="AN194" s="37" t="s">
        <v>50</v>
      </c>
      <c r="AO194" s="43">
        <v>100</v>
      </c>
      <c r="AP194" s="35">
        <v>0</v>
      </c>
      <c r="AQ194" s="35" t="s">
        <v>441</v>
      </c>
      <c r="AR194" s="44">
        <v>3</v>
      </c>
      <c r="AS194" s="37" t="s">
        <v>176</v>
      </c>
    </row>
    <row r="195" spans="1:45" ht="58.5" customHeight="1" x14ac:dyDescent="0.25">
      <c r="A195" s="46" t="s">
        <v>1341</v>
      </c>
      <c r="B195" s="42">
        <v>45287</v>
      </c>
      <c r="C195" s="37" t="s">
        <v>486</v>
      </c>
      <c r="D195" s="36" t="s">
        <v>1342</v>
      </c>
      <c r="E195" s="1" t="s">
        <v>1343</v>
      </c>
      <c r="F195" s="33">
        <v>45320</v>
      </c>
      <c r="G195" s="35" t="s">
        <v>1344</v>
      </c>
      <c r="H195" s="37" t="s">
        <v>291</v>
      </c>
      <c r="I195" s="37" t="s">
        <v>1345</v>
      </c>
      <c r="J195" s="39">
        <v>2669581.2000000002</v>
      </c>
      <c r="K195" s="40">
        <f>((J195-M195)/J195)*100</f>
        <v>0</v>
      </c>
      <c r="L195" s="41">
        <f>J195-M195</f>
        <v>0</v>
      </c>
      <c r="M195" s="38">
        <v>2669581.2000000002</v>
      </c>
      <c r="N195" s="41">
        <f>J195-O195</f>
        <v>0</v>
      </c>
      <c r="O195" s="38">
        <v>2669581.2000000002</v>
      </c>
      <c r="P195" s="27">
        <f>O195</f>
        <v>2669581.2000000002</v>
      </c>
      <c r="Q195" s="27">
        <f t="shared" si="29"/>
        <v>2669581.2000000002</v>
      </c>
      <c r="R195" s="27">
        <f>Q195/U195</f>
        <v>13.24</v>
      </c>
      <c r="S195" s="38">
        <f>Q195/U195</f>
        <v>13.24</v>
      </c>
      <c r="T195" s="38">
        <f>S195*AR195</f>
        <v>794.4</v>
      </c>
      <c r="U195" s="38">
        <f t="shared" si="28"/>
        <v>201630</v>
      </c>
      <c r="V195" s="38">
        <v>201630</v>
      </c>
      <c r="W195" s="38">
        <v>0</v>
      </c>
      <c r="X195" s="38">
        <v>0</v>
      </c>
      <c r="Y195" s="38">
        <v>0</v>
      </c>
      <c r="Z195" s="38">
        <f t="shared" si="20"/>
        <v>0</v>
      </c>
      <c r="AA195" s="38">
        <v>0</v>
      </c>
      <c r="AB195" s="38">
        <f t="shared" si="21"/>
        <v>0</v>
      </c>
      <c r="AC195" s="38">
        <f>U195/AR195</f>
        <v>3360.5</v>
      </c>
      <c r="AD195" s="38">
        <f t="shared" si="26"/>
        <v>3361</v>
      </c>
      <c r="AE195" s="33">
        <v>45382</v>
      </c>
      <c r="AF195" s="33"/>
      <c r="AG195" s="33"/>
      <c r="AH195" s="33">
        <v>45413</v>
      </c>
      <c r="AI195" s="33"/>
      <c r="AJ195" s="42"/>
      <c r="AK195" s="37" t="s">
        <v>1346</v>
      </c>
      <c r="AL195" s="37" t="s">
        <v>1347</v>
      </c>
      <c r="AM195" s="37" t="s">
        <v>1348</v>
      </c>
      <c r="AN195" s="37" t="s">
        <v>50</v>
      </c>
      <c r="AO195" s="43">
        <v>100</v>
      </c>
      <c r="AP195" s="35">
        <v>0</v>
      </c>
      <c r="AQ195" s="35" t="s">
        <v>441</v>
      </c>
      <c r="AR195" s="44">
        <v>60</v>
      </c>
      <c r="AS195" s="37" t="s">
        <v>52</v>
      </c>
    </row>
    <row r="196" spans="1:45" ht="58.5" customHeight="1" x14ac:dyDescent="0.25">
      <c r="A196" s="46" t="s">
        <v>1349</v>
      </c>
      <c r="B196" s="42">
        <v>45287</v>
      </c>
      <c r="C196" s="37" t="s">
        <v>486</v>
      </c>
      <c r="D196" s="36" t="s">
        <v>1306</v>
      </c>
      <c r="E196" s="1" t="s">
        <v>1350</v>
      </c>
      <c r="F196" s="33" t="s">
        <v>1306</v>
      </c>
      <c r="G196" s="35" t="s">
        <v>1306</v>
      </c>
      <c r="H196" s="37" t="s">
        <v>1306</v>
      </c>
      <c r="I196" s="37" t="s">
        <v>1351</v>
      </c>
      <c r="J196" s="39">
        <v>8321227.2000000002</v>
      </c>
      <c r="K196" s="40">
        <f>((J196-M196)/J196)*100</f>
        <v>100</v>
      </c>
      <c r="L196" s="41">
        <f>J196-M196</f>
        <v>8321227.2000000002</v>
      </c>
      <c r="M196" s="38"/>
      <c r="N196" s="41">
        <f>J196-O196</f>
        <v>8321227.2000000002</v>
      </c>
      <c r="O196" s="38">
        <v>0</v>
      </c>
      <c r="P196" s="27">
        <f>O196</f>
        <v>0</v>
      </c>
      <c r="Q196" s="27">
        <f t="shared" si="29"/>
        <v>0</v>
      </c>
      <c r="R196" s="27" t="e">
        <f>Q196/U196</f>
        <v>#DIV/0!</v>
      </c>
      <c r="S196" s="38" t="e">
        <f>Q196/U196</f>
        <v>#DIV/0!</v>
      </c>
      <c r="T196" s="38" t="e">
        <f>S196*AR196</f>
        <v>#DIV/0!</v>
      </c>
      <c r="U196" s="38">
        <f t="shared" si="28"/>
        <v>0</v>
      </c>
      <c r="V196" s="38">
        <v>0</v>
      </c>
      <c r="W196" s="38">
        <v>0</v>
      </c>
      <c r="X196" s="38">
        <v>0</v>
      </c>
      <c r="Y196" s="38"/>
      <c r="Z196" s="38" t="e">
        <f t="shared" si="20"/>
        <v>#DIV/0!</v>
      </c>
      <c r="AA196" s="38"/>
      <c r="AB196" s="38" t="e">
        <f t="shared" si="21"/>
        <v>#DIV/0!</v>
      </c>
      <c r="AC196" s="38" t="e">
        <f>U196/AR196</f>
        <v>#DIV/0!</v>
      </c>
      <c r="AD196" s="38" t="e">
        <f t="shared" si="26"/>
        <v>#DIV/0!</v>
      </c>
      <c r="AE196" s="33">
        <v>45382</v>
      </c>
      <c r="AF196" s="33"/>
      <c r="AG196" s="33"/>
      <c r="AH196" s="33"/>
      <c r="AI196" s="33"/>
      <c r="AJ196" s="42"/>
      <c r="AK196" s="37"/>
      <c r="AL196" s="37"/>
      <c r="AM196" s="37"/>
      <c r="AN196" s="37"/>
      <c r="AO196" s="43"/>
      <c r="AP196" s="35"/>
      <c r="AQ196" s="35"/>
      <c r="AR196" s="44"/>
      <c r="AS196" s="37" t="s">
        <v>1306</v>
      </c>
    </row>
    <row r="197" spans="1:45" ht="58.5" customHeight="1" x14ac:dyDescent="0.25">
      <c r="A197" s="46" t="s">
        <v>1352</v>
      </c>
      <c r="B197" s="42">
        <v>45287</v>
      </c>
      <c r="C197" s="37">
        <v>545</v>
      </c>
      <c r="D197" s="36" t="s">
        <v>1353</v>
      </c>
      <c r="E197" s="1" t="s">
        <v>1354</v>
      </c>
      <c r="F197" s="33">
        <v>45320</v>
      </c>
      <c r="G197" s="35" t="s">
        <v>1355</v>
      </c>
      <c r="H197" s="37" t="s">
        <v>169</v>
      </c>
      <c r="I197" s="37" t="s">
        <v>1356</v>
      </c>
      <c r="J197" s="39">
        <v>182434602.63</v>
      </c>
      <c r="K197" s="40">
        <f>((J197-M197)/J197)*100</f>
        <v>0</v>
      </c>
      <c r="L197" s="41">
        <f>J197-M197</f>
        <v>0</v>
      </c>
      <c r="M197" s="38">
        <v>182434602.63</v>
      </c>
      <c r="N197" s="41">
        <f>J197-O197</f>
        <v>0</v>
      </c>
      <c r="O197" s="38">
        <v>182434602.63</v>
      </c>
      <c r="P197" s="27">
        <v>217923400.71000001</v>
      </c>
      <c r="Q197" s="27">
        <v>217923400.71000001</v>
      </c>
      <c r="R197" s="27">
        <f>Q197/U197</f>
        <v>554512.47</v>
      </c>
      <c r="S197" s="38">
        <f>Q197/U197</f>
        <v>554512.47</v>
      </c>
      <c r="T197" s="38">
        <f>S197*AR197</f>
        <v>554512.47</v>
      </c>
      <c r="U197" s="38">
        <f t="shared" si="28"/>
        <v>393</v>
      </c>
      <c r="V197" s="38">
        <v>393</v>
      </c>
      <c r="W197" s="38">
        <v>0</v>
      </c>
      <c r="X197" s="38">
        <v>0</v>
      </c>
      <c r="Y197" s="38">
        <v>0</v>
      </c>
      <c r="Z197" s="38">
        <f t="shared" si="20"/>
        <v>0</v>
      </c>
      <c r="AA197" s="38">
        <v>0</v>
      </c>
      <c r="AB197" s="38">
        <f t="shared" si="21"/>
        <v>0</v>
      </c>
      <c r="AC197" s="38">
        <f>U197/AR197</f>
        <v>393</v>
      </c>
      <c r="AD197" s="38">
        <f t="shared" si="26"/>
        <v>393</v>
      </c>
      <c r="AE197" s="33">
        <v>45337</v>
      </c>
      <c r="AF197" s="33"/>
      <c r="AG197" s="33"/>
      <c r="AH197" s="33">
        <v>45366</v>
      </c>
      <c r="AI197" s="33"/>
      <c r="AJ197" s="42"/>
      <c r="AK197" s="37" t="s">
        <v>349</v>
      </c>
      <c r="AL197" s="37" t="s">
        <v>447</v>
      </c>
      <c r="AM197" s="37" t="s">
        <v>351</v>
      </c>
      <c r="AN197" s="37" t="s">
        <v>352</v>
      </c>
      <c r="AO197" s="43">
        <v>0</v>
      </c>
      <c r="AP197" s="35">
        <v>100</v>
      </c>
      <c r="AQ197" s="35" t="s">
        <v>164</v>
      </c>
      <c r="AR197" s="44">
        <v>1</v>
      </c>
      <c r="AS197" s="37" t="s">
        <v>176</v>
      </c>
    </row>
    <row r="198" spans="1:45" ht="58.5" customHeight="1" x14ac:dyDescent="0.25">
      <c r="A198" s="46" t="s">
        <v>1357</v>
      </c>
      <c r="B198" s="42">
        <v>45287</v>
      </c>
      <c r="C198" s="37">
        <v>545</v>
      </c>
      <c r="D198" s="36" t="s">
        <v>1358</v>
      </c>
      <c r="E198" s="1" t="s">
        <v>1359</v>
      </c>
      <c r="F198" s="33">
        <v>45320</v>
      </c>
      <c r="G198" s="35" t="s">
        <v>1360</v>
      </c>
      <c r="H198" s="37" t="s">
        <v>169</v>
      </c>
      <c r="I198" s="37" t="s">
        <v>1361</v>
      </c>
      <c r="J198" s="39">
        <v>183995961.59999999</v>
      </c>
      <c r="K198" s="40">
        <f>((J198-M198)/J198)*100</f>
        <v>0</v>
      </c>
      <c r="L198" s="41">
        <f>J198-M198</f>
        <v>0</v>
      </c>
      <c r="M198" s="38">
        <v>183995961.59999999</v>
      </c>
      <c r="N198" s="41">
        <f>J198-O198</f>
        <v>0</v>
      </c>
      <c r="O198" s="38">
        <v>183995961.59999999</v>
      </c>
      <c r="P198" s="27">
        <f t="shared" ref="P198:Q213" si="30">O198</f>
        <v>183995961.59999999</v>
      </c>
      <c r="Q198" s="27">
        <f t="shared" si="30"/>
        <v>183995961.59999999</v>
      </c>
      <c r="R198" s="27">
        <f>Q198/U198</f>
        <v>618265.99999999988</v>
      </c>
      <c r="S198" s="38">
        <f>Q198/U198</f>
        <v>618265.99999999988</v>
      </c>
      <c r="T198" s="38">
        <f>S198*AR198</f>
        <v>5935353.5999999987</v>
      </c>
      <c r="U198" s="38">
        <f t="shared" si="28"/>
        <v>297.60000000000002</v>
      </c>
      <c r="V198" s="38">
        <v>297.60000000000002</v>
      </c>
      <c r="W198" s="38">
        <v>0</v>
      </c>
      <c r="X198" s="38">
        <v>0</v>
      </c>
      <c r="Y198" s="38">
        <v>0</v>
      </c>
      <c r="Z198" s="38">
        <f t="shared" si="20"/>
        <v>0</v>
      </c>
      <c r="AA198" s="38">
        <v>0</v>
      </c>
      <c r="AB198" s="38">
        <f t="shared" si="21"/>
        <v>0</v>
      </c>
      <c r="AC198" s="38">
        <f>U198/AR198</f>
        <v>31.000000000000004</v>
      </c>
      <c r="AD198" s="38">
        <f t="shared" si="26"/>
        <v>31</v>
      </c>
      <c r="AE198" s="33">
        <v>45337</v>
      </c>
      <c r="AF198" s="33"/>
      <c r="AG198" s="33"/>
      <c r="AH198" s="33">
        <v>45366</v>
      </c>
      <c r="AI198" s="33"/>
      <c r="AJ198" s="42"/>
      <c r="AK198" s="37" t="s">
        <v>421</v>
      </c>
      <c r="AL198" s="37" t="s">
        <v>605</v>
      </c>
      <c r="AM198" s="37" t="s">
        <v>423</v>
      </c>
      <c r="AN198" s="37" t="s">
        <v>143</v>
      </c>
      <c r="AO198" s="43">
        <v>0</v>
      </c>
      <c r="AP198" s="35">
        <v>100</v>
      </c>
      <c r="AQ198" s="35" t="s">
        <v>164</v>
      </c>
      <c r="AR198" s="49">
        <v>9.6</v>
      </c>
      <c r="AS198" s="37" t="s">
        <v>176</v>
      </c>
    </row>
    <row r="199" spans="1:45" ht="58.5" customHeight="1" x14ac:dyDescent="0.25">
      <c r="A199" s="46" t="s">
        <v>1362</v>
      </c>
      <c r="B199" s="42">
        <v>45287</v>
      </c>
      <c r="C199" s="37">
        <v>545</v>
      </c>
      <c r="D199" s="36" t="s">
        <v>485</v>
      </c>
      <c r="E199" s="1" t="s">
        <v>1363</v>
      </c>
      <c r="F199" s="33" t="s">
        <v>485</v>
      </c>
      <c r="G199" s="35" t="s">
        <v>485</v>
      </c>
      <c r="H199" s="37" t="s">
        <v>485</v>
      </c>
      <c r="I199" s="37" t="s">
        <v>461</v>
      </c>
      <c r="J199" s="39">
        <v>704734800</v>
      </c>
      <c r="K199" s="40">
        <f>((J199-M199)/J199)*100</f>
        <v>100</v>
      </c>
      <c r="L199" s="41">
        <f>J199-M199</f>
        <v>704734800</v>
      </c>
      <c r="M199" s="38"/>
      <c r="N199" s="41">
        <f>J199-O199</f>
        <v>704734800</v>
      </c>
      <c r="O199" s="38">
        <v>0</v>
      </c>
      <c r="P199" s="27">
        <f t="shared" si="30"/>
        <v>0</v>
      </c>
      <c r="Q199" s="27">
        <f t="shared" si="30"/>
        <v>0</v>
      </c>
      <c r="R199" s="27" t="e">
        <f>Q199/U199</f>
        <v>#DIV/0!</v>
      </c>
      <c r="S199" s="38" t="e">
        <f>Q199/U199</f>
        <v>#DIV/0!</v>
      </c>
      <c r="T199" s="38" t="e">
        <f>S199*AR199</f>
        <v>#DIV/0!</v>
      </c>
      <c r="U199" s="38">
        <f t="shared" si="28"/>
        <v>0</v>
      </c>
      <c r="V199" s="38">
        <v>0</v>
      </c>
      <c r="W199" s="38">
        <v>0</v>
      </c>
      <c r="X199" s="38">
        <v>0</v>
      </c>
      <c r="Y199" s="38"/>
      <c r="Z199" s="38" t="e">
        <f t="shared" si="20"/>
        <v>#DIV/0!</v>
      </c>
      <c r="AA199" s="38"/>
      <c r="AB199" s="38" t="e">
        <f t="shared" si="21"/>
        <v>#DIV/0!</v>
      </c>
      <c r="AC199" s="38" t="e">
        <f>U199/AR199</f>
        <v>#DIV/0!</v>
      </c>
      <c r="AD199" s="38" t="e">
        <f t="shared" si="26"/>
        <v>#DIV/0!</v>
      </c>
      <c r="AE199" s="33">
        <v>45352</v>
      </c>
      <c r="AF199" s="33"/>
      <c r="AG199" s="33"/>
      <c r="AH199" s="33"/>
      <c r="AI199" s="33"/>
      <c r="AJ199" s="42"/>
      <c r="AK199" s="37"/>
      <c r="AL199" s="37"/>
      <c r="AM199" s="37"/>
      <c r="AN199" s="37"/>
      <c r="AO199" s="43"/>
      <c r="AP199" s="35"/>
      <c r="AQ199" s="35"/>
      <c r="AR199" s="44"/>
      <c r="AS199" s="37" t="s">
        <v>485</v>
      </c>
    </row>
    <row r="200" spans="1:45" ht="58.5" customHeight="1" x14ac:dyDescent="0.25">
      <c r="A200" s="46" t="s">
        <v>1364</v>
      </c>
      <c r="B200" s="42">
        <v>45287</v>
      </c>
      <c r="C200" s="37">
        <v>545</v>
      </c>
      <c r="D200" s="36" t="s">
        <v>485</v>
      </c>
      <c r="E200" s="1" t="s">
        <v>1365</v>
      </c>
      <c r="F200" s="33" t="s">
        <v>485</v>
      </c>
      <c r="G200" s="35" t="s">
        <v>485</v>
      </c>
      <c r="H200" s="37" t="s">
        <v>485</v>
      </c>
      <c r="I200" s="37" t="s">
        <v>1366</v>
      </c>
      <c r="J200" s="39">
        <v>21439906.199999999</v>
      </c>
      <c r="K200" s="40">
        <f>((J200-M200)/J200)*100</f>
        <v>100</v>
      </c>
      <c r="L200" s="41">
        <f>J200-M200</f>
        <v>21439906.199999999</v>
      </c>
      <c r="M200" s="38"/>
      <c r="N200" s="41">
        <f>J200-O200</f>
        <v>21439906.199999999</v>
      </c>
      <c r="O200" s="38">
        <v>0</v>
      </c>
      <c r="P200" s="27">
        <f t="shared" si="30"/>
        <v>0</v>
      </c>
      <c r="Q200" s="27">
        <f t="shared" si="30"/>
        <v>0</v>
      </c>
      <c r="R200" s="27" t="e">
        <f>Q200/U200</f>
        <v>#DIV/0!</v>
      </c>
      <c r="S200" s="38" t="e">
        <f>Q200/U200</f>
        <v>#DIV/0!</v>
      </c>
      <c r="T200" s="38" t="e">
        <f>S200*AR200</f>
        <v>#DIV/0!</v>
      </c>
      <c r="U200" s="38">
        <f t="shared" si="28"/>
        <v>0</v>
      </c>
      <c r="V200" s="38">
        <v>0</v>
      </c>
      <c r="W200" s="38">
        <v>0</v>
      </c>
      <c r="X200" s="38">
        <v>0</v>
      </c>
      <c r="Y200" s="38"/>
      <c r="Z200" s="38" t="e">
        <f t="shared" si="20"/>
        <v>#DIV/0!</v>
      </c>
      <c r="AA200" s="38"/>
      <c r="AB200" s="38" t="e">
        <f t="shared" si="21"/>
        <v>#DIV/0!</v>
      </c>
      <c r="AC200" s="38" t="e">
        <f>U200/AR200</f>
        <v>#DIV/0!</v>
      </c>
      <c r="AD200" s="38" t="e">
        <f t="shared" si="26"/>
        <v>#DIV/0!</v>
      </c>
      <c r="AE200" s="33">
        <v>45337</v>
      </c>
      <c r="AF200" s="33"/>
      <c r="AG200" s="33"/>
      <c r="AH200" s="33"/>
      <c r="AI200" s="33"/>
      <c r="AJ200" s="42"/>
      <c r="AK200" s="37"/>
      <c r="AL200" s="37"/>
      <c r="AM200" s="37"/>
      <c r="AN200" s="37"/>
      <c r="AO200" s="43"/>
      <c r="AP200" s="35"/>
      <c r="AQ200" s="35"/>
      <c r="AR200" s="44"/>
      <c r="AS200" s="37" t="s">
        <v>485</v>
      </c>
    </row>
    <row r="201" spans="1:45" ht="58.5" customHeight="1" x14ac:dyDescent="0.25">
      <c r="A201" s="46" t="s">
        <v>1367</v>
      </c>
      <c r="B201" s="42">
        <v>45287</v>
      </c>
      <c r="C201" s="37">
        <v>545</v>
      </c>
      <c r="D201" s="36" t="s">
        <v>1368</v>
      </c>
      <c r="E201" s="1" t="s">
        <v>1369</v>
      </c>
      <c r="F201" s="33">
        <v>45320</v>
      </c>
      <c r="G201" s="35" t="s">
        <v>1370</v>
      </c>
      <c r="H201" s="37" t="s">
        <v>374</v>
      </c>
      <c r="I201" s="37" t="s">
        <v>1371</v>
      </c>
      <c r="J201" s="39">
        <v>77134640</v>
      </c>
      <c r="K201" s="40">
        <f>((J201-M201)/J201)*100</f>
        <v>0</v>
      </c>
      <c r="L201" s="41">
        <f>J201-M201</f>
        <v>0</v>
      </c>
      <c r="M201" s="38">
        <v>77134640</v>
      </c>
      <c r="N201" s="41">
        <f>J201-O201</f>
        <v>0</v>
      </c>
      <c r="O201" s="38">
        <v>77134640</v>
      </c>
      <c r="P201" s="27">
        <v>92770040</v>
      </c>
      <c r="Q201" s="27">
        <f t="shared" si="30"/>
        <v>92770040</v>
      </c>
      <c r="R201" s="27">
        <f>Q201/U201</f>
        <v>521180</v>
      </c>
      <c r="S201" s="38">
        <f>Q201/U201</f>
        <v>521180</v>
      </c>
      <c r="T201" s="38">
        <f>S201*AR201</f>
        <v>1042360</v>
      </c>
      <c r="U201" s="38">
        <f t="shared" si="28"/>
        <v>178</v>
      </c>
      <c r="V201" s="38">
        <f>148+30</f>
        <v>178</v>
      </c>
      <c r="W201" s="38">
        <v>0</v>
      </c>
      <c r="X201" s="38">
        <v>0</v>
      </c>
      <c r="Y201" s="38">
        <v>0</v>
      </c>
      <c r="Z201" s="38">
        <f t="shared" si="20"/>
        <v>0</v>
      </c>
      <c r="AA201" s="38">
        <v>0</v>
      </c>
      <c r="AB201" s="38">
        <f t="shared" si="21"/>
        <v>0</v>
      </c>
      <c r="AC201" s="38">
        <f>U201/AR201</f>
        <v>89</v>
      </c>
      <c r="AD201" s="38">
        <f t="shared" si="26"/>
        <v>89</v>
      </c>
      <c r="AE201" s="33">
        <v>45337</v>
      </c>
      <c r="AF201" s="33"/>
      <c r="AG201" s="33"/>
      <c r="AH201" s="33">
        <v>45366</v>
      </c>
      <c r="AI201" s="33"/>
      <c r="AJ201" s="42"/>
      <c r="AK201" s="37" t="s">
        <v>523</v>
      </c>
      <c r="AL201" s="37" t="s">
        <v>524</v>
      </c>
      <c r="AM201" s="37" t="s">
        <v>525</v>
      </c>
      <c r="AN201" s="37" t="s">
        <v>174</v>
      </c>
      <c r="AO201" s="43">
        <v>0</v>
      </c>
      <c r="AP201" s="35">
        <v>100</v>
      </c>
      <c r="AQ201" s="35" t="s">
        <v>164</v>
      </c>
      <c r="AR201" s="44">
        <v>2</v>
      </c>
      <c r="AS201" s="37" t="s">
        <v>176</v>
      </c>
    </row>
    <row r="202" spans="1:45" ht="58.5" customHeight="1" x14ac:dyDescent="0.25">
      <c r="A202" s="46" t="s">
        <v>1372</v>
      </c>
      <c r="B202" s="42">
        <v>45288</v>
      </c>
      <c r="C202" s="37">
        <v>545</v>
      </c>
      <c r="D202" s="36" t="s">
        <v>1373</v>
      </c>
      <c r="E202" s="1" t="s">
        <v>1374</v>
      </c>
      <c r="F202" s="33">
        <v>45320</v>
      </c>
      <c r="G202" s="35" t="s">
        <v>1375</v>
      </c>
      <c r="H202" s="37" t="s">
        <v>169</v>
      </c>
      <c r="I202" s="37" t="s">
        <v>1376</v>
      </c>
      <c r="J202" s="39">
        <v>41547475.200000003</v>
      </c>
      <c r="K202" s="40">
        <f>((J202-M202)/J202)*100</f>
        <v>0</v>
      </c>
      <c r="L202" s="41">
        <f>J202-M202</f>
        <v>0</v>
      </c>
      <c r="M202" s="38">
        <v>41547475.200000003</v>
      </c>
      <c r="N202" s="41">
        <f>J202-O202</f>
        <v>0</v>
      </c>
      <c r="O202" s="38">
        <v>41547475.200000003</v>
      </c>
      <c r="P202" s="27">
        <f>O202</f>
        <v>41547475.200000003</v>
      </c>
      <c r="Q202" s="27">
        <f t="shared" si="30"/>
        <v>41547475.200000003</v>
      </c>
      <c r="R202" s="27">
        <f>Q202/U202</f>
        <v>247306.40000000002</v>
      </c>
      <c r="S202" s="38">
        <f>Q202/U202</f>
        <v>247306.40000000002</v>
      </c>
      <c r="T202" s="38">
        <f>S202*AR202</f>
        <v>2967676.8000000003</v>
      </c>
      <c r="U202" s="38">
        <f t="shared" si="28"/>
        <v>168</v>
      </c>
      <c r="V202" s="38">
        <v>168</v>
      </c>
      <c r="W202" s="38">
        <v>0</v>
      </c>
      <c r="X202" s="38">
        <v>0</v>
      </c>
      <c r="Y202" s="38">
        <v>0</v>
      </c>
      <c r="Z202" s="38">
        <f t="shared" si="20"/>
        <v>0</v>
      </c>
      <c r="AA202" s="38">
        <v>0</v>
      </c>
      <c r="AB202" s="38">
        <f t="shared" si="21"/>
        <v>0</v>
      </c>
      <c r="AC202" s="38">
        <f>U202/AR202</f>
        <v>14</v>
      </c>
      <c r="AD202" s="38">
        <f t="shared" si="26"/>
        <v>14</v>
      </c>
      <c r="AE202" s="33">
        <v>45342</v>
      </c>
      <c r="AF202" s="33"/>
      <c r="AG202" s="33"/>
      <c r="AH202" s="33">
        <v>45371</v>
      </c>
      <c r="AI202" s="33"/>
      <c r="AJ202" s="42"/>
      <c r="AK202" s="37" t="s">
        <v>421</v>
      </c>
      <c r="AL202" s="37" t="s">
        <v>1377</v>
      </c>
      <c r="AM202" s="37" t="s">
        <v>423</v>
      </c>
      <c r="AN202" s="37" t="s">
        <v>143</v>
      </c>
      <c r="AO202" s="43">
        <v>0</v>
      </c>
      <c r="AP202" s="35">
        <v>100</v>
      </c>
      <c r="AQ202" s="35" t="s">
        <v>164</v>
      </c>
      <c r="AR202" s="44">
        <v>12</v>
      </c>
      <c r="AS202" s="37" t="s">
        <v>52</v>
      </c>
    </row>
    <row r="203" spans="1:45" ht="58.5" customHeight="1" x14ac:dyDescent="0.25">
      <c r="A203" s="46" t="s">
        <v>1378</v>
      </c>
      <c r="B203" s="42">
        <v>45288</v>
      </c>
      <c r="C203" s="37">
        <v>1416</v>
      </c>
      <c r="D203" s="36" t="s">
        <v>1379</v>
      </c>
      <c r="E203" s="1" t="s">
        <v>1380</v>
      </c>
      <c r="F203" s="33">
        <v>45320</v>
      </c>
      <c r="G203" s="35" t="s">
        <v>1381</v>
      </c>
      <c r="H203" s="37" t="s">
        <v>291</v>
      </c>
      <c r="I203" s="37" t="s">
        <v>1382</v>
      </c>
      <c r="J203" s="39">
        <v>86594317.5</v>
      </c>
      <c r="K203" s="40">
        <f>((J203-M203)/J203)*100</f>
        <v>0.50385604113110882</v>
      </c>
      <c r="L203" s="41">
        <f>J203-M203</f>
        <v>436310.70000000298</v>
      </c>
      <c r="M203" s="38">
        <v>86158006.799999997</v>
      </c>
      <c r="N203" s="41">
        <f>J203-O203</f>
        <v>436310.70000000298</v>
      </c>
      <c r="O203" s="38">
        <v>86158006.799999997</v>
      </c>
      <c r="P203" s="27">
        <v>86523759.599999994</v>
      </c>
      <c r="Q203" s="27">
        <f t="shared" si="30"/>
        <v>86523759.599999994</v>
      </c>
      <c r="R203" s="27">
        <f>Q203/U203</f>
        <v>96.759999999999991</v>
      </c>
      <c r="S203" s="38">
        <f>Q203/U203</f>
        <v>96.759999999999991</v>
      </c>
      <c r="T203" s="38">
        <f>S203*AR203</f>
        <v>2902.7999999999997</v>
      </c>
      <c r="U203" s="38">
        <f t="shared" si="28"/>
        <v>894210</v>
      </c>
      <c r="V203" s="38">
        <f>7260+883170+3780</f>
        <v>894210</v>
      </c>
      <c r="W203" s="38">
        <v>0</v>
      </c>
      <c r="X203" s="38">
        <v>0</v>
      </c>
      <c r="Y203" s="38">
        <v>7260</v>
      </c>
      <c r="Z203" s="38">
        <f t="shared" si="20"/>
        <v>702477.6</v>
      </c>
      <c r="AA203" s="38">
        <v>886950</v>
      </c>
      <c r="AB203" s="38">
        <f t="shared" si="21"/>
        <v>85821281.999999985</v>
      </c>
      <c r="AC203" s="38">
        <f>U203/AR203</f>
        <v>29807</v>
      </c>
      <c r="AD203" s="38">
        <f t="shared" si="26"/>
        <v>29807</v>
      </c>
      <c r="AE203" s="33">
        <v>45366</v>
      </c>
      <c r="AF203" s="33"/>
      <c r="AG203" s="33"/>
      <c r="AH203" s="33">
        <v>45397</v>
      </c>
      <c r="AI203" s="33"/>
      <c r="AJ203" s="42"/>
      <c r="AK203" s="37" t="s">
        <v>1383</v>
      </c>
      <c r="AL203" s="37" t="s">
        <v>1384</v>
      </c>
      <c r="AM203" s="37" t="s">
        <v>1385</v>
      </c>
      <c r="AN203" s="37" t="s">
        <v>50</v>
      </c>
      <c r="AO203" s="43">
        <v>100</v>
      </c>
      <c r="AP203" s="35">
        <v>0</v>
      </c>
      <c r="AQ203" s="35" t="s">
        <v>441</v>
      </c>
      <c r="AR203" s="44">
        <v>30</v>
      </c>
      <c r="AS203" s="37" t="s">
        <v>52</v>
      </c>
    </row>
    <row r="204" spans="1:45" ht="58.5" customHeight="1" x14ac:dyDescent="0.25">
      <c r="A204" s="46" t="s">
        <v>1386</v>
      </c>
      <c r="B204" s="42">
        <v>45288</v>
      </c>
      <c r="C204" s="37">
        <v>1416</v>
      </c>
      <c r="D204" s="36" t="s">
        <v>1387</v>
      </c>
      <c r="E204" s="1" t="s">
        <v>1388</v>
      </c>
      <c r="F204" s="33">
        <v>45320</v>
      </c>
      <c r="G204" s="35" t="s">
        <v>1389</v>
      </c>
      <c r="H204" s="37" t="s">
        <v>291</v>
      </c>
      <c r="I204" s="37" t="s">
        <v>1390</v>
      </c>
      <c r="J204" s="39">
        <v>240339922.80000001</v>
      </c>
      <c r="K204" s="40">
        <f>((J204-M204)/J204)*100</f>
        <v>0</v>
      </c>
      <c r="L204" s="41">
        <f>J204-M204</f>
        <v>0</v>
      </c>
      <c r="M204" s="38">
        <v>240339922.80000001</v>
      </c>
      <c r="N204" s="41">
        <f>J204-O204</f>
        <v>0</v>
      </c>
      <c r="O204" s="38">
        <v>240339922.80000001</v>
      </c>
      <c r="P204" s="27">
        <f t="shared" ref="P204:P209" si="31">O204</f>
        <v>240339922.80000001</v>
      </c>
      <c r="Q204" s="27">
        <f t="shared" si="30"/>
        <v>240339922.80000001</v>
      </c>
      <c r="R204" s="27">
        <f>Q204/U204</f>
        <v>60.78</v>
      </c>
      <c r="S204" s="38">
        <f>Q204/U204</f>
        <v>60.78</v>
      </c>
      <c r="T204" s="38">
        <f>S204*AR204</f>
        <v>7293.6</v>
      </c>
      <c r="U204" s="38">
        <f t="shared" si="28"/>
        <v>3954260</v>
      </c>
      <c r="V204" s="38">
        <f>147570+3806690</f>
        <v>3954260</v>
      </c>
      <c r="W204" s="38">
        <v>0</v>
      </c>
      <c r="X204" s="38">
        <v>0</v>
      </c>
      <c r="Y204" s="38">
        <v>147570</v>
      </c>
      <c r="Z204" s="38">
        <f t="shared" ref="Z204:Z267" si="32">Y204*S204</f>
        <v>8969304.5999999996</v>
      </c>
      <c r="AA204" s="38">
        <v>3806690</v>
      </c>
      <c r="AB204" s="38">
        <f t="shared" ref="AB204:AB267" si="33">AA204*S204</f>
        <v>231370618.20000002</v>
      </c>
      <c r="AC204" s="38">
        <f>U204/AR204</f>
        <v>32952.166666666664</v>
      </c>
      <c r="AD204" s="38">
        <f t="shared" si="26"/>
        <v>32953</v>
      </c>
      <c r="AE204" s="33">
        <v>45352</v>
      </c>
      <c r="AF204" s="33"/>
      <c r="AG204" s="33"/>
      <c r="AH204" s="33">
        <v>45383</v>
      </c>
      <c r="AI204" s="33"/>
      <c r="AJ204" s="42"/>
      <c r="AK204" s="37" t="s">
        <v>1391</v>
      </c>
      <c r="AL204" s="37" t="s">
        <v>1392</v>
      </c>
      <c r="AM204" s="37" t="s">
        <v>1393</v>
      </c>
      <c r="AN204" s="37" t="s">
        <v>50</v>
      </c>
      <c r="AO204" s="43">
        <v>100</v>
      </c>
      <c r="AP204" s="35">
        <v>0</v>
      </c>
      <c r="AQ204" s="35" t="s">
        <v>441</v>
      </c>
      <c r="AR204" s="44">
        <v>120</v>
      </c>
      <c r="AS204" s="37" t="s">
        <v>52</v>
      </c>
    </row>
    <row r="205" spans="1:45" ht="58.5" customHeight="1" x14ac:dyDescent="0.25">
      <c r="A205" s="46" t="s">
        <v>1394</v>
      </c>
      <c r="B205" s="42">
        <v>45288</v>
      </c>
      <c r="C205" s="37">
        <v>1416</v>
      </c>
      <c r="D205" s="36" t="s">
        <v>485</v>
      </c>
      <c r="E205" s="1" t="s">
        <v>1395</v>
      </c>
      <c r="F205" s="33" t="s">
        <v>485</v>
      </c>
      <c r="G205" s="35" t="s">
        <v>485</v>
      </c>
      <c r="H205" s="37" t="s">
        <v>485</v>
      </c>
      <c r="I205" s="37" t="s">
        <v>1396</v>
      </c>
      <c r="J205" s="39">
        <v>148558611.59999999</v>
      </c>
      <c r="K205" s="40">
        <f>((J205-M205)/J205)*100</f>
        <v>100</v>
      </c>
      <c r="L205" s="41">
        <f>J205-M205</f>
        <v>148558611.59999999</v>
      </c>
      <c r="M205" s="38"/>
      <c r="N205" s="41">
        <f>J205-O205</f>
        <v>148558611.59999999</v>
      </c>
      <c r="O205" s="38">
        <v>0</v>
      </c>
      <c r="P205" s="27">
        <f t="shared" si="31"/>
        <v>0</v>
      </c>
      <c r="Q205" s="27">
        <f t="shared" si="30"/>
        <v>0</v>
      </c>
      <c r="R205" s="27" t="e">
        <f>Q205/U205</f>
        <v>#DIV/0!</v>
      </c>
      <c r="S205" s="38" t="e">
        <f>Q205/U205</f>
        <v>#DIV/0!</v>
      </c>
      <c r="T205" s="38" t="e">
        <f>S205*AR205</f>
        <v>#DIV/0!</v>
      </c>
      <c r="U205" s="38">
        <f t="shared" si="28"/>
        <v>0</v>
      </c>
      <c r="V205" s="38">
        <v>0</v>
      </c>
      <c r="W205" s="38">
        <v>0</v>
      </c>
      <c r="X205" s="38">
        <v>0</v>
      </c>
      <c r="Y205" s="38"/>
      <c r="Z205" s="38" t="e">
        <f t="shared" si="32"/>
        <v>#DIV/0!</v>
      </c>
      <c r="AA205" s="38"/>
      <c r="AB205" s="38" t="e">
        <f t="shared" si="33"/>
        <v>#DIV/0!</v>
      </c>
      <c r="AC205" s="38" t="e">
        <f>U205/AR205</f>
        <v>#DIV/0!</v>
      </c>
      <c r="AD205" s="38" t="e">
        <f t="shared" si="26"/>
        <v>#DIV/0!</v>
      </c>
      <c r="AE205" s="33">
        <v>45381</v>
      </c>
      <c r="AF205" s="33"/>
      <c r="AG205" s="33"/>
      <c r="AH205" s="33"/>
      <c r="AI205" s="33"/>
      <c r="AJ205" s="42"/>
      <c r="AK205" s="37"/>
      <c r="AL205" s="37"/>
      <c r="AM205" s="37"/>
      <c r="AN205" s="37"/>
      <c r="AO205" s="43"/>
      <c r="AP205" s="35"/>
      <c r="AQ205" s="35"/>
      <c r="AR205" s="44"/>
      <c r="AS205" s="37" t="s">
        <v>485</v>
      </c>
    </row>
    <row r="206" spans="1:45" ht="58.5" customHeight="1" x14ac:dyDescent="0.25">
      <c r="A206" s="46" t="s">
        <v>1397</v>
      </c>
      <c r="B206" s="42">
        <v>45288</v>
      </c>
      <c r="C206" s="37">
        <v>1416</v>
      </c>
      <c r="D206" s="36" t="s">
        <v>1398</v>
      </c>
      <c r="E206" s="1" t="s">
        <v>1399</v>
      </c>
      <c r="F206" s="33">
        <v>45320</v>
      </c>
      <c r="G206" s="35" t="s">
        <v>1400</v>
      </c>
      <c r="H206" s="37" t="s">
        <v>291</v>
      </c>
      <c r="I206" s="37" t="s">
        <v>1401</v>
      </c>
      <c r="J206" s="39">
        <v>32108724.600000001</v>
      </c>
      <c r="K206" s="40">
        <f>((J206-M206)/J206)*100</f>
        <v>0</v>
      </c>
      <c r="L206" s="41">
        <f>J206-M206</f>
        <v>0</v>
      </c>
      <c r="M206" s="38">
        <v>32108724.600000001</v>
      </c>
      <c r="N206" s="41">
        <f>J206-O206</f>
        <v>0</v>
      </c>
      <c r="O206" s="38">
        <v>32108724.600000001</v>
      </c>
      <c r="P206" s="27">
        <f t="shared" si="31"/>
        <v>32108724.600000001</v>
      </c>
      <c r="Q206" s="27">
        <f t="shared" si="30"/>
        <v>32108724.600000001</v>
      </c>
      <c r="R206" s="27">
        <f>Q206/U206</f>
        <v>24.27</v>
      </c>
      <c r="S206" s="38">
        <f>Q206/U206</f>
        <v>24.27</v>
      </c>
      <c r="T206" s="38" t="e">
        <f>S206*AR206</f>
        <v>#VALUE!</v>
      </c>
      <c r="U206" s="38">
        <f t="shared" si="28"/>
        <v>1322980</v>
      </c>
      <c r="V206" s="38">
        <f>273450+1049530</f>
        <v>1322980</v>
      </c>
      <c r="W206" s="38">
        <v>0</v>
      </c>
      <c r="X206" s="38">
        <v>0</v>
      </c>
      <c r="Y206" s="38">
        <v>273450</v>
      </c>
      <c r="Z206" s="38">
        <f t="shared" si="32"/>
        <v>6636631.5</v>
      </c>
      <c r="AA206" s="38">
        <v>1049530</v>
      </c>
      <c r="AB206" s="38">
        <f t="shared" si="33"/>
        <v>25472093.099999998</v>
      </c>
      <c r="AC206" s="38" t="e">
        <f>U206/AR206</f>
        <v>#VALUE!</v>
      </c>
      <c r="AD206" s="38" t="e">
        <f t="shared" si="26"/>
        <v>#VALUE!</v>
      </c>
      <c r="AE206" s="33">
        <v>45352</v>
      </c>
      <c r="AF206" s="33"/>
      <c r="AG206" s="33"/>
      <c r="AH206" s="33">
        <v>45383</v>
      </c>
      <c r="AI206" s="33"/>
      <c r="AJ206" s="42"/>
      <c r="AK206" s="37" t="s">
        <v>1391</v>
      </c>
      <c r="AL206" s="37" t="s">
        <v>1402</v>
      </c>
      <c r="AM206" s="37" t="s">
        <v>1403</v>
      </c>
      <c r="AN206" s="37" t="s">
        <v>50</v>
      </c>
      <c r="AO206" s="43">
        <v>100</v>
      </c>
      <c r="AP206" s="35">
        <v>0</v>
      </c>
      <c r="AQ206" s="35" t="s">
        <v>441</v>
      </c>
      <c r="AR206" s="48" t="s">
        <v>1404</v>
      </c>
      <c r="AS206" s="37" t="s">
        <v>52</v>
      </c>
    </row>
    <row r="207" spans="1:45" ht="58.5" customHeight="1" x14ac:dyDescent="0.25">
      <c r="A207" s="46" t="s">
        <v>1405</v>
      </c>
      <c r="B207" s="42">
        <v>45288</v>
      </c>
      <c r="C207" s="37" t="s">
        <v>486</v>
      </c>
      <c r="D207" s="36" t="s">
        <v>1406</v>
      </c>
      <c r="E207" s="1" t="s">
        <v>1407</v>
      </c>
      <c r="F207" s="33">
        <v>45320</v>
      </c>
      <c r="G207" s="35" t="s">
        <v>1408</v>
      </c>
      <c r="H207" s="37" t="s">
        <v>219</v>
      </c>
      <c r="I207" s="37" t="s">
        <v>1409</v>
      </c>
      <c r="J207" s="39">
        <v>1031720792.4</v>
      </c>
      <c r="K207" s="40">
        <f>((J207-M207)/J207)*100</f>
        <v>0</v>
      </c>
      <c r="L207" s="41">
        <f>J207-M207</f>
        <v>0</v>
      </c>
      <c r="M207" s="38">
        <v>1031720792.4</v>
      </c>
      <c r="N207" s="41">
        <f>J207-O207</f>
        <v>0</v>
      </c>
      <c r="O207" s="38">
        <v>1031720792.4</v>
      </c>
      <c r="P207" s="27">
        <f t="shared" si="31"/>
        <v>1031720792.4</v>
      </c>
      <c r="Q207" s="27">
        <f t="shared" si="30"/>
        <v>1031720792.4</v>
      </c>
      <c r="R207" s="27">
        <f>Q207/U207</f>
        <v>201.66</v>
      </c>
      <c r="S207" s="38">
        <f>Q207/U207</f>
        <v>201.66</v>
      </c>
      <c r="T207" s="38">
        <f>S207*AR207</f>
        <v>6049.8</v>
      </c>
      <c r="U207" s="38">
        <f t="shared" si="28"/>
        <v>5116140</v>
      </c>
      <c r="V207" s="38">
        <v>5116140</v>
      </c>
      <c r="W207" s="38">
        <v>0</v>
      </c>
      <c r="X207" s="38">
        <v>0</v>
      </c>
      <c r="Y207" s="38">
        <v>0</v>
      </c>
      <c r="Z207" s="38">
        <f t="shared" si="32"/>
        <v>0</v>
      </c>
      <c r="AA207" s="38">
        <v>0</v>
      </c>
      <c r="AB207" s="38">
        <f t="shared" si="33"/>
        <v>0</v>
      </c>
      <c r="AC207" s="38">
        <f>U207/AR207</f>
        <v>170538</v>
      </c>
      <c r="AD207" s="38">
        <f t="shared" si="26"/>
        <v>170538</v>
      </c>
      <c r="AE207" s="33">
        <v>45397</v>
      </c>
      <c r="AF207" s="33"/>
      <c r="AG207" s="33"/>
      <c r="AH207" s="33">
        <v>45427</v>
      </c>
      <c r="AI207" s="33"/>
      <c r="AJ207" s="42"/>
      <c r="AK207" s="37" t="s">
        <v>1410</v>
      </c>
      <c r="AL207" s="37" t="s">
        <v>1411</v>
      </c>
      <c r="AM207" s="37" t="s">
        <v>1412</v>
      </c>
      <c r="AN207" s="37" t="s">
        <v>50</v>
      </c>
      <c r="AO207" s="43">
        <v>100</v>
      </c>
      <c r="AP207" s="35">
        <v>0</v>
      </c>
      <c r="AQ207" s="35" t="s">
        <v>441</v>
      </c>
      <c r="AR207" s="44">
        <v>30</v>
      </c>
      <c r="AS207" s="37" t="s">
        <v>52</v>
      </c>
    </row>
    <row r="208" spans="1:45" ht="58.5" customHeight="1" x14ac:dyDescent="0.25">
      <c r="A208" s="46" t="s">
        <v>1413</v>
      </c>
      <c r="B208" s="42">
        <v>45288</v>
      </c>
      <c r="C208" s="37" t="s">
        <v>486</v>
      </c>
      <c r="D208" s="36" t="s">
        <v>1414</v>
      </c>
      <c r="E208" s="1" t="s">
        <v>1415</v>
      </c>
      <c r="F208" s="33">
        <v>45320</v>
      </c>
      <c r="G208" s="35" t="s">
        <v>1416</v>
      </c>
      <c r="H208" s="37" t="s">
        <v>138</v>
      </c>
      <c r="I208" s="37" t="s">
        <v>1417</v>
      </c>
      <c r="J208" s="39">
        <v>790983700.20000005</v>
      </c>
      <c r="K208" s="40">
        <f>((J208-M208)/J208)*100</f>
        <v>0</v>
      </c>
      <c r="L208" s="41">
        <f>J208-M208</f>
        <v>0</v>
      </c>
      <c r="M208" s="38">
        <v>790983700.20000005</v>
      </c>
      <c r="N208" s="41">
        <f>J208-O208</f>
        <v>0</v>
      </c>
      <c r="O208" s="38">
        <v>790983700.20000005</v>
      </c>
      <c r="P208" s="27">
        <f t="shared" si="31"/>
        <v>790983700.20000005</v>
      </c>
      <c r="Q208" s="27">
        <f t="shared" si="30"/>
        <v>790983700.20000005</v>
      </c>
      <c r="R208" s="27">
        <f>Q208/U208</f>
        <v>414.21000000000004</v>
      </c>
      <c r="S208" s="38">
        <f>Q208/U208</f>
        <v>414.21000000000004</v>
      </c>
      <c r="T208" s="38">
        <f>S208*AR208</f>
        <v>12426.300000000001</v>
      </c>
      <c r="U208" s="38">
        <f t="shared" si="28"/>
        <v>1909620</v>
      </c>
      <c r="V208" s="38">
        <v>1909620</v>
      </c>
      <c r="W208" s="38">
        <v>0</v>
      </c>
      <c r="X208" s="38">
        <v>0</v>
      </c>
      <c r="Y208" s="38">
        <v>0</v>
      </c>
      <c r="Z208" s="38">
        <f t="shared" si="32"/>
        <v>0</v>
      </c>
      <c r="AA208" s="38">
        <v>0</v>
      </c>
      <c r="AB208" s="38">
        <f t="shared" si="33"/>
        <v>0</v>
      </c>
      <c r="AC208" s="38">
        <f>U208/AR208</f>
        <v>63654</v>
      </c>
      <c r="AD208" s="38">
        <f t="shared" si="26"/>
        <v>63654</v>
      </c>
      <c r="AE208" s="33">
        <v>45514</v>
      </c>
      <c r="AF208" s="33"/>
      <c r="AG208" s="33"/>
      <c r="AH208" s="33">
        <v>45545</v>
      </c>
      <c r="AI208" s="33"/>
      <c r="AJ208" s="42"/>
      <c r="AK208" s="37" t="s">
        <v>566</v>
      </c>
      <c r="AL208" s="37" t="s">
        <v>567</v>
      </c>
      <c r="AM208" s="37" t="s">
        <v>568</v>
      </c>
      <c r="AN208" s="37" t="s">
        <v>143</v>
      </c>
      <c r="AO208" s="43">
        <v>0</v>
      </c>
      <c r="AP208" s="35">
        <v>100</v>
      </c>
      <c r="AQ208" s="35" t="s">
        <v>441</v>
      </c>
      <c r="AR208" s="44">
        <v>30</v>
      </c>
      <c r="AS208" s="37" t="s">
        <v>52</v>
      </c>
    </row>
    <row r="209" spans="1:45" ht="58.5" customHeight="1" x14ac:dyDescent="0.25">
      <c r="A209" s="46" t="s">
        <v>1418</v>
      </c>
      <c r="B209" s="42">
        <v>45288</v>
      </c>
      <c r="C209" s="37" t="s">
        <v>486</v>
      </c>
      <c r="D209" s="36" t="s">
        <v>485</v>
      </c>
      <c r="E209" s="1" t="s">
        <v>1419</v>
      </c>
      <c r="F209" s="33" t="s">
        <v>485</v>
      </c>
      <c r="G209" s="35" t="s">
        <v>485</v>
      </c>
      <c r="H209" s="37" t="s">
        <v>485</v>
      </c>
      <c r="I209" s="37" t="s">
        <v>1420</v>
      </c>
      <c r="J209" s="39">
        <v>71990384.400000006</v>
      </c>
      <c r="K209" s="40">
        <f>((J209-M209)/J209)*100</f>
        <v>100</v>
      </c>
      <c r="L209" s="41">
        <f>J209-M209</f>
        <v>71990384.400000006</v>
      </c>
      <c r="M209" s="38"/>
      <c r="N209" s="41">
        <f>J209-O209</f>
        <v>71990384.400000006</v>
      </c>
      <c r="O209" s="38">
        <v>0</v>
      </c>
      <c r="P209" s="27">
        <f t="shared" si="31"/>
        <v>0</v>
      </c>
      <c r="Q209" s="27">
        <f t="shared" si="30"/>
        <v>0</v>
      </c>
      <c r="R209" s="27" t="e">
        <f>Q209/U209</f>
        <v>#DIV/0!</v>
      </c>
      <c r="S209" s="38" t="e">
        <f>Q209/U209</f>
        <v>#DIV/0!</v>
      </c>
      <c r="T209" s="38" t="e">
        <f>S209*AR209</f>
        <v>#DIV/0!</v>
      </c>
      <c r="U209" s="38">
        <f t="shared" si="28"/>
        <v>0</v>
      </c>
      <c r="V209" s="38">
        <v>0</v>
      </c>
      <c r="W209" s="38">
        <v>0</v>
      </c>
      <c r="X209" s="38">
        <v>0</v>
      </c>
      <c r="Y209" s="38"/>
      <c r="Z209" s="38" t="e">
        <f t="shared" si="32"/>
        <v>#DIV/0!</v>
      </c>
      <c r="AA209" s="38"/>
      <c r="AB209" s="38" t="e">
        <f t="shared" si="33"/>
        <v>#DIV/0!</v>
      </c>
      <c r="AC209" s="38" t="e">
        <f>U209/AR209</f>
        <v>#DIV/0!</v>
      </c>
      <c r="AD209" s="38" t="e">
        <f t="shared" si="26"/>
        <v>#DIV/0!</v>
      </c>
      <c r="AE209" s="33">
        <v>45383</v>
      </c>
      <c r="AF209" s="33"/>
      <c r="AG209" s="33"/>
      <c r="AH209" s="33"/>
      <c r="AI209" s="33"/>
      <c r="AJ209" s="42"/>
      <c r="AK209" s="37"/>
      <c r="AL209" s="37"/>
      <c r="AM209" s="37"/>
      <c r="AN209" s="37"/>
      <c r="AO209" s="43"/>
      <c r="AP209" s="35"/>
      <c r="AQ209" s="35"/>
      <c r="AR209" s="44"/>
      <c r="AS209" s="37" t="s">
        <v>485</v>
      </c>
    </row>
    <row r="210" spans="1:45" ht="58.5" customHeight="1" x14ac:dyDescent="0.25">
      <c r="A210" s="46" t="s">
        <v>1421</v>
      </c>
      <c r="B210" s="42">
        <v>45288</v>
      </c>
      <c r="C210" s="37">
        <v>1416</v>
      </c>
      <c r="D210" s="36" t="s">
        <v>1422</v>
      </c>
      <c r="E210" s="1" t="s">
        <v>1423</v>
      </c>
      <c r="F210" s="33">
        <v>45320</v>
      </c>
      <c r="G210" s="35" t="s">
        <v>1424</v>
      </c>
      <c r="H210" s="37" t="s">
        <v>291</v>
      </c>
      <c r="I210" s="37" t="s">
        <v>1425</v>
      </c>
      <c r="J210" s="39">
        <v>37288365</v>
      </c>
      <c r="K210" s="40">
        <f>((J210-M210)/J210)*100</f>
        <v>0.53859964093357271</v>
      </c>
      <c r="L210" s="41">
        <f>J210-M210</f>
        <v>200835</v>
      </c>
      <c r="M210" s="38">
        <v>37087530</v>
      </c>
      <c r="N210" s="41">
        <f>J210-O210</f>
        <v>200835</v>
      </c>
      <c r="O210" s="38">
        <v>37087530</v>
      </c>
      <c r="P210" s="27">
        <v>37346469.600000001</v>
      </c>
      <c r="Q210" s="27">
        <f t="shared" si="30"/>
        <v>37346469.600000001</v>
      </c>
      <c r="R210" s="27">
        <f>Q210/U210</f>
        <v>11.08</v>
      </c>
      <c r="S210" s="38">
        <f>Q210/U210</f>
        <v>11.08</v>
      </c>
      <c r="T210" s="38">
        <f>S210*AR210</f>
        <v>332.4</v>
      </c>
      <c r="U210" s="38">
        <f t="shared" si="28"/>
        <v>3370620</v>
      </c>
      <c r="V210" s="38">
        <f>10080+711090</f>
        <v>721170</v>
      </c>
      <c r="W210" s="38">
        <f>36990+2589090+23370</f>
        <v>2649450</v>
      </c>
      <c r="X210" s="38">
        <v>0</v>
      </c>
      <c r="Y210" s="38">
        <f>10080+36990</f>
        <v>47070</v>
      </c>
      <c r="Z210" s="38">
        <f t="shared" si="32"/>
        <v>521535.6</v>
      </c>
      <c r="AA210" s="38">
        <f>711090+2589090+23370</f>
        <v>3323550</v>
      </c>
      <c r="AB210" s="38">
        <f t="shared" si="33"/>
        <v>36824934</v>
      </c>
      <c r="AC210" s="38">
        <f>U210/AR210</f>
        <v>112354</v>
      </c>
      <c r="AD210" s="38">
        <f t="shared" si="26"/>
        <v>112354</v>
      </c>
      <c r="AE210" s="33">
        <v>45323</v>
      </c>
      <c r="AF210" s="33">
        <v>45383</v>
      </c>
      <c r="AG210" s="33"/>
      <c r="AH210" s="33">
        <v>45352</v>
      </c>
      <c r="AI210" s="33">
        <v>45413</v>
      </c>
      <c r="AJ210" s="42"/>
      <c r="AK210" s="37" t="s">
        <v>1426</v>
      </c>
      <c r="AL210" s="37" t="s">
        <v>1427</v>
      </c>
      <c r="AM210" s="37" t="s">
        <v>1385</v>
      </c>
      <c r="AN210" s="37" t="s">
        <v>50</v>
      </c>
      <c r="AO210" s="43">
        <v>100</v>
      </c>
      <c r="AP210" s="35">
        <v>0</v>
      </c>
      <c r="AQ210" s="35" t="s">
        <v>441</v>
      </c>
      <c r="AR210" s="44">
        <v>30</v>
      </c>
      <c r="AS210" s="37" t="s">
        <v>380</v>
      </c>
    </row>
    <row r="211" spans="1:45" ht="58.5" customHeight="1" x14ac:dyDescent="0.25">
      <c r="A211" s="46" t="s">
        <v>1428</v>
      </c>
      <c r="B211" s="42">
        <v>45288</v>
      </c>
      <c r="C211" s="37">
        <v>1416</v>
      </c>
      <c r="D211" s="36" t="s">
        <v>1429</v>
      </c>
      <c r="E211" s="1" t="s">
        <v>1430</v>
      </c>
      <c r="F211" s="33">
        <v>45324</v>
      </c>
      <c r="G211" s="35" t="s">
        <v>1431</v>
      </c>
      <c r="H211" s="37" t="s">
        <v>291</v>
      </c>
      <c r="I211" s="37" t="s">
        <v>1432</v>
      </c>
      <c r="J211" s="39">
        <v>749995.2</v>
      </c>
      <c r="K211" s="40">
        <f>((J211-M211)/J211)*100</f>
        <v>0.50004320027647253</v>
      </c>
      <c r="L211" s="41">
        <f>J211-M211</f>
        <v>3750.2999999999302</v>
      </c>
      <c r="M211" s="38">
        <v>746244.9</v>
      </c>
      <c r="N211" s="41">
        <f>J211-O211</f>
        <v>3750.2999999999302</v>
      </c>
      <c r="O211" s="38">
        <v>746244.9</v>
      </c>
      <c r="P211" s="27">
        <f t="shared" ref="P211:Q233" si="34">O211</f>
        <v>746244.9</v>
      </c>
      <c r="Q211" s="27">
        <f t="shared" si="30"/>
        <v>746244.9</v>
      </c>
      <c r="R211" s="27">
        <f>Q211/U211</f>
        <v>921.29000000000008</v>
      </c>
      <c r="S211" s="38">
        <f>Q211/U211</f>
        <v>921.29000000000008</v>
      </c>
      <c r="T211" s="38">
        <f>S211*AR211</f>
        <v>46064.500000000007</v>
      </c>
      <c r="U211" s="38">
        <f t="shared" si="28"/>
        <v>810</v>
      </c>
      <c r="V211" s="38">
        <v>810</v>
      </c>
      <c r="W211" s="38">
        <v>0</v>
      </c>
      <c r="X211" s="38">
        <v>0</v>
      </c>
      <c r="Y211" s="38">
        <v>0</v>
      </c>
      <c r="Z211" s="38">
        <f t="shared" si="32"/>
        <v>0</v>
      </c>
      <c r="AA211" s="38">
        <v>810</v>
      </c>
      <c r="AB211" s="38">
        <f t="shared" si="33"/>
        <v>746244.9</v>
      </c>
      <c r="AC211" s="38">
        <f>U211/AR211</f>
        <v>16.2</v>
      </c>
      <c r="AD211" s="38">
        <f t="shared" si="26"/>
        <v>17</v>
      </c>
      <c r="AE211" s="33">
        <v>45352</v>
      </c>
      <c r="AF211" s="33"/>
      <c r="AG211" s="33"/>
      <c r="AH211" s="33">
        <v>45383</v>
      </c>
      <c r="AI211" s="33"/>
      <c r="AJ211" s="42"/>
      <c r="AK211" s="37" t="s">
        <v>1433</v>
      </c>
      <c r="AL211" s="37" t="s">
        <v>1434</v>
      </c>
      <c r="AM211" s="37" t="s">
        <v>1435</v>
      </c>
      <c r="AN211" s="37" t="s">
        <v>50</v>
      </c>
      <c r="AO211" s="43">
        <v>100</v>
      </c>
      <c r="AP211" s="35">
        <v>0</v>
      </c>
      <c r="AQ211" s="35" t="s">
        <v>164</v>
      </c>
      <c r="AR211" s="44">
        <v>50</v>
      </c>
      <c r="AS211" s="37" t="s">
        <v>52</v>
      </c>
    </row>
    <row r="212" spans="1:45" ht="58.5" customHeight="1" x14ac:dyDescent="0.25">
      <c r="A212" s="46" t="s">
        <v>1436</v>
      </c>
      <c r="B212" s="42">
        <v>45289</v>
      </c>
      <c r="C212" s="37">
        <v>1416</v>
      </c>
      <c r="D212" s="36" t="s">
        <v>1437</v>
      </c>
      <c r="E212" s="1" t="s">
        <v>1438</v>
      </c>
      <c r="F212" s="33">
        <v>45327</v>
      </c>
      <c r="G212" s="35" t="s">
        <v>1439</v>
      </c>
      <c r="H212" s="37" t="s">
        <v>364</v>
      </c>
      <c r="I212" s="37" t="s">
        <v>1440</v>
      </c>
      <c r="J212" s="39">
        <v>695313219.03999996</v>
      </c>
      <c r="K212" s="40">
        <f>((J212-M212)/J212)*100</f>
        <v>0</v>
      </c>
      <c r="L212" s="41">
        <f>J212-M212</f>
        <v>0</v>
      </c>
      <c r="M212" s="38">
        <v>695313219.03999996</v>
      </c>
      <c r="N212" s="41">
        <f>J212-O212</f>
        <v>0</v>
      </c>
      <c r="O212" s="38">
        <v>695313219.03999996</v>
      </c>
      <c r="P212" s="27">
        <f t="shared" si="34"/>
        <v>695313219.03999996</v>
      </c>
      <c r="Q212" s="27">
        <f t="shared" si="30"/>
        <v>695313219.03999996</v>
      </c>
      <c r="R212" s="27">
        <f>Q212/U212</f>
        <v>1212.97</v>
      </c>
      <c r="S212" s="38">
        <f>Q212/U212</f>
        <v>1212.97</v>
      </c>
      <c r="T212" s="38" t="e">
        <f>S212*AR212</f>
        <v>#VALUE!</v>
      </c>
      <c r="U212" s="38">
        <f t="shared" si="28"/>
        <v>573232</v>
      </c>
      <c r="V212" s="38">
        <f>3920+569312</f>
        <v>573232</v>
      </c>
      <c r="W212" s="38">
        <v>0</v>
      </c>
      <c r="X212" s="38">
        <v>0</v>
      </c>
      <c r="Y212" s="38">
        <v>3920</v>
      </c>
      <c r="Z212" s="38">
        <f t="shared" si="32"/>
        <v>4754842.4000000004</v>
      </c>
      <c r="AA212" s="38">
        <v>569312</v>
      </c>
      <c r="AB212" s="38">
        <f t="shared" si="33"/>
        <v>690558376.63999999</v>
      </c>
      <c r="AC212" s="38" t="e">
        <f>U212/AR212</f>
        <v>#VALUE!</v>
      </c>
      <c r="AD212" s="38" t="e">
        <f t="shared" si="26"/>
        <v>#VALUE!</v>
      </c>
      <c r="AE212" s="33">
        <v>45383</v>
      </c>
      <c r="AF212" s="33"/>
      <c r="AG212" s="33"/>
      <c r="AH212" s="33">
        <v>45413</v>
      </c>
      <c r="AI212" s="33"/>
      <c r="AJ212" s="42"/>
      <c r="AK212" s="37" t="s">
        <v>1441</v>
      </c>
      <c r="AL212" s="37" t="s">
        <v>1442</v>
      </c>
      <c r="AM212" s="37" t="s">
        <v>1443</v>
      </c>
      <c r="AN212" s="37" t="s">
        <v>50</v>
      </c>
      <c r="AO212" s="43">
        <v>100</v>
      </c>
      <c r="AP212" s="35">
        <v>0</v>
      </c>
      <c r="AQ212" s="35" t="s">
        <v>441</v>
      </c>
      <c r="AR212" s="48" t="s">
        <v>1444</v>
      </c>
      <c r="AS212" s="37" t="s">
        <v>52</v>
      </c>
    </row>
    <row r="213" spans="1:45" ht="58.5" customHeight="1" x14ac:dyDescent="0.25">
      <c r="A213" s="46" t="s">
        <v>1445</v>
      </c>
      <c r="B213" s="42">
        <v>45289</v>
      </c>
      <c r="C213" s="37">
        <v>1416</v>
      </c>
      <c r="D213" s="36" t="s">
        <v>1446</v>
      </c>
      <c r="E213" s="1" t="s">
        <v>1447</v>
      </c>
      <c r="F213" s="33">
        <v>45320</v>
      </c>
      <c r="G213" s="35" t="s">
        <v>1448</v>
      </c>
      <c r="H213" s="37" t="s">
        <v>138</v>
      </c>
      <c r="I213" s="37" t="s">
        <v>1449</v>
      </c>
      <c r="J213" s="39">
        <v>3614799</v>
      </c>
      <c r="K213" s="40">
        <f>((J213-M213)/J213)*100</f>
        <v>0</v>
      </c>
      <c r="L213" s="41">
        <f>J213-M213</f>
        <v>0</v>
      </c>
      <c r="M213" s="38">
        <v>3614799</v>
      </c>
      <c r="N213" s="41">
        <f>J213-O213</f>
        <v>0</v>
      </c>
      <c r="O213" s="38">
        <v>3614799</v>
      </c>
      <c r="P213" s="27">
        <f t="shared" si="34"/>
        <v>3614799</v>
      </c>
      <c r="Q213" s="27">
        <f t="shared" si="30"/>
        <v>3614799</v>
      </c>
      <c r="R213" s="27">
        <f>Q213/U213</f>
        <v>197.53</v>
      </c>
      <c r="S213" s="38">
        <f>Q213/U213</f>
        <v>197.53</v>
      </c>
      <c r="T213" s="38">
        <f>S213*AR213</f>
        <v>19753</v>
      </c>
      <c r="U213" s="38">
        <f t="shared" si="28"/>
        <v>18300</v>
      </c>
      <c r="V213" s="38">
        <f>14700+3600</f>
        <v>18300</v>
      </c>
      <c r="W213" s="38">
        <v>0</v>
      </c>
      <c r="X213" s="38">
        <v>0</v>
      </c>
      <c r="Y213" s="38">
        <v>14700</v>
      </c>
      <c r="Z213" s="38">
        <f t="shared" si="32"/>
        <v>2903691</v>
      </c>
      <c r="AA213" s="38">
        <v>3600</v>
      </c>
      <c r="AB213" s="38">
        <f t="shared" si="33"/>
        <v>711108</v>
      </c>
      <c r="AC213" s="38">
        <f>U213/AR213</f>
        <v>183</v>
      </c>
      <c r="AD213" s="38">
        <f t="shared" si="26"/>
        <v>183</v>
      </c>
      <c r="AE213" s="33">
        <v>45352</v>
      </c>
      <c r="AF213" s="33"/>
      <c r="AG213" s="33"/>
      <c r="AH213" s="33">
        <v>45383</v>
      </c>
      <c r="AI213" s="33"/>
      <c r="AJ213" s="42"/>
      <c r="AK213" s="37" t="s">
        <v>1450</v>
      </c>
      <c r="AL213" s="37" t="s">
        <v>1451</v>
      </c>
      <c r="AM213" s="37" t="s">
        <v>1452</v>
      </c>
      <c r="AN213" s="37" t="s">
        <v>1453</v>
      </c>
      <c r="AO213" s="43">
        <v>0</v>
      </c>
      <c r="AP213" s="35">
        <v>100</v>
      </c>
      <c r="AQ213" s="35" t="s">
        <v>379</v>
      </c>
      <c r="AR213" s="44">
        <v>100</v>
      </c>
      <c r="AS213" s="37" t="s">
        <v>52</v>
      </c>
    </row>
    <row r="214" spans="1:45" ht="58.5" customHeight="1" x14ac:dyDescent="0.25">
      <c r="A214" s="46" t="s">
        <v>1454</v>
      </c>
      <c r="B214" s="42">
        <v>45289</v>
      </c>
      <c r="C214" s="37">
        <v>1416</v>
      </c>
      <c r="D214" s="36" t="s">
        <v>1455</v>
      </c>
      <c r="E214" s="1" t="s">
        <v>1456</v>
      </c>
      <c r="F214" s="33">
        <v>45322</v>
      </c>
      <c r="G214" s="35" t="s">
        <v>1457</v>
      </c>
      <c r="H214" s="37" t="s">
        <v>1236</v>
      </c>
      <c r="I214" s="37" t="s">
        <v>1458</v>
      </c>
      <c r="J214" s="39">
        <v>87974803.200000003</v>
      </c>
      <c r="K214" s="40">
        <f>((J214-M214)/J214)*100</f>
        <v>2.0000000181870234</v>
      </c>
      <c r="L214" s="41">
        <f>J214-M214</f>
        <v>1759496.0799999982</v>
      </c>
      <c r="M214" s="38">
        <v>86215307.120000005</v>
      </c>
      <c r="N214" s="41">
        <f>J214-O214</f>
        <v>17960472</v>
      </c>
      <c r="O214" s="38">
        <v>70014331.200000003</v>
      </c>
      <c r="P214" s="27">
        <f t="shared" si="34"/>
        <v>70014331.200000003</v>
      </c>
      <c r="Q214" s="27">
        <f t="shared" si="34"/>
        <v>70014331.200000003</v>
      </c>
      <c r="R214" s="27">
        <f>Q214/U214</f>
        <v>88.88000000000001</v>
      </c>
      <c r="S214" s="38">
        <f>Q214/U214</f>
        <v>88.88000000000001</v>
      </c>
      <c r="T214" s="38">
        <f>S214*AR214</f>
        <v>5332.8</v>
      </c>
      <c r="U214" s="38">
        <f t="shared" si="28"/>
        <v>787740</v>
      </c>
      <c r="V214" s="38">
        <f>39420+344460</f>
        <v>383880</v>
      </c>
      <c r="W214" s="38">
        <f>41040+362820</f>
        <v>403860</v>
      </c>
      <c r="X214" s="38">
        <v>0</v>
      </c>
      <c r="Y214" s="38">
        <f>39420+41040</f>
        <v>80460</v>
      </c>
      <c r="Z214" s="38">
        <f t="shared" si="32"/>
        <v>7151284.8000000007</v>
      </c>
      <c r="AA214" s="38">
        <f>344460+362820</f>
        <v>707280</v>
      </c>
      <c r="AB214" s="38">
        <f t="shared" si="33"/>
        <v>62863046.400000006</v>
      </c>
      <c r="AC214" s="38">
        <f>U214/AR214</f>
        <v>13129</v>
      </c>
      <c r="AD214" s="38">
        <f t="shared" si="26"/>
        <v>13129</v>
      </c>
      <c r="AE214" s="33">
        <v>45352</v>
      </c>
      <c r="AF214" s="33">
        <v>45474</v>
      </c>
      <c r="AG214" s="33"/>
      <c r="AH214" s="33">
        <v>45383</v>
      </c>
      <c r="AI214" s="33">
        <v>45505</v>
      </c>
      <c r="AJ214" s="42"/>
      <c r="AK214" s="37" t="s">
        <v>1238</v>
      </c>
      <c r="AL214" s="37" t="s">
        <v>1459</v>
      </c>
      <c r="AM214" s="37" t="s">
        <v>1240</v>
      </c>
      <c r="AN214" s="37" t="s">
        <v>50</v>
      </c>
      <c r="AO214" s="43">
        <v>100</v>
      </c>
      <c r="AP214" s="35">
        <v>0</v>
      </c>
      <c r="AQ214" s="35" t="s">
        <v>441</v>
      </c>
      <c r="AR214" s="44">
        <v>60</v>
      </c>
      <c r="AS214" s="37" t="s">
        <v>52</v>
      </c>
    </row>
    <row r="215" spans="1:45" ht="58.5" customHeight="1" x14ac:dyDescent="0.25">
      <c r="A215" s="46" t="s">
        <v>1460</v>
      </c>
      <c r="B215" s="42">
        <v>45289</v>
      </c>
      <c r="C215" s="37">
        <v>1416</v>
      </c>
      <c r="D215" s="36" t="s">
        <v>1461</v>
      </c>
      <c r="E215" s="1" t="s">
        <v>1462</v>
      </c>
      <c r="F215" s="33">
        <v>45320</v>
      </c>
      <c r="G215" s="35" t="s">
        <v>1463</v>
      </c>
      <c r="H215" s="37" t="s">
        <v>138</v>
      </c>
      <c r="I215" s="37" t="s">
        <v>1464</v>
      </c>
      <c r="J215" s="39">
        <v>165786.4</v>
      </c>
      <c r="K215" s="40">
        <f>((J215-M215)/J215)*100</f>
        <v>0</v>
      </c>
      <c r="L215" s="41">
        <f>J215-M215</f>
        <v>0</v>
      </c>
      <c r="M215" s="38">
        <v>165786.4</v>
      </c>
      <c r="N215" s="41">
        <f>J215-O215</f>
        <v>0</v>
      </c>
      <c r="O215" s="38">
        <v>165786.4</v>
      </c>
      <c r="P215" s="27">
        <f t="shared" si="34"/>
        <v>165786.4</v>
      </c>
      <c r="Q215" s="27">
        <f t="shared" si="34"/>
        <v>165786.4</v>
      </c>
      <c r="R215" s="27">
        <f>Q215/U215</f>
        <v>218.14</v>
      </c>
      <c r="S215" s="38">
        <f>Q215/U215</f>
        <v>218.14</v>
      </c>
      <c r="T215" s="38">
        <f>S215*AR215</f>
        <v>8725.5999999999985</v>
      </c>
      <c r="U215" s="38">
        <f t="shared" si="28"/>
        <v>760</v>
      </c>
      <c r="V215" s="38">
        <v>760</v>
      </c>
      <c r="W215" s="38">
        <v>0</v>
      </c>
      <c r="X215" s="38">
        <v>0</v>
      </c>
      <c r="Y215" s="38">
        <v>760</v>
      </c>
      <c r="Z215" s="38">
        <f t="shared" si="32"/>
        <v>165786.4</v>
      </c>
      <c r="AA215" s="38">
        <v>0</v>
      </c>
      <c r="AB215" s="38">
        <f t="shared" si="33"/>
        <v>0</v>
      </c>
      <c r="AC215" s="38">
        <f>U215/AR215</f>
        <v>19</v>
      </c>
      <c r="AD215" s="38">
        <f t="shared" si="26"/>
        <v>19</v>
      </c>
      <c r="AE215" s="33">
        <v>45352</v>
      </c>
      <c r="AF215" s="33"/>
      <c r="AG215" s="33"/>
      <c r="AH215" s="33">
        <v>45383</v>
      </c>
      <c r="AI215" s="33"/>
      <c r="AJ215" s="42"/>
      <c r="AK215" s="37" t="s">
        <v>258</v>
      </c>
      <c r="AL215" s="37" t="s">
        <v>1465</v>
      </c>
      <c r="AM215" s="37" t="s">
        <v>1466</v>
      </c>
      <c r="AN215" s="37" t="s">
        <v>1453</v>
      </c>
      <c r="AO215" s="43">
        <v>0</v>
      </c>
      <c r="AP215" s="35">
        <v>100</v>
      </c>
      <c r="AQ215" s="35" t="s">
        <v>379</v>
      </c>
      <c r="AR215" s="44">
        <v>40</v>
      </c>
      <c r="AS215" s="37" t="s">
        <v>176</v>
      </c>
    </row>
    <row r="216" spans="1:45" ht="58.5" customHeight="1" x14ac:dyDescent="0.25">
      <c r="A216" s="46" t="s">
        <v>1467</v>
      </c>
      <c r="B216" s="42">
        <v>45289</v>
      </c>
      <c r="C216" s="37">
        <v>1416</v>
      </c>
      <c r="D216" s="36" t="s">
        <v>1468</v>
      </c>
      <c r="E216" s="1" t="s">
        <v>1469</v>
      </c>
      <c r="F216" s="33">
        <v>45322</v>
      </c>
      <c r="G216" s="35" t="s">
        <v>1470</v>
      </c>
      <c r="H216" s="37" t="s">
        <v>291</v>
      </c>
      <c r="I216" s="37" t="s">
        <v>1471</v>
      </c>
      <c r="J216" s="39">
        <v>17068912</v>
      </c>
      <c r="K216" s="40">
        <f>((J216-M216)/J216)*100</f>
        <v>0.50590219224283306</v>
      </c>
      <c r="L216" s="41">
        <f>J216-M216</f>
        <v>86352</v>
      </c>
      <c r="M216" s="38">
        <v>16982560</v>
      </c>
      <c r="N216" s="41">
        <f>J216-O216</f>
        <v>86352</v>
      </c>
      <c r="O216" s="38">
        <v>16982560</v>
      </c>
      <c r="P216" s="27">
        <f t="shared" si="34"/>
        <v>16982560</v>
      </c>
      <c r="Q216" s="27">
        <f t="shared" si="34"/>
        <v>16982560</v>
      </c>
      <c r="R216" s="27">
        <f>Q216/U216</f>
        <v>11.8</v>
      </c>
      <c r="S216" s="38">
        <f>Q216/U216</f>
        <v>11.8</v>
      </c>
      <c r="T216" s="38">
        <f>S216*AR216</f>
        <v>1180</v>
      </c>
      <c r="U216" s="38">
        <f t="shared" si="28"/>
        <v>1439200</v>
      </c>
      <c r="V216" s="38">
        <f>142900+1296300</f>
        <v>1439200</v>
      </c>
      <c r="W216" s="38">
        <v>0</v>
      </c>
      <c r="X216" s="38">
        <v>0</v>
      </c>
      <c r="Y216" s="38">
        <v>142900</v>
      </c>
      <c r="Z216" s="38">
        <f t="shared" si="32"/>
        <v>1686220</v>
      </c>
      <c r="AA216" s="38">
        <v>1296300</v>
      </c>
      <c r="AB216" s="38">
        <f t="shared" si="33"/>
        <v>15296340</v>
      </c>
      <c r="AC216" s="38">
        <f>U216/AR216</f>
        <v>14392</v>
      </c>
      <c r="AD216" s="38">
        <f t="shared" si="26"/>
        <v>14392</v>
      </c>
      <c r="AE216" s="33">
        <v>45352</v>
      </c>
      <c r="AF216" s="33"/>
      <c r="AG216" s="33"/>
      <c r="AH216" s="33">
        <v>45383</v>
      </c>
      <c r="AI216" s="33"/>
      <c r="AJ216" s="42"/>
      <c r="AK216" s="37" t="s">
        <v>1472</v>
      </c>
      <c r="AL216" s="37" t="s">
        <v>1473</v>
      </c>
      <c r="AM216" s="37" t="s">
        <v>1474</v>
      </c>
      <c r="AN216" s="37" t="s">
        <v>50</v>
      </c>
      <c r="AO216" s="43">
        <v>100</v>
      </c>
      <c r="AP216" s="35">
        <v>0</v>
      </c>
      <c r="AQ216" s="35" t="s">
        <v>441</v>
      </c>
      <c r="AR216" s="44">
        <v>100</v>
      </c>
      <c r="AS216" s="37" t="s">
        <v>52</v>
      </c>
    </row>
    <row r="217" spans="1:45" ht="58.5" customHeight="1" x14ac:dyDescent="0.25">
      <c r="A217" s="46" t="s">
        <v>1475</v>
      </c>
      <c r="B217" s="42">
        <v>45289</v>
      </c>
      <c r="C217" s="37">
        <v>1416</v>
      </c>
      <c r="D217" s="36" t="s">
        <v>1476</v>
      </c>
      <c r="E217" s="1" t="s">
        <v>1477</v>
      </c>
      <c r="F217" s="33">
        <v>45317</v>
      </c>
      <c r="G217" s="35" t="s">
        <v>1478</v>
      </c>
      <c r="H217" s="37" t="s">
        <v>138</v>
      </c>
      <c r="I217" s="37" t="s">
        <v>660</v>
      </c>
      <c r="J217" s="39">
        <v>13163854000</v>
      </c>
      <c r="K217" s="40">
        <f>((J217-M217)/J217)*100</f>
        <v>0</v>
      </c>
      <c r="L217" s="41">
        <f>J217-M217</f>
        <v>0</v>
      </c>
      <c r="M217" s="38">
        <v>13163854000</v>
      </c>
      <c r="N217" s="41">
        <v>0</v>
      </c>
      <c r="O217" s="38">
        <v>6581927000</v>
      </c>
      <c r="P217" s="27">
        <f t="shared" si="34"/>
        <v>6581927000</v>
      </c>
      <c r="Q217" s="27">
        <v>13163854000</v>
      </c>
      <c r="R217" s="27">
        <f>Q217/U217</f>
        <v>22696.3</v>
      </c>
      <c r="S217" s="38">
        <f>Q217/U217</f>
        <v>22696.3</v>
      </c>
      <c r="T217" s="38">
        <f>S217*AR217</f>
        <v>226963</v>
      </c>
      <c r="U217" s="38">
        <v>580000</v>
      </c>
      <c r="V217" s="38">
        <f>1560+288440</f>
        <v>290000</v>
      </c>
      <c r="W217" s="38">
        <v>0</v>
      </c>
      <c r="X217" s="38">
        <v>0</v>
      </c>
      <c r="Y217" s="38">
        <v>1560</v>
      </c>
      <c r="Z217" s="38">
        <f t="shared" si="32"/>
        <v>35406228</v>
      </c>
      <c r="AA217" s="38">
        <v>288440</v>
      </c>
      <c r="AB217" s="38">
        <f t="shared" si="33"/>
        <v>6546520772</v>
      </c>
      <c r="AC217" s="38">
        <f>U217/AR217</f>
        <v>58000</v>
      </c>
      <c r="AD217" s="38">
        <f t="shared" si="26"/>
        <v>58000</v>
      </c>
      <c r="AE217" s="33">
        <v>45352</v>
      </c>
      <c r="AF217" s="33">
        <v>45717</v>
      </c>
      <c r="AG217" s="33"/>
      <c r="AH217" s="33">
        <v>45383</v>
      </c>
      <c r="AI217" s="33">
        <v>45748</v>
      </c>
      <c r="AJ217" s="42"/>
      <c r="AK217" s="37" t="s">
        <v>1479</v>
      </c>
      <c r="AL217" s="37" t="s">
        <v>1480</v>
      </c>
      <c r="AM217" s="37" t="s">
        <v>1481</v>
      </c>
      <c r="AN217" s="37" t="s">
        <v>174</v>
      </c>
      <c r="AO217" s="43">
        <v>0</v>
      </c>
      <c r="AP217" s="35">
        <v>100</v>
      </c>
      <c r="AQ217" s="35" t="s">
        <v>164</v>
      </c>
      <c r="AR217" s="44">
        <v>10</v>
      </c>
      <c r="AS217" s="37" t="s">
        <v>52</v>
      </c>
    </row>
    <row r="218" spans="1:45" ht="58.5" customHeight="1" x14ac:dyDescent="0.25">
      <c r="A218" s="46" t="s">
        <v>1482</v>
      </c>
      <c r="B218" s="42">
        <v>45289</v>
      </c>
      <c r="C218" s="37">
        <v>1416</v>
      </c>
      <c r="D218" s="36" t="s">
        <v>1483</v>
      </c>
      <c r="E218" s="1" t="s">
        <v>1484</v>
      </c>
      <c r="F218" s="33">
        <v>45320</v>
      </c>
      <c r="G218" s="35" t="s">
        <v>1485</v>
      </c>
      <c r="H218" s="37" t="s">
        <v>291</v>
      </c>
      <c r="I218" s="37" t="s">
        <v>1486</v>
      </c>
      <c r="J218" s="39">
        <v>8914257</v>
      </c>
      <c r="K218" s="40">
        <f>((J218-M218)/J218)*100</f>
        <v>0</v>
      </c>
      <c r="L218" s="41">
        <f>J218-M218</f>
        <v>0</v>
      </c>
      <c r="M218" s="38">
        <v>8914257</v>
      </c>
      <c r="N218" s="41">
        <f>J218-O218</f>
        <v>0</v>
      </c>
      <c r="O218" s="38">
        <v>8914257</v>
      </c>
      <c r="P218" s="27">
        <f t="shared" si="34"/>
        <v>8914257</v>
      </c>
      <c r="Q218" s="27">
        <f t="shared" si="34"/>
        <v>8914257</v>
      </c>
      <c r="R218" s="27">
        <f>Q218/U218</f>
        <v>41.91</v>
      </c>
      <c r="S218" s="38">
        <f>Q218/U218</f>
        <v>41.91</v>
      </c>
      <c r="T218" s="38">
        <f>S218*AR218</f>
        <v>2095.5</v>
      </c>
      <c r="U218" s="38">
        <f t="shared" ref="U218:U281" si="35">V218+W218+X218</f>
        <v>212700</v>
      </c>
      <c r="V218" s="38">
        <f>7300+205400</f>
        <v>212700</v>
      </c>
      <c r="W218" s="38">
        <v>0</v>
      </c>
      <c r="X218" s="38">
        <v>0</v>
      </c>
      <c r="Y218" s="38">
        <v>7300</v>
      </c>
      <c r="Z218" s="38">
        <f t="shared" si="32"/>
        <v>305943</v>
      </c>
      <c r="AA218" s="38">
        <v>205400</v>
      </c>
      <c r="AB218" s="38">
        <f t="shared" si="33"/>
        <v>8608314</v>
      </c>
      <c r="AC218" s="38">
        <f>U218/AR218</f>
        <v>4254</v>
      </c>
      <c r="AD218" s="38">
        <f t="shared" si="26"/>
        <v>4254</v>
      </c>
      <c r="AE218" s="33">
        <v>45383</v>
      </c>
      <c r="AF218" s="33"/>
      <c r="AG218" s="33"/>
      <c r="AH218" s="33">
        <v>45413</v>
      </c>
      <c r="AI218" s="33"/>
      <c r="AJ218" s="42"/>
      <c r="AK218" s="37" t="s">
        <v>1487</v>
      </c>
      <c r="AL218" s="37" t="s">
        <v>1488</v>
      </c>
      <c r="AM218" s="37" t="s">
        <v>1489</v>
      </c>
      <c r="AN218" s="37" t="s">
        <v>50</v>
      </c>
      <c r="AO218" s="43">
        <v>100</v>
      </c>
      <c r="AP218" s="35">
        <v>0</v>
      </c>
      <c r="AQ218" s="35" t="s">
        <v>441</v>
      </c>
      <c r="AR218" s="44">
        <v>50</v>
      </c>
      <c r="AS218" s="37" t="s">
        <v>176</v>
      </c>
    </row>
    <row r="219" spans="1:45" ht="58.5" customHeight="1" x14ac:dyDescent="0.25">
      <c r="A219" s="46" t="s">
        <v>1490</v>
      </c>
      <c r="B219" s="42">
        <v>45289</v>
      </c>
      <c r="C219" s="37">
        <v>1688</v>
      </c>
      <c r="D219" s="36" t="s">
        <v>485</v>
      </c>
      <c r="E219" s="1" t="s">
        <v>1491</v>
      </c>
      <c r="F219" s="33" t="s">
        <v>485</v>
      </c>
      <c r="G219" s="35" t="s">
        <v>485</v>
      </c>
      <c r="H219" s="37" t="s">
        <v>485</v>
      </c>
      <c r="I219" s="37" t="s">
        <v>97</v>
      </c>
      <c r="J219" s="39">
        <v>2263398</v>
      </c>
      <c r="K219" s="40">
        <f>((J219-M219)/J219)*100</f>
        <v>100</v>
      </c>
      <c r="L219" s="41">
        <f>J219-M219</f>
        <v>2263398</v>
      </c>
      <c r="M219" s="38"/>
      <c r="N219" s="41">
        <f>J219-O219</f>
        <v>2263398</v>
      </c>
      <c r="O219" s="38">
        <v>0</v>
      </c>
      <c r="P219" s="27">
        <f t="shared" si="34"/>
        <v>0</v>
      </c>
      <c r="Q219" s="27">
        <f t="shared" si="34"/>
        <v>0</v>
      </c>
      <c r="R219" s="27" t="e">
        <f>Q219/U219</f>
        <v>#DIV/0!</v>
      </c>
      <c r="S219" s="38" t="e">
        <f>Q219/U219</f>
        <v>#DIV/0!</v>
      </c>
      <c r="T219" s="38" t="e">
        <f>S219*AR219</f>
        <v>#DIV/0!</v>
      </c>
      <c r="U219" s="38">
        <f t="shared" si="35"/>
        <v>0</v>
      </c>
      <c r="V219" s="38">
        <v>0</v>
      </c>
      <c r="W219" s="38">
        <v>0</v>
      </c>
      <c r="X219" s="38">
        <v>0</v>
      </c>
      <c r="Y219" s="38"/>
      <c r="Z219" s="38" t="e">
        <f t="shared" si="32"/>
        <v>#DIV/0!</v>
      </c>
      <c r="AA219" s="38"/>
      <c r="AB219" s="38" t="e">
        <f t="shared" si="33"/>
        <v>#DIV/0!</v>
      </c>
      <c r="AC219" s="38" t="e">
        <f>U219/AR219</f>
        <v>#DIV/0!</v>
      </c>
      <c r="AD219" s="38" t="e">
        <f t="shared" si="26"/>
        <v>#DIV/0!</v>
      </c>
      <c r="AE219" s="33">
        <v>45337</v>
      </c>
      <c r="AF219" s="33"/>
      <c r="AG219" s="33"/>
      <c r="AH219" s="33"/>
      <c r="AI219" s="33"/>
      <c r="AJ219" s="42"/>
      <c r="AK219" s="37"/>
      <c r="AL219" s="37"/>
      <c r="AM219" s="37"/>
      <c r="AN219" s="37"/>
      <c r="AO219" s="43"/>
      <c r="AP219" s="35"/>
      <c r="AQ219" s="35"/>
      <c r="AR219" s="44"/>
      <c r="AS219" s="37" t="s">
        <v>485</v>
      </c>
    </row>
    <row r="220" spans="1:45" ht="58.5" customHeight="1" x14ac:dyDescent="0.25">
      <c r="A220" s="46" t="s">
        <v>1492</v>
      </c>
      <c r="B220" s="42">
        <v>45289</v>
      </c>
      <c r="C220" s="37">
        <v>1416</v>
      </c>
      <c r="D220" s="36" t="s">
        <v>1493</v>
      </c>
      <c r="E220" s="1" t="s">
        <v>1494</v>
      </c>
      <c r="F220" s="33">
        <v>45324</v>
      </c>
      <c r="G220" s="35" t="s">
        <v>1495</v>
      </c>
      <c r="H220" s="37" t="s">
        <v>219</v>
      </c>
      <c r="I220" s="37" t="s">
        <v>1496</v>
      </c>
      <c r="J220" s="39">
        <v>11061180</v>
      </c>
      <c r="K220" s="40">
        <f>((J220-M220)/J220)*100</f>
        <v>0</v>
      </c>
      <c r="L220" s="41">
        <f>J220-M220</f>
        <v>0</v>
      </c>
      <c r="M220" s="38">
        <v>11061180</v>
      </c>
      <c r="N220" s="41">
        <f>J220-O220</f>
        <v>0</v>
      </c>
      <c r="O220" s="38">
        <v>11061180</v>
      </c>
      <c r="P220" s="27">
        <f t="shared" si="34"/>
        <v>11061180</v>
      </c>
      <c r="Q220" s="27">
        <f t="shared" si="34"/>
        <v>11061180</v>
      </c>
      <c r="R220" s="27">
        <f>Q220/U220</f>
        <v>13.04</v>
      </c>
      <c r="S220" s="38">
        <f>Q220/U220</f>
        <v>13.04</v>
      </c>
      <c r="T220" s="38">
        <f>S220*AR220</f>
        <v>3260</v>
      </c>
      <c r="U220" s="38">
        <f t="shared" si="35"/>
        <v>848250</v>
      </c>
      <c r="V220" s="38">
        <f>835000+13250</f>
        <v>848250</v>
      </c>
      <c r="W220" s="38">
        <v>0</v>
      </c>
      <c r="X220" s="38">
        <v>0</v>
      </c>
      <c r="Y220" s="38">
        <v>835000</v>
      </c>
      <c r="Z220" s="38">
        <f t="shared" si="32"/>
        <v>10888400</v>
      </c>
      <c r="AA220" s="38">
        <v>13250</v>
      </c>
      <c r="AB220" s="38">
        <f t="shared" si="33"/>
        <v>172780</v>
      </c>
      <c r="AC220" s="38">
        <f>U220/AR220</f>
        <v>3393</v>
      </c>
      <c r="AD220" s="38">
        <f t="shared" si="26"/>
        <v>3393</v>
      </c>
      <c r="AE220" s="33">
        <v>45473</v>
      </c>
      <c r="AF220" s="33"/>
      <c r="AG220" s="33"/>
      <c r="AH220" s="33">
        <v>45505</v>
      </c>
      <c r="AI220" s="33"/>
      <c r="AJ220" s="42"/>
      <c r="AK220" s="37" t="s">
        <v>1497</v>
      </c>
      <c r="AL220" s="37" t="s">
        <v>1498</v>
      </c>
      <c r="AM220" s="37" t="s">
        <v>1499</v>
      </c>
      <c r="AN220" s="37" t="s">
        <v>352</v>
      </c>
      <c r="AO220" s="43">
        <v>0</v>
      </c>
      <c r="AP220" s="35">
        <v>100</v>
      </c>
      <c r="AQ220" s="35" t="s">
        <v>175</v>
      </c>
      <c r="AR220" s="44">
        <v>250</v>
      </c>
      <c r="AS220" s="37" t="s">
        <v>52</v>
      </c>
    </row>
    <row r="221" spans="1:45" ht="58.5" customHeight="1" x14ac:dyDescent="0.25">
      <c r="A221" s="46" t="s">
        <v>1500</v>
      </c>
      <c r="B221" s="42">
        <v>45289</v>
      </c>
      <c r="C221" s="37">
        <v>1416</v>
      </c>
      <c r="D221" s="36" t="s">
        <v>1501</v>
      </c>
      <c r="E221" s="1" t="s">
        <v>1502</v>
      </c>
      <c r="F221" s="33">
        <v>45320</v>
      </c>
      <c r="G221" s="35" t="s">
        <v>1503</v>
      </c>
      <c r="H221" s="37" t="s">
        <v>1253</v>
      </c>
      <c r="I221" s="37" t="s">
        <v>1504</v>
      </c>
      <c r="J221" s="39">
        <v>353355.52000000002</v>
      </c>
      <c r="K221" s="40">
        <f>((J221-M221)/J221)*100</f>
        <v>0</v>
      </c>
      <c r="L221" s="41">
        <f>J221-M221</f>
        <v>0</v>
      </c>
      <c r="M221" s="38">
        <v>353355.52000000002</v>
      </c>
      <c r="N221" s="41">
        <f>J221-O221</f>
        <v>0</v>
      </c>
      <c r="O221" s="38">
        <v>353355.52000000002</v>
      </c>
      <c r="P221" s="27">
        <f t="shared" si="34"/>
        <v>353355.52000000002</v>
      </c>
      <c r="Q221" s="27">
        <f t="shared" si="34"/>
        <v>353355.52000000002</v>
      </c>
      <c r="R221" s="27">
        <f>Q221/U221</f>
        <v>97.72</v>
      </c>
      <c r="S221" s="38">
        <f>Q221/U221</f>
        <v>97.72</v>
      </c>
      <c r="T221" s="38">
        <f>S221*AR221</f>
        <v>4886</v>
      </c>
      <c r="U221" s="38">
        <f t="shared" si="35"/>
        <v>3616</v>
      </c>
      <c r="V221" s="38">
        <f>366+3250</f>
        <v>3616</v>
      </c>
      <c r="W221" s="38">
        <v>0</v>
      </c>
      <c r="X221" s="38">
        <v>0</v>
      </c>
      <c r="Y221" s="38">
        <v>366</v>
      </c>
      <c r="Z221" s="38">
        <f t="shared" si="32"/>
        <v>35765.519999999997</v>
      </c>
      <c r="AA221" s="38">
        <v>3250</v>
      </c>
      <c r="AB221" s="38">
        <f t="shared" si="33"/>
        <v>317590</v>
      </c>
      <c r="AC221" s="38">
        <f>U221/AR221</f>
        <v>72.319999999999993</v>
      </c>
      <c r="AD221" s="38">
        <f t="shared" si="26"/>
        <v>73</v>
      </c>
      <c r="AE221" s="33">
        <v>45352</v>
      </c>
      <c r="AF221" s="33"/>
      <c r="AG221" s="33"/>
      <c r="AH221" s="33">
        <v>45383</v>
      </c>
      <c r="AI221" s="33"/>
      <c r="AJ221" s="42"/>
      <c r="AK221" s="37" t="s">
        <v>1505</v>
      </c>
      <c r="AL221" s="37" t="s">
        <v>1506</v>
      </c>
      <c r="AM221" s="37" t="s">
        <v>1507</v>
      </c>
      <c r="AN221" s="37" t="s">
        <v>50</v>
      </c>
      <c r="AO221" s="43">
        <v>100</v>
      </c>
      <c r="AP221" s="35">
        <v>0</v>
      </c>
      <c r="AQ221" s="35" t="s">
        <v>441</v>
      </c>
      <c r="AR221" s="44">
        <v>50</v>
      </c>
      <c r="AS221" s="37" t="s">
        <v>52</v>
      </c>
    </row>
    <row r="222" spans="1:45" ht="58.5" customHeight="1" x14ac:dyDescent="0.25">
      <c r="A222" s="46" t="s">
        <v>1508</v>
      </c>
      <c r="B222" s="42">
        <v>45289</v>
      </c>
      <c r="C222" s="37">
        <v>1416</v>
      </c>
      <c r="D222" s="36" t="s">
        <v>1509</v>
      </c>
      <c r="E222" s="1" t="s">
        <v>1510</v>
      </c>
      <c r="F222" s="33">
        <v>45320</v>
      </c>
      <c r="G222" s="35" t="s">
        <v>1511</v>
      </c>
      <c r="H222" s="37" t="s">
        <v>291</v>
      </c>
      <c r="I222" s="37" t="s">
        <v>1512</v>
      </c>
      <c r="J222" s="39">
        <v>19324800</v>
      </c>
      <c r="K222" s="40">
        <f>((J222-M222)/J222)*100</f>
        <v>0</v>
      </c>
      <c r="L222" s="41">
        <f>J222-M222</f>
        <v>0</v>
      </c>
      <c r="M222" s="38">
        <v>19324800</v>
      </c>
      <c r="N222" s="41">
        <f>J222-O222</f>
        <v>0</v>
      </c>
      <c r="O222" s="38">
        <v>19324800</v>
      </c>
      <c r="P222" s="27">
        <f t="shared" si="34"/>
        <v>19324800</v>
      </c>
      <c r="Q222" s="27">
        <f t="shared" si="34"/>
        <v>19324800</v>
      </c>
      <c r="R222" s="27">
        <f>Q222/U222</f>
        <v>24</v>
      </c>
      <c r="S222" s="38">
        <f>Q222/U222</f>
        <v>24</v>
      </c>
      <c r="T222" s="38">
        <f>S222*AR222</f>
        <v>1200</v>
      </c>
      <c r="U222" s="38">
        <f t="shared" si="35"/>
        <v>805200</v>
      </c>
      <c r="V222" s="38">
        <f>25050+780150</f>
        <v>805200</v>
      </c>
      <c r="W222" s="38">
        <v>0</v>
      </c>
      <c r="X222" s="38">
        <v>0</v>
      </c>
      <c r="Y222" s="38">
        <v>25050</v>
      </c>
      <c r="Z222" s="38">
        <f t="shared" si="32"/>
        <v>601200</v>
      </c>
      <c r="AA222" s="38">
        <v>780150</v>
      </c>
      <c r="AB222" s="38">
        <f t="shared" si="33"/>
        <v>18723600</v>
      </c>
      <c r="AC222" s="38">
        <f>U222/AR222</f>
        <v>16104</v>
      </c>
      <c r="AD222" s="38">
        <f t="shared" si="26"/>
        <v>16104</v>
      </c>
      <c r="AE222" s="33">
        <v>45354</v>
      </c>
      <c r="AF222" s="33"/>
      <c r="AG222" s="33"/>
      <c r="AH222" s="33">
        <v>45385</v>
      </c>
      <c r="AI222" s="33"/>
      <c r="AJ222" s="42"/>
      <c r="AK222" s="37" t="s">
        <v>918</v>
      </c>
      <c r="AL222" s="37" t="s">
        <v>1513</v>
      </c>
      <c r="AM222" s="37" t="s">
        <v>920</v>
      </c>
      <c r="AN222" s="37" t="s">
        <v>50</v>
      </c>
      <c r="AO222" s="43">
        <v>100</v>
      </c>
      <c r="AP222" s="35">
        <v>0</v>
      </c>
      <c r="AQ222" s="35" t="s">
        <v>441</v>
      </c>
      <c r="AR222" s="44">
        <v>50</v>
      </c>
      <c r="AS222" s="37" t="s">
        <v>176</v>
      </c>
    </row>
    <row r="223" spans="1:45" ht="58.5" customHeight="1" x14ac:dyDescent="0.25">
      <c r="A223" s="46" t="s">
        <v>1514</v>
      </c>
      <c r="B223" s="42">
        <v>45289</v>
      </c>
      <c r="C223" s="37">
        <v>1416</v>
      </c>
      <c r="D223" s="36" t="s">
        <v>1515</v>
      </c>
      <c r="E223" s="1" t="s">
        <v>1516</v>
      </c>
      <c r="F223" s="33">
        <v>45320</v>
      </c>
      <c r="G223" s="35" t="s">
        <v>1517</v>
      </c>
      <c r="H223" s="37" t="s">
        <v>169</v>
      </c>
      <c r="I223" s="37" t="s">
        <v>1518</v>
      </c>
      <c r="J223" s="39">
        <v>438990662.5</v>
      </c>
      <c r="K223" s="40">
        <f>((J223-M223)/J223)*100</f>
        <v>0</v>
      </c>
      <c r="L223" s="41">
        <f>J223-M223</f>
        <v>0</v>
      </c>
      <c r="M223" s="38">
        <v>438990662.5</v>
      </c>
      <c r="N223" s="41">
        <f>J223-O223</f>
        <v>0</v>
      </c>
      <c r="O223" s="38">
        <v>438990662.5</v>
      </c>
      <c r="P223" s="27">
        <f t="shared" si="34"/>
        <v>438990662.5</v>
      </c>
      <c r="Q223" s="27">
        <f t="shared" si="34"/>
        <v>438990662.5</v>
      </c>
      <c r="R223" s="27">
        <f>Q223/U223</f>
        <v>24.05</v>
      </c>
      <c r="S223" s="38">
        <f>Q223/U223</f>
        <v>24.05</v>
      </c>
      <c r="T223" s="38">
        <f>S223*AR223</f>
        <v>24050</v>
      </c>
      <c r="U223" s="38">
        <f t="shared" si="35"/>
        <v>18253250</v>
      </c>
      <c r="V223" s="38">
        <f>6453500+11799750</f>
        <v>18253250</v>
      </c>
      <c r="W223" s="38">
        <v>0</v>
      </c>
      <c r="X223" s="38">
        <v>0</v>
      </c>
      <c r="Y223" s="38">
        <v>6453500</v>
      </c>
      <c r="Z223" s="38">
        <f t="shared" si="32"/>
        <v>155206675</v>
      </c>
      <c r="AA223" s="38">
        <v>11799750</v>
      </c>
      <c r="AB223" s="38">
        <f t="shared" si="33"/>
        <v>283783987.5</v>
      </c>
      <c r="AC223" s="38">
        <f>U223/AR223</f>
        <v>18253.25</v>
      </c>
      <c r="AD223" s="38">
        <f t="shared" si="26"/>
        <v>18254</v>
      </c>
      <c r="AE223" s="33">
        <v>45412</v>
      </c>
      <c r="AF223" s="33"/>
      <c r="AG223" s="33"/>
      <c r="AH223" s="33">
        <v>45444</v>
      </c>
      <c r="AI223" s="33"/>
      <c r="AJ223" s="42"/>
      <c r="AK223" s="37" t="s">
        <v>1519</v>
      </c>
      <c r="AL223" s="37" t="s">
        <v>1520</v>
      </c>
      <c r="AM223" s="37" t="s">
        <v>1521</v>
      </c>
      <c r="AN223" s="37" t="s">
        <v>828</v>
      </c>
      <c r="AO223" s="43">
        <v>0</v>
      </c>
      <c r="AP223" s="35">
        <v>100</v>
      </c>
      <c r="AQ223" s="35" t="s">
        <v>175</v>
      </c>
      <c r="AR223" s="44">
        <v>1000</v>
      </c>
      <c r="AS223" s="37" t="s">
        <v>52</v>
      </c>
    </row>
    <row r="224" spans="1:45" ht="58.5" customHeight="1" x14ac:dyDescent="0.25">
      <c r="A224" s="46" t="s">
        <v>1522</v>
      </c>
      <c r="B224" s="42">
        <v>45289</v>
      </c>
      <c r="C224" s="37">
        <v>1688</v>
      </c>
      <c r="D224" s="36" t="s">
        <v>485</v>
      </c>
      <c r="E224" s="1" t="s">
        <v>1523</v>
      </c>
      <c r="F224" s="33" t="s">
        <v>485</v>
      </c>
      <c r="G224" s="35" t="s">
        <v>485</v>
      </c>
      <c r="H224" s="37" t="s">
        <v>485</v>
      </c>
      <c r="I224" s="37" t="s">
        <v>46</v>
      </c>
      <c r="J224" s="39">
        <v>18480709.800000001</v>
      </c>
      <c r="K224" s="40">
        <f>((J224-M224)/J224)*100</f>
        <v>100</v>
      </c>
      <c r="L224" s="41">
        <f>J224-M224</f>
        <v>18480709.800000001</v>
      </c>
      <c r="M224" s="38"/>
      <c r="N224" s="41">
        <f>J224-O224</f>
        <v>18480709.800000001</v>
      </c>
      <c r="O224" s="38">
        <v>0</v>
      </c>
      <c r="P224" s="27">
        <f t="shared" si="34"/>
        <v>0</v>
      </c>
      <c r="Q224" s="27">
        <f t="shared" si="34"/>
        <v>0</v>
      </c>
      <c r="R224" s="27" t="e">
        <f>Q224/U224</f>
        <v>#DIV/0!</v>
      </c>
      <c r="S224" s="38" t="e">
        <f>Q224/U224</f>
        <v>#DIV/0!</v>
      </c>
      <c r="T224" s="38" t="e">
        <f>S224*AR224</f>
        <v>#DIV/0!</v>
      </c>
      <c r="U224" s="38">
        <f t="shared" si="35"/>
        <v>0</v>
      </c>
      <c r="V224" s="38">
        <v>0</v>
      </c>
      <c r="W224" s="38">
        <v>0</v>
      </c>
      <c r="X224" s="38">
        <v>0</v>
      </c>
      <c r="Y224" s="38"/>
      <c r="Z224" s="38" t="e">
        <f t="shared" si="32"/>
        <v>#DIV/0!</v>
      </c>
      <c r="AA224" s="38"/>
      <c r="AB224" s="38" t="e">
        <f t="shared" si="33"/>
        <v>#DIV/0!</v>
      </c>
      <c r="AC224" s="38" t="e">
        <f>U224/AR224</f>
        <v>#DIV/0!</v>
      </c>
      <c r="AD224" s="38" t="e">
        <f t="shared" si="26"/>
        <v>#DIV/0!</v>
      </c>
      <c r="AE224" s="33">
        <v>45337</v>
      </c>
      <c r="AF224" s="33"/>
      <c r="AG224" s="33"/>
      <c r="AH224" s="33"/>
      <c r="AI224" s="33"/>
      <c r="AJ224" s="42"/>
      <c r="AK224" s="37"/>
      <c r="AL224" s="37"/>
      <c r="AM224" s="37"/>
      <c r="AN224" s="37"/>
      <c r="AO224" s="43"/>
      <c r="AP224" s="35"/>
      <c r="AQ224" s="35"/>
      <c r="AR224" s="44"/>
      <c r="AS224" s="37" t="s">
        <v>485</v>
      </c>
    </row>
    <row r="225" spans="1:45" ht="58.5" customHeight="1" x14ac:dyDescent="0.25">
      <c r="A225" s="46" t="s">
        <v>1524</v>
      </c>
      <c r="B225" s="42">
        <v>45289</v>
      </c>
      <c r="C225" s="37">
        <v>1688</v>
      </c>
      <c r="D225" s="36" t="s">
        <v>485</v>
      </c>
      <c r="E225" s="1" t="s">
        <v>1525</v>
      </c>
      <c r="F225" s="33" t="s">
        <v>485</v>
      </c>
      <c r="G225" s="35" t="s">
        <v>485</v>
      </c>
      <c r="H225" s="37" t="s">
        <v>485</v>
      </c>
      <c r="I225" s="37" t="s">
        <v>88</v>
      </c>
      <c r="J225" s="39">
        <v>22320340.800000001</v>
      </c>
      <c r="K225" s="40">
        <f>((J225-M225)/J225)*100</f>
        <v>100</v>
      </c>
      <c r="L225" s="41">
        <f>J225-M225</f>
        <v>22320340.800000001</v>
      </c>
      <c r="M225" s="38"/>
      <c r="N225" s="41">
        <f>J225-O225</f>
        <v>22320340.800000001</v>
      </c>
      <c r="O225" s="38">
        <v>0</v>
      </c>
      <c r="P225" s="27">
        <f t="shared" si="34"/>
        <v>0</v>
      </c>
      <c r="Q225" s="27">
        <f t="shared" si="34"/>
        <v>0</v>
      </c>
      <c r="R225" s="27" t="e">
        <f>Q225/U225</f>
        <v>#DIV/0!</v>
      </c>
      <c r="S225" s="38" t="e">
        <f>Q225/U225</f>
        <v>#DIV/0!</v>
      </c>
      <c r="T225" s="38" t="e">
        <f>S225*AR225</f>
        <v>#DIV/0!</v>
      </c>
      <c r="U225" s="38">
        <f t="shared" si="35"/>
        <v>0</v>
      </c>
      <c r="V225" s="38">
        <v>0</v>
      </c>
      <c r="W225" s="38">
        <v>0</v>
      </c>
      <c r="X225" s="38">
        <v>0</v>
      </c>
      <c r="Y225" s="38"/>
      <c r="Z225" s="38" t="e">
        <f t="shared" si="32"/>
        <v>#DIV/0!</v>
      </c>
      <c r="AA225" s="38"/>
      <c r="AB225" s="38" t="e">
        <f t="shared" si="33"/>
        <v>#DIV/0!</v>
      </c>
      <c r="AC225" s="38" t="e">
        <f>U225/AR225</f>
        <v>#DIV/0!</v>
      </c>
      <c r="AD225" s="38" t="e">
        <f t="shared" ref="AD225:AD288" si="36">_xlfn.CEILING.MATH(AC225)</f>
        <v>#DIV/0!</v>
      </c>
      <c r="AE225" s="33">
        <v>45337</v>
      </c>
      <c r="AF225" s="33"/>
      <c r="AG225" s="33"/>
      <c r="AH225" s="33"/>
      <c r="AI225" s="33"/>
      <c r="AJ225" s="42"/>
      <c r="AK225" s="37"/>
      <c r="AL225" s="37"/>
      <c r="AM225" s="37"/>
      <c r="AN225" s="37"/>
      <c r="AO225" s="43"/>
      <c r="AP225" s="35"/>
      <c r="AQ225" s="35"/>
      <c r="AR225" s="44"/>
      <c r="AS225" s="37" t="s">
        <v>485</v>
      </c>
    </row>
    <row r="226" spans="1:45" ht="58.5" customHeight="1" x14ac:dyDescent="0.25">
      <c r="A226" s="46" t="s">
        <v>1526</v>
      </c>
      <c r="B226" s="42">
        <v>45289</v>
      </c>
      <c r="C226" s="37">
        <v>1688</v>
      </c>
      <c r="D226" s="36" t="s">
        <v>485</v>
      </c>
      <c r="E226" s="1" t="s">
        <v>1527</v>
      </c>
      <c r="F226" s="33" t="s">
        <v>485</v>
      </c>
      <c r="G226" s="35" t="s">
        <v>485</v>
      </c>
      <c r="H226" s="37" t="s">
        <v>485</v>
      </c>
      <c r="I226" s="37" t="s">
        <v>71</v>
      </c>
      <c r="J226" s="39">
        <v>1681405.5</v>
      </c>
      <c r="K226" s="40">
        <f>((J226-M226)/J226)*100</f>
        <v>100</v>
      </c>
      <c r="L226" s="41">
        <f>J226-M226</f>
        <v>1681405.5</v>
      </c>
      <c r="M226" s="38"/>
      <c r="N226" s="41">
        <f>J226-O226</f>
        <v>1681405.5</v>
      </c>
      <c r="O226" s="38">
        <v>0</v>
      </c>
      <c r="P226" s="27">
        <f t="shared" si="34"/>
        <v>0</v>
      </c>
      <c r="Q226" s="27">
        <f t="shared" si="34"/>
        <v>0</v>
      </c>
      <c r="R226" s="27" t="e">
        <f>Q226/U226</f>
        <v>#DIV/0!</v>
      </c>
      <c r="S226" s="38" t="e">
        <f>Q226/U226</f>
        <v>#DIV/0!</v>
      </c>
      <c r="T226" s="38" t="e">
        <f>S226*AR226</f>
        <v>#DIV/0!</v>
      </c>
      <c r="U226" s="38">
        <f t="shared" si="35"/>
        <v>0</v>
      </c>
      <c r="V226" s="38">
        <v>0</v>
      </c>
      <c r="W226" s="38">
        <v>0</v>
      </c>
      <c r="X226" s="38">
        <v>0</v>
      </c>
      <c r="Y226" s="38"/>
      <c r="Z226" s="38" t="e">
        <f t="shared" si="32"/>
        <v>#DIV/0!</v>
      </c>
      <c r="AA226" s="38"/>
      <c r="AB226" s="38" t="e">
        <f t="shared" si="33"/>
        <v>#DIV/0!</v>
      </c>
      <c r="AC226" s="38" t="e">
        <f>U226/AR226</f>
        <v>#DIV/0!</v>
      </c>
      <c r="AD226" s="38" t="e">
        <f t="shared" si="36"/>
        <v>#DIV/0!</v>
      </c>
      <c r="AE226" s="33">
        <v>45337</v>
      </c>
      <c r="AF226" s="33"/>
      <c r="AG226" s="33"/>
      <c r="AH226" s="33"/>
      <c r="AI226" s="33"/>
      <c r="AJ226" s="42"/>
      <c r="AK226" s="37"/>
      <c r="AL226" s="37"/>
      <c r="AM226" s="37"/>
      <c r="AN226" s="37"/>
      <c r="AO226" s="43"/>
      <c r="AP226" s="35"/>
      <c r="AQ226" s="35"/>
      <c r="AR226" s="44"/>
      <c r="AS226" s="37" t="s">
        <v>485</v>
      </c>
    </row>
    <row r="227" spans="1:45" ht="58.5" customHeight="1" x14ac:dyDescent="0.25">
      <c r="A227" s="46" t="s">
        <v>1528</v>
      </c>
      <c r="B227" s="42">
        <v>45289</v>
      </c>
      <c r="C227" s="37">
        <v>1688</v>
      </c>
      <c r="D227" s="36" t="s">
        <v>485</v>
      </c>
      <c r="E227" s="1" t="s">
        <v>1529</v>
      </c>
      <c r="F227" s="33" t="s">
        <v>485</v>
      </c>
      <c r="G227" s="35" t="s">
        <v>485</v>
      </c>
      <c r="H227" s="37" t="s">
        <v>485</v>
      </c>
      <c r="I227" s="37" t="s">
        <v>93</v>
      </c>
      <c r="J227" s="39">
        <v>1575266</v>
      </c>
      <c r="K227" s="40">
        <f>((J227-M227)/J227)*100</f>
        <v>100</v>
      </c>
      <c r="L227" s="41">
        <f>J227-M227</f>
        <v>1575266</v>
      </c>
      <c r="M227" s="38"/>
      <c r="N227" s="41">
        <f>J227-O227</f>
        <v>1575266</v>
      </c>
      <c r="O227" s="38">
        <v>0</v>
      </c>
      <c r="P227" s="27">
        <f t="shared" si="34"/>
        <v>0</v>
      </c>
      <c r="Q227" s="27">
        <f t="shared" si="34"/>
        <v>0</v>
      </c>
      <c r="R227" s="27" t="e">
        <f>Q227/U227</f>
        <v>#DIV/0!</v>
      </c>
      <c r="S227" s="38" t="e">
        <f>Q227/U227</f>
        <v>#DIV/0!</v>
      </c>
      <c r="T227" s="38" t="e">
        <f>S227*AR227</f>
        <v>#DIV/0!</v>
      </c>
      <c r="U227" s="38">
        <f t="shared" si="35"/>
        <v>0</v>
      </c>
      <c r="V227" s="38">
        <v>0</v>
      </c>
      <c r="W227" s="38">
        <v>0</v>
      </c>
      <c r="X227" s="38">
        <v>0</v>
      </c>
      <c r="Y227" s="38"/>
      <c r="Z227" s="38" t="e">
        <f t="shared" si="32"/>
        <v>#DIV/0!</v>
      </c>
      <c r="AA227" s="38"/>
      <c r="AB227" s="38" t="e">
        <f t="shared" si="33"/>
        <v>#DIV/0!</v>
      </c>
      <c r="AC227" s="38" t="e">
        <f>U227/AR227</f>
        <v>#DIV/0!</v>
      </c>
      <c r="AD227" s="38" t="e">
        <f t="shared" si="36"/>
        <v>#DIV/0!</v>
      </c>
      <c r="AE227" s="33">
        <v>45337</v>
      </c>
      <c r="AF227" s="33"/>
      <c r="AG227" s="33"/>
      <c r="AH227" s="33"/>
      <c r="AI227" s="33"/>
      <c r="AJ227" s="42"/>
      <c r="AK227" s="37"/>
      <c r="AL227" s="37"/>
      <c r="AM227" s="37"/>
      <c r="AN227" s="37"/>
      <c r="AO227" s="43"/>
      <c r="AP227" s="35"/>
      <c r="AQ227" s="35"/>
      <c r="AR227" s="44"/>
      <c r="AS227" s="37" t="s">
        <v>485</v>
      </c>
    </row>
    <row r="228" spans="1:45" ht="58.5" customHeight="1" x14ac:dyDescent="0.25">
      <c r="A228" s="46" t="s">
        <v>1530</v>
      </c>
      <c r="B228" s="42">
        <v>45289</v>
      </c>
      <c r="C228" s="37">
        <v>1688</v>
      </c>
      <c r="D228" s="36" t="s">
        <v>485</v>
      </c>
      <c r="E228" s="1" t="s">
        <v>1531</v>
      </c>
      <c r="F228" s="33" t="s">
        <v>485</v>
      </c>
      <c r="G228" s="35" t="s">
        <v>485</v>
      </c>
      <c r="H228" s="37" t="s">
        <v>485</v>
      </c>
      <c r="I228" s="37" t="s">
        <v>54</v>
      </c>
      <c r="J228" s="39">
        <v>9131068.6500000004</v>
      </c>
      <c r="K228" s="40">
        <f>((J228-M228)/J228)*100</f>
        <v>100</v>
      </c>
      <c r="L228" s="41">
        <f>J228-M228</f>
        <v>9131068.6500000004</v>
      </c>
      <c r="M228" s="38"/>
      <c r="N228" s="41">
        <f>J228-O228</f>
        <v>9131068.6500000004</v>
      </c>
      <c r="O228" s="38">
        <v>0</v>
      </c>
      <c r="P228" s="27">
        <f t="shared" si="34"/>
        <v>0</v>
      </c>
      <c r="Q228" s="27">
        <f t="shared" si="34"/>
        <v>0</v>
      </c>
      <c r="R228" s="27" t="e">
        <f>Q228/U228</f>
        <v>#DIV/0!</v>
      </c>
      <c r="S228" s="38" t="e">
        <f>Q228/U228</f>
        <v>#DIV/0!</v>
      </c>
      <c r="T228" s="38" t="e">
        <f>S228*AR228</f>
        <v>#DIV/0!</v>
      </c>
      <c r="U228" s="38">
        <f t="shared" si="35"/>
        <v>0</v>
      </c>
      <c r="V228" s="38">
        <v>0</v>
      </c>
      <c r="W228" s="38">
        <v>0</v>
      </c>
      <c r="X228" s="38">
        <v>0</v>
      </c>
      <c r="Y228" s="38"/>
      <c r="Z228" s="38" t="e">
        <f t="shared" si="32"/>
        <v>#DIV/0!</v>
      </c>
      <c r="AA228" s="38"/>
      <c r="AB228" s="38" t="e">
        <f t="shared" si="33"/>
        <v>#DIV/0!</v>
      </c>
      <c r="AC228" s="38" t="e">
        <f>U228/AR228</f>
        <v>#DIV/0!</v>
      </c>
      <c r="AD228" s="38" t="e">
        <f t="shared" si="36"/>
        <v>#DIV/0!</v>
      </c>
      <c r="AE228" s="33">
        <v>45337</v>
      </c>
      <c r="AF228" s="33"/>
      <c r="AG228" s="33"/>
      <c r="AH228" s="33"/>
      <c r="AI228" s="33"/>
      <c r="AJ228" s="42"/>
      <c r="AK228" s="37"/>
      <c r="AL228" s="37"/>
      <c r="AM228" s="37"/>
      <c r="AN228" s="37"/>
      <c r="AO228" s="43"/>
      <c r="AP228" s="35"/>
      <c r="AQ228" s="35"/>
      <c r="AR228" s="44"/>
      <c r="AS228" s="37" t="s">
        <v>485</v>
      </c>
    </row>
    <row r="229" spans="1:45" ht="58.5" customHeight="1" x14ac:dyDescent="0.25">
      <c r="A229" s="46" t="s">
        <v>1532</v>
      </c>
      <c r="B229" s="42">
        <v>45289</v>
      </c>
      <c r="C229" s="37">
        <v>1688</v>
      </c>
      <c r="D229" s="36" t="s">
        <v>485</v>
      </c>
      <c r="E229" s="1" t="s">
        <v>1533</v>
      </c>
      <c r="F229" s="33" t="s">
        <v>485</v>
      </c>
      <c r="G229" s="35" t="s">
        <v>485</v>
      </c>
      <c r="H229" s="37" t="s">
        <v>485</v>
      </c>
      <c r="I229" s="37" t="s">
        <v>1534</v>
      </c>
      <c r="J229" s="39">
        <v>5736354</v>
      </c>
      <c r="K229" s="40">
        <f>((J229-M229)/J229)*100</f>
        <v>100</v>
      </c>
      <c r="L229" s="41">
        <f>J229-M229</f>
        <v>5736354</v>
      </c>
      <c r="M229" s="38"/>
      <c r="N229" s="41">
        <f>J229-O229</f>
        <v>5736354</v>
      </c>
      <c r="O229" s="38">
        <v>0</v>
      </c>
      <c r="P229" s="27">
        <f t="shared" si="34"/>
        <v>0</v>
      </c>
      <c r="Q229" s="27">
        <f t="shared" si="34"/>
        <v>0</v>
      </c>
      <c r="R229" s="27" t="e">
        <f>Q229/U229</f>
        <v>#DIV/0!</v>
      </c>
      <c r="S229" s="38" t="e">
        <f>Q229/U229</f>
        <v>#DIV/0!</v>
      </c>
      <c r="T229" s="38" t="e">
        <f>S229*AR229</f>
        <v>#DIV/0!</v>
      </c>
      <c r="U229" s="38">
        <f t="shared" si="35"/>
        <v>0</v>
      </c>
      <c r="V229" s="38">
        <v>0</v>
      </c>
      <c r="W229" s="38">
        <v>0</v>
      </c>
      <c r="X229" s="38">
        <v>0</v>
      </c>
      <c r="Y229" s="38"/>
      <c r="Z229" s="38" t="e">
        <f t="shared" si="32"/>
        <v>#DIV/0!</v>
      </c>
      <c r="AA229" s="38"/>
      <c r="AB229" s="38" t="e">
        <f t="shared" si="33"/>
        <v>#DIV/0!</v>
      </c>
      <c r="AC229" s="38" t="e">
        <f>U229/AR229</f>
        <v>#DIV/0!</v>
      </c>
      <c r="AD229" s="38" t="e">
        <f t="shared" si="36"/>
        <v>#DIV/0!</v>
      </c>
      <c r="AE229" s="33">
        <v>45337</v>
      </c>
      <c r="AF229" s="33"/>
      <c r="AG229" s="33"/>
      <c r="AH229" s="33"/>
      <c r="AI229" s="33"/>
      <c r="AJ229" s="42"/>
      <c r="AK229" s="37"/>
      <c r="AL229" s="37"/>
      <c r="AM229" s="37"/>
      <c r="AN229" s="37"/>
      <c r="AO229" s="43"/>
      <c r="AP229" s="35"/>
      <c r="AQ229" s="35"/>
      <c r="AR229" s="44"/>
      <c r="AS229" s="37" t="s">
        <v>485</v>
      </c>
    </row>
    <row r="230" spans="1:45" ht="58.5" customHeight="1" x14ac:dyDescent="0.25">
      <c r="A230" s="46" t="s">
        <v>1535</v>
      </c>
      <c r="B230" s="42">
        <v>45289</v>
      </c>
      <c r="C230" s="37">
        <v>1688</v>
      </c>
      <c r="D230" s="36" t="s">
        <v>485</v>
      </c>
      <c r="E230" s="1" t="s">
        <v>1536</v>
      </c>
      <c r="F230" s="33" t="s">
        <v>485</v>
      </c>
      <c r="G230" s="35" t="s">
        <v>485</v>
      </c>
      <c r="H230" s="37" t="s">
        <v>485</v>
      </c>
      <c r="I230" s="37" t="s">
        <v>1537</v>
      </c>
      <c r="J230" s="39">
        <v>48510</v>
      </c>
      <c r="K230" s="40">
        <f>((J230-M230)/J230)*100</f>
        <v>100</v>
      </c>
      <c r="L230" s="41">
        <f>J230-M230</f>
        <v>48510</v>
      </c>
      <c r="M230" s="38"/>
      <c r="N230" s="41">
        <f>J230-O230</f>
        <v>48510</v>
      </c>
      <c r="O230" s="38">
        <v>0</v>
      </c>
      <c r="P230" s="27">
        <f t="shared" si="34"/>
        <v>0</v>
      </c>
      <c r="Q230" s="27">
        <f t="shared" si="34"/>
        <v>0</v>
      </c>
      <c r="R230" s="27" t="e">
        <f>Q230/U230</f>
        <v>#DIV/0!</v>
      </c>
      <c r="S230" s="38" t="e">
        <f>Q230/U230</f>
        <v>#DIV/0!</v>
      </c>
      <c r="T230" s="38" t="e">
        <f>S230*AR230</f>
        <v>#DIV/0!</v>
      </c>
      <c r="U230" s="38">
        <f t="shared" si="35"/>
        <v>0</v>
      </c>
      <c r="V230" s="38">
        <v>0</v>
      </c>
      <c r="W230" s="38">
        <v>0</v>
      </c>
      <c r="X230" s="38">
        <v>0</v>
      </c>
      <c r="Y230" s="38"/>
      <c r="Z230" s="38" t="e">
        <f t="shared" si="32"/>
        <v>#DIV/0!</v>
      </c>
      <c r="AA230" s="38"/>
      <c r="AB230" s="38" t="e">
        <f t="shared" si="33"/>
        <v>#DIV/0!</v>
      </c>
      <c r="AC230" s="38" t="e">
        <f>U230/AR230</f>
        <v>#DIV/0!</v>
      </c>
      <c r="AD230" s="38" t="e">
        <f t="shared" si="36"/>
        <v>#DIV/0!</v>
      </c>
      <c r="AE230" s="33">
        <v>45337</v>
      </c>
      <c r="AF230" s="33"/>
      <c r="AG230" s="33"/>
      <c r="AH230" s="33"/>
      <c r="AI230" s="33"/>
      <c r="AJ230" s="42"/>
      <c r="AK230" s="37"/>
      <c r="AL230" s="37"/>
      <c r="AM230" s="37"/>
      <c r="AN230" s="37"/>
      <c r="AO230" s="43"/>
      <c r="AP230" s="35"/>
      <c r="AQ230" s="35"/>
      <c r="AR230" s="44"/>
      <c r="AS230" s="37" t="s">
        <v>485</v>
      </c>
    </row>
    <row r="231" spans="1:45" ht="58.5" customHeight="1" x14ac:dyDescent="0.25">
      <c r="A231" s="46" t="s">
        <v>1538</v>
      </c>
      <c r="B231" s="42">
        <v>45289</v>
      </c>
      <c r="C231" s="37">
        <v>1688</v>
      </c>
      <c r="D231" s="36" t="s">
        <v>485</v>
      </c>
      <c r="E231" s="1" t="s">
        <v>1539</v>
      </c>
      <c r="F231" s="33" t="s">
        <v>485</v>
      </c>
      <c r="G231" s="35" t="s">
        <v>485</v>
      </c>
      <c r="H231" s="37" t="s">
        <v>485</v>
      </c>
      <c r="I231" s="37" t="s">
        <v>105</v>
      </c>
      <c r="J231" s="39">
        <v>2140185.6000000001</v>
      </c>
      <c r="K231" s="40">
        <f>((J231-M231)/J231)*100</f>
        <v>100</v>
      </c>
      <c r="L231" s="41">
        <f>J231-M231</f>
        <v>2140185.6000000001</v>
      </c>
      <c r="M231" s="38"/>
      <c r="N231" s="41">
        <f>J231-O231</f>
        <v>2140185.6000000001</v>
      </c>
      <c r="O231" s="38">
        <v>0</v>
      </c>
      <c r="P231" s="27">
        <f t="shared" si="34"/>
        <v>0</v>
      </c>
      <c r="Q231" s="27">
        <f t="shared" si="34"/>
        <v>0</v>
      </c>
      <c r="R231" s="27" t="e">
        <f>Q231/U231</f>
        <v>#DIV/0!</v>
      </c>
      <c r="S231" s="38" t="e">
        <f>Q231/U231</f>
        <v>#DIV/0!</v>
      </c>
      <c r="T231" s="38" t="e">
        <f>S231*AR231</f>
        <v>#DIV/0!</v>
      </c>
      <c r="U231" s="38">
        <f t="shared" si="35"/>
        <v>0</v>
      </c>
      <c r="V231" s="38">
        <v>0</v>
      </c>
      <c r="W231" s="38">
        <v>0</v>
      </c>
      <c r="X231" s="38">
        <v>0</v>
      </c>
      <c r="Y231" s="38"/>
      <c r="Z231" s="38" t="e">
        <f t="shared" si="32"/>
        <v>#DIV/0!</v>
      </c>
      <c r="AA231" s="38"/>
      <c r="AB231" s="38" t="e">
        <f t="shared" si="33"/>
        <v>#DIV/0!</v>
      </c>
      <c r="AC231" s="38" t="e">
        <f>U231/AR231</f>
        <v>#DIV/0!</v>
      </c>
      <c r="AD231" s="38" t="e">
        <f t="shared" si="36"/>
        <v>#DIV/0!</v>
      </c>
      <c r="AE231" s="33">
        <v>45337</v>
      </c>
      <c r="AF231" s="33"/>
      <c r="AG231" s="33"/>
      <c r="AH231" s="33"/>
      <c r="AI231" s="33"/>
      <c r="AJ231" s="42"/>
      <c r="AK231" s="37"/>
      <c r="AL231" s="37"/>
      <c r="AM231" s="37"/>
      <c r="AN231" s="37"/>
      <c r="AO231" s="43"/>
      <c r="AP231" s="35"/>
      <c r="AQ231" s="35"/>
      <c r="AR231" s="44"/>
      <c r="AS231" s="37" t="s">
        <v>485</v>
      </c>
    </row>
    <row r="232" spans="1:45" ht="58.5" customHeight="1" x14ac:dyDescent="0.25">
      <c r="A232" s="46" t="s">
        <v>1540</v>
      </c>
      <c r="B232" s="42">
        <v>45289</v>
      </c>
      <c r="C232" s="37">
        <v>1688</v>
      </c>
      <c r="D232" s="36" t="s">
        <v>485</v>
      </c>
      <c r="E232" s="1" t="s">
        <v>1541</v>
      </c>
      <c r="F232" s="33" t="s">
        <v>485</v>
      </c>
      <c r="G232" s="35" t="s">
        <v>485</v>
      </c>
      <c r="H232" s="37" t="s">
        <v>485</v>
      </c>
      <c r="I232" s="37" t="s">
        <v>1542</v>
      </c>
      <c r="J232" s="39">
        <v>17084253.760000002</v>
      </c>
      <c r="K232" s="40">
        <f>((J232-M232)/J232)*100</f>
        <v>100</v>
      </c>
      <c r="L232" s="41">
        <f>J232-M232</f>
        <v>17084253.760000002</v>
      </c>
      <c r="M232" s="38"/>
      <c r="N232" s="41">
        <f>J232-O232</f>
        <v>17084253.760000002</v>
      </c>
      <c r="O232" s="38">
        <v>0</v>
      </c>
      <c r="P232" s="27">
        <f t="shared" si="34"/>
        <v>0</v>
      </c>
      <c r="Q232" s="27">
        <f t="shared" si="34"/>
        <v>0</v>
      </c>
      <c r="R232" s="27" t="e">
        <f>Q232/U232</f>
        <v>#DIV/0!</v>
      </c>
      <c r="S232" s="38" t="e">
        <f>Q232/U232</f>
        <v>#DIV/0!</v>
      </c>
      <c r="T232" s="38" t="e">
        <f>S232*AR232</f>
        <v>#DIV/0!</v>
      </c>
      <c r="U232" s="38">
        <f t="shared" si="35"/>
        <v>0</v>
      </c>
      <c r="V232" s="38">
        <v>0</v>
      </c>
      <c r="W232" s="38">
        <v>0</v>
      </c>
      <c r="X232" s="38">
        <v>0</v>
      </c>
      <c r="Y232" s="38"/>
      <c r="Z232" s="38" t="e">
        <f t="shared" si="32"/>
        <v>#DIV/0!</v>
      </c>
      <c r="AA232" s="38"/>
      <c r="AB232" s="38" t="e">
        <f t="shared" si="33"/>
        <v>#DIV/0!</v>
      </c>
      <c r="AC232" s="38" t="e">
        <f>U232/AR232</f>
        <v>#DIV/0!</v>
      </c>
      <c r="AD232" s="38" t="e">
        <f t="shared" si="36"/>
        <v>#DIV/0!</v>
      </c>
      <c r="AE232" s="33">
        <v>45337</v>
      </c>
      <c r="AF232" s="33"/>
      <c r="AG232" s="33"/>
      <c r="AH232" s="33"/>
      <c r="AI232" s="33"/>
      <c r="AJ232" s="42"/>
      <c r="AK232" s="37"/>
      <c r="AL232" s="37"/>
      <c r="AM232" s="37"/>
      <c r="AN232" s="37"/>
      <c r="AO232" s="43"/>
      <c r="AP232" s="35"/>
      <c r="AQ232" s="35"/>
      <c r="AR232" s="44"/>
      <c r="AS232" s="37" t="s">
        <v>485</v>
      </c>
    </row>
    <row r="233" spans="1:45" ht="58.5" customHeight="1" x14ac:dyDescent="0.25">
      <c r="A233" s="46" t="s">
        <v>1543</v>
      </c>
      <c r="B233" s="42">
        <v>45289</v>
      </c>
      <c r="C233" s="37">
        <v>1416</v>
      </c>
      <c r="D233" s="36" t="s">
        <v>1544</v>
      </c>
      <c r="E233" s="1" t="s">
        <v>1545</v>
      </c>
      <c r="F233" s="33">
        <v>45322</v>
      </c>
      <c r="G233" s="35" t="s">
        <v>1546</v>
      </c>
      <c r="H233" s="37" t="s">
        <v>1236</v>
      </c>
      <c r="I233" s="37" t="s">
        <v>1547</v>
      </c>
      <c r="J233" s="39">
        <v>15950302.199999999</v>
      </c>
      <c r="K233" s="40">
        <f>((J233-M233)/J233)*100</f>
        <v>1.9999999749220998</v>
      </c>
      <c r="L233" s="41">
        <f>J233-M233</f>
        <v>319006.03999999911</v>
      </c>
      <c r="M233" s="38">
        <v>15631296.16</v>
      </c>
      <c r="N233" s="41">
        <f>J233-O233</f>
        <v>3255571.7999999989</v>
      </c>
      <c r="O233" s="38">
        <v>12694730.4</v>
      </c>
      <c r="P233" s="27">
        <f t="shared" si="34"/>
        <v>12694730.4</v>
      </c>
      <c r="Q233" s="27">
        <f t="shared" si="34"/>
        <v>12694730.4</v>
      </c>
      <c r="R233" s="27">
        <f>Q233/U233</f>
        <v>133.32</v>
      </c>
      <c r="S233" s="38">
        <f>Q233/U233</f>
        <v>133.32</v>
      </c>
      <c r="T233" s="38">
        <f>S233*AR233</f>
        <v>7999.2</v>
      </c>
      <c r="U233" s="38">
        <f t="shared" si="35"/>
        <v>95220</v>
      </c>
      <c r="V233" s="38">
        <f>3720+37920</f>
        <v>41640</v>
      </c>
      <c r="W233" s="38">
        <f>4980+48600</f>
        <v>53580</v>
      </c>
      <c r="X233" s="38">
        <v>0</v>
      </c>
      <c r="Y233" s="38">
        <f>3720+4980</f>
        <v>8700</v>
      </c>
      <c r="Z233" s="38">
        <f t="shared" si="32"/>
        <v>1159884</v>
      </c>
      <c r="AA233" s="38">
        <f>37920+48600</f>
        <v>86520</v>
      </c>
      <c r="AB233" s="38">
        <f t="shared" si="33"/>
        <v>11534846.399999999</v>
      </c>
      <c r="AC233" s="38">
        <f>U233/AR233</f>
        <v>1587</v>
      </c>
      <c r="AD233" s="38">
        <f t="shared" si="36"/>
        <v>1587</v>
      </c>
      <c r="AE233" s="33">
        <v>45352</v>
      </c>
      <c r="AF233" s="33">
        <v>45474</v>
      </c>
      <c r="AG233" s="33"/>
      <c r="AH233" s="33">
        <v>45383</v>
      </c>
      <c r="AI233" s="33">
        <v>45505</v>
      </c>
      <c r="AJ233" s="42"/>
      <c r="AK233" s="37" t="s">
        <v>1238</v>
      </c>
      <c r="AL233" s="37" t="s">
        <v>1548</v>
      </c>
      <c r="AM233" s="37" t="s">
        <v>1240</v>
      </c>
      <c r="AN233" s="37" t="s">
        <v>50</v>
      </c>
      <c r="AO233" s="43">
        <v>100</v>
      </c>
      <c r="AP233" s="35">
        <v>0</v>
      </c>
      <c r="AQ233" s="35" t="s">
        <v>441</v>
      </c>
      <c r="AR233" s="44">
        <v>60</v>
      </c>
      <c r="AS233" s="37" t="s">
        <v>380</v>
      </c>
    </row>
    <row r="234" spans="1:45" ht="58.5" customHeight="1" x14ac:dyDescent="0.25">
      <c r="A234" s="46" t="s">
        <v>1549</v>
      </c>
      <c r="B234" s="42">
        <v>45289</v>
      </c>
      <c r="C234" s="37">
        <v>545</v>
      </c>
      <c r="D234" s="36" t="s">
        <v>1550</v>
      </c>
      <c r="E234" s="1" t="s">
        <v>1551</v>
      </c>
      <c r="F234" s="33">
        <v>45321</v>
      </c>
      <c r="G234" s="35" t="s">
        <v>1552</v>
      </c>
      <c r="H234" s="37" t="s">
        <v>219</v>
      </c>
      <c r="I234" s="37" t="s">
        <v>403</v>
      </c>
      <c r="J234" s="39">
        <v>195352434</v>
      </c>
      <c r="K234" s="40">
        <f>((J234-M234)/J234)*100</f>
        <v>0</v>
      </c>
      <c r="L234" s="41">
        <f>J234-M234</f>
        <v>0</v>
      </c>
      <c r="M234" s="38">
        <v>195352434</v>
      </c>
      <c r="N234" s="41">
        <f>J234-O234</f>
        <v>0</v>
      </c>
      <c r="O234" s="38">
        <v>195352434</v>
      </c>
      <c r="P234" s="27">
        <v>247446416.40000001</v>
      </c>
      <c r="Q234" s="27">
        <f t="shared" ref="Q234:Q250" si="37">P234</f>
        <v>247446416.40000001</v>
      </c>
      <c r="R234" s="27">
        <f>Q234/U234</f>
        <v>868233.04</v>
      </c>
      <c r="S234" s="38">
        <f>Q234/U234</f>
        <v>868233.04</v>
      </c>
      <c r="T234" s="38">
        <f>S234*AR234</f>
        <v>4341165.2</v>
      </c>
      <c r="U234" s="38">
        <f t="shared" si="35"/>
        <v>285</v>
      </c>
      <c r="V234" s="38">
        <v>285</v>
      </c>
      <c r="W234" s="38">
        <v>0</v>
      </c>
      <c r="X234" s="38">
        <v>0</v>
      </c>
      <c r="Y234" s="38">
        <v>0</v>
      </c>
      <c r="Z234" s="38">
        <f t="shared" si="32"/>
        <v>0</v>
      </c>
      <c r="AA234" s="38">
        <v>0</v>
      </c>
      <c r="AB234" s="38">
        <f t="shared" si="33"/>
        <v>0</v>
      </c>
      <c r="AC234" s="38">
        <f>U234/AR234</f>
        <v>57</v>
      </c>
      <c r="AD234" s="38">
        <f t="shared" si="36"/>
        <v>57</v>
      </c>
      <c r="AE234" s="33">
        <v>45342</v>
      </c>
      <c r="AF234" s="33"/>
      <c r="AG234" s="33"/>
      <c r="AH234" s="33">
        <v>45371</v>
      </c>
      <c r="AI234" s="33"/>
      <c r="AJ234" s="42"/>
      <c r="AK234" s="37" t="s">
        <v>1553</v>
      </c>
      <c r="AL234" s="37" t="s">
        <v>1554</v>
      </c>
      <c r="AM234" s="37" t="s">
        <v>1555</v>
      </c>
      <c r="AN234" s="37" t="s">
        <v>224</v>
      </c>
      <c r="AO234" s="43">
        <v>0</v>
      </c>
      <c r="AP234" s="35">
        <v>100</v>
      </c>
      <c r="AQ234" s="35" t="s">
        <v>164</v>
      </c>
      <c r="AR234" s="44">
        <v>5</v>
      </c>
      <c r="AS234" s="37" t="s">
        <v>176</v>
      </c>
    </row>
    <row r="235" spans="1:45" ht="48.75" customHeight="1" x14ac:dyDescent="0.25">
      <c r="A235" s="32" t="s">
        <v>1556</v>
      </c>
      <c r="B235" s="56">
        <v>45313</v>
      </c>
      <c r="C235" s="37" t="s">
        <v>486</v>
      </c>
      <c r="D235" s="36" t="s">
        <v>485</v>
      </c>
      <c r="E235" s="1" t="s">
        <v>1557</v>
      </c>
      <c r="F235" s="33" t="s">
        <v>485</v>
      </c>
      <c r="G235" s="35" t="s">
        <v>485</v>
      </c>
      <c r="H235" s="37" t="s">
        <v>485</v>
      </c>
      <c r="I235" s="37" t="s">
        <v>1558</v>
      </c>
      <c r="J235" s="57">
        <v>229822000.5</v>
      </c>
      <c r="K235" s="40">
        <f>((J235-M235)/J235)*100</f>
        <v>100</v>
      </c>
      <c r="L235" s="41">
        <f>J235-M235</f>
        <v>229822000.5</v>
      </c>
      <c r="M235" s="38"/>
      <c r="N235" s="41">
        <f>J235-O235</f>
        <v>229822000.5</v>
      </c>
      <c r="O235" s="38">
        <v>0</v>
      </c>
      <c r="P235" s="27">
        <f t="shared" ref="P235:P249" si="38">O235</f>
        <v>0</v>
      </c>
      <c r="Q235" s="27">
        <f t="shared" si="37"/>
        <v>0</v>
      </c>
      <c r="R235" s="27" t="e">
        <f>Q235/U235</f>
        <v>#DIV/0!</v>
      </c>
      <c r="S235" s="38" t="e">
        <f>Q235/U235</f>
        <v>#DIV/0!</v>
      </c>
      <c r="T235" s="38" t="e">
        <f>S235*AR235</f>
        <v>#DIV/0!</v>
      </c>
      <c r="U235" s="38">
        <f t="shared" si="35"/>
        <v>0</v>
      </c>
      <c r="V235" s="38">
        <v>0</v>
      </c>
      <c r="W235" s="38">
        <v>0</v>
      </c>
      <c r="X235" s="38">
        <v>0</v>
      </c>
      <c r="Y235" s="38"/>
      <c r="Z235" s="38" t="e">
        <f t="shared" si="32"/>
        <v>#DIV/0!</v>
      </c>
      <c r="AA235" s="38"/>
      <c r="AB235" s="38" t="e">
        <f t="shared" si="33"/>
        <v>#DIV/0!</v>
      </c>
      <c r="AC235" s="38" t="e">
        <f>U235/AR235</f>
        <v>#DIV/0!</v>
      </c>
      <c r="AD235" s="38" t="e">
        <f t="shared" si="36"/>
        <v>#DIV/0!</v>
      </c>
      <c r="AE235" s="33">
        <v>45382</v>
      </c>
      <c r="AF235" s="33"/>
      <c r="AG235" s="33"/>
      <c r="AH235" s="33"/>
      <c r="AI235" s="33"/>
      <c r="AJ235" s="42"/>
      <c r="AK235" s="37"/>
      <c r="AL235" s="37"/>
      <c r="AM235" s="37"/>
      <c r="AN235" s="37"/>
      <c r="AO235" s="43"/>
      <c r="AP235" s="35"/>
      <c r="AQ235" s="35"/>
      <c r="AR235" s="44"/>
      <c r="AS235" s="37" t="s">
        <v>485</v>
      </c>
    </row>
    <row r="236" spans="1:45" ht="48.75" customHeight="1" x14ac:dyDescent="0.25">
      <c r="A236" s="32" t="s">
        <v>1559</v>
      </c>
      <c r="B236" s="56">
        <v>45313</v>
      </c>
      <c r="C236" s="37" t="s">
        <v>486</v>
      </c>
      <c r="D236" s="36" t="s">
        <v>1560</v>
      </c>
      <c r="E236" s="1" t="s">
        <v>1561</v>
      </c>
      <c r="F236" s="33">
        <v>45334</v>
      </c>
      <c r="G236" s="35" t="s">
        <v>1562</v>
      </c>
      <c r="H236" s="37" t="s">
        <v>273</v>
      </c>
      <c r="I236" s="37" t="s">
        <v>1563</v>
      </c>
      <c r="J236" s="57">
        <v>3858140</v>
      </c>
      <c r="K236" s="40">
        <f>((J236-M236)/J236)*100</f>
        <v>0</v>
      </c>
      <c r="L236" s="41">
        <f>J236-M236</f>
        <v>0</v>
      </c>
      <c r="M236" s="38">
        <v>3858140</v>
      </c>
      <c r="N236" s="41">
        <f>J236-O236</f>
        <v>0</v>
      </c>
      <c r="O236" s="38">
        <v>3858140</v>
      </c>
      <c r="P236" s="27">
        <f t="shared" si="38"/>
        <v>3858140</v>
      </c>
      <c r="Q236" s="27">
        <f t="shared" si="37"/>
        <v>3858140</v>
      </c>
      <c r="R236" s="27">
        <f>Q236/U236</f>
        <v>2.09</v>
      </c>
      <c r="S236" s="38">
        <f>Q236/U236</f>
        <v>2.09</v>
      </c>
      <c r="T236" s="38">
        <f>S236*AR236</f>
        <v>418</v>
      </c>
      <c r="U236" s="38">
        <f t="shared" si="35"/>
        <v>1846000</v>
      </c>
      <c r="V236" s="38">
        <v>1846000</v>
      </c>
      <c r="W236" s="38">
        <v>0</v>
      </c>
      <c r="X236" s="38">
        <v>0</v>
      </c>
      <c r="Y236" s="38">
        <v>0</v>
      </c>
      <c r="Z236" s="38">
        <f t="shared" si="32"/>
        <v>0</v>
      </c>
      <c r="AA236" s="38">
        <v>0</v>
      </c>
      <c r="AB236" s="38">
        <f t="shared" si="33"/>
        <v>0</v>
      </c>
      <c r="AC236" s="38">
        <f>U236/AR236</f>
        <v>9230</v>
      </c>
      <c r="AD236" s="38">
        <f t="shared" si="36"/>
        <v>9230</v>
      </c>
      <c r="AE236" s="33">
        <v>45382</v>
      </c>
      <c r="AF236" s="33"/>
      <c r="AG236" s="33"/>
      <c r="AH236" s="33">
        <v>45413</v>
      </c>
      <c r="AI236" s="33"/>
      <c r="AJ236" s="42"/>
      <c r="AK236" s="37" t="s">
        <v>1564</v>
      </c>
      <c r="AL236" s="37" t="s">
        <v>1565</v>
      </c>
      <c r="AM236" s="37" t="s">
        <v>1566</v>
      </c>
      <c r="AN236" s="37" t="s">
        <v>50</v>
      </c>
      <c r="AO236" s="43">
        <v>100</v>
      </c>
      <c r="AP236" s="35">
        <v>0</v>
      </c>
      <c r="AQ236" s="35" t="s">
        <v>164</v>
      </c>
      <c r="AR236" s="44">
        <v>200</v>
      </c>
      <c r="AS236" s="37" t="s">
        <v>52</v>
      </c>
    </row>
    <row r="237" spans="1:45" ht="48.75" customHeight="1" x14ac:dyDescent="0.25">
      <c r="A237" s="32" t="s">
        <v>1567</v>
      </c>
      <c r="B237" s="56">
        <v>45313</v>
      </c>
      <c r="C237" s="37" t="s">
        <v>486</v>
      </c>
      <c r="D237" s="36" t="s">
        <v>1568</v>
      </c>
      <c r="E237" s="1" t="s">
        <v>1569</v>
      </c>
      <c r="F237" s="33">
        <v>45334</v>
      </c>
      <c r="G237" s="35" t="s">
        <v>1570</v>
      </c>
      <c r="H237" s="37" t="s">
        <v>273</v>
      </c>
      <c r="I237" s="37" t="s">
        <v>1571</v>
      </c>
      <c r="J237" s="57">
        <v>331056</v>
      </c>
      <c r="K237" s="40">
        <f>((J237-M237)/J237)*100</f>
        <v>0</v>
      </c>
      <c r="L237" s="41">
        <f>J237-M237</f>
        <v>0</v>
      </c>
      <c r="M237" s="38">
        <v>331056</v>
      </c>
      <c r="N237" s="41">
        <f>J237-O237</f>
        <v>0</v>
      </c>
      <c r="O237" s="38">
        <v>331056</v>
      </c>
      <c r="P237" s="27">
        <f t="shared" si="38"/>
        <v>331056</v>
      </c>
      <c r="Q237" s="27">
        <f t="shared" si="37"/>
        <v>331056</v>
      </c>
      <c r="R237" s="27">
        <f>Q237/U237</f>
        <v>183.92</v>
      </c>
      <c r="S237" s="38">
        <f>Q237/U237</f>
        <v>183.92</v>
      </c>
      <c r="T237" s="38">
        <f>S237*AR237</f>
        <v>11035.199999999999</v>
      </c>
      <c r="U237" s="38">
        <f t="shared" si="35"/>
        <v>1800</v>
      </c>
      <c r="V237" s="38">
        <v>1800</v>
      </c>
      <c r="W237" s="38">
        <v>0</v>
      </c>
      <c r="X237" s="38">
        <v>0</v>
      </c>
      <c r="Y237" s="38">
        <v>0</v>
      </c>
      <c r="Z237" s="38">
        <f t="shared" si="32"/>
        <v>0</v>
      </c>
      <c r="AA237" s="38">
        <v>0</v>
      </c>
      <c r="AB237" s="38">
        <f t="shared" si="33"/>
        <v>0</v>
      </c>
      <c r="AC237" s="38">
        <f>U237/AR237</f>
        <v>30</v>
      </c>
      <c r="AD237" s="38">
        <f t="shared" si="36"/>
        <v>30</v>
      </c>
      <c r="AE237" s="33">
        <v>45366</v>
      </c>
      <c r="AF237" s="33"/>
      <c r="AG237" s="33"/>
      <c r="AH237" s="33">
        <v>45397</v>
      </c>
      <c r="AI237" s="33"/>
      <c r="AJ237" s="42"/>
      <c r="AK237" s="37" t="s">
        <v>1572</v>
      </c>
      <c r="AL237" s="37" t="s">
        <v>1573</v>
      </c>
      <c r="AM237" s="37" t="s">
        <v>1574</v>
      </c>
      <c r="AN237" s="37" t="s">
        <v>174</v>
      </c>
      <c r="AO237" s="43">
        <v>0</v>
      </c>
      <c r="AP237" s="35">
        <v>100</v>
      </c>
      <c r="AQ237" s="35" t="s">
        <v>441</v>
      </c>
      <c r="AR237" s="44">
        <v>60</v>
      </c>
      <c r="AS237" s="37" t="s">
        <v>176</v>
      </c>
    </row>
    <row r="238" spans="1:45" ht="48.75" customHeight="1" x14ac:dyDescent="0.25">
      <c r="A238" s="32" t="s">
        <v>1575</v>
      </c>
      <c r="B238" s="56">
        <v>45313</v>
      </c>
      <c r="C238" s="37" t="s">
        <v>486</v>
      </c>
      <c r="D238" s="36" t="s">
        <v>485</v>
      </c>
      <c r="E238" s="1" t="s">
        <v>1576</v>
      </c>
      <c r="F238" s="33" t="s">
        <v>485</v>
      </c>
      <c r="G238" s="35" t="s">
        <v>485</v>
      </c>
      <c r="H238" s="37" t="s">
        <v>485</v>
      </c>
      <c r="I238" s="37" t="s">
        <v>1577</v>
      </c>
      <c r="J238" s="57">
        <v>388170432</v>
      </c>
      <c r="K238" s="40">
        <f>((J238-M238)/J238)*100</f>
        <v>100</v>
      </c>
      <c r="L238" s="41">
        <f>J238-M238</f>
        <v>388170432</v>
      </c>
      <c r="M238" s="38"/>
      <c r="N238" s="41">
        <f>J238-O238</f>
        <v>388170432</v>
      </c>
      <c r="O238" s="38">
        <v>0</v>
      </c>
      <c r="P238" s="27">
        <f t="shared" si="38"/>
        <v>0</v>
      </c>
      <c r="Q238" s="27">
        <f t="shared" si="37"/>
        <v>0</v>
      </c>
      <c r="R238" s="27" t="e">
        <f>Q238/U238</f>
        <v>#DIV/0!</v>
      </c>
      <c r="S238" s="38" t="e">
        <f>Q238/U238</f>
        <v>#DIV/0!</v>
      </c>
      <c r="T238" s="38" t="e">
        <f>S238*AR238</f>
        <v>#DIV/0!</v>
      </c>
      <c r="U238" s="38">
        <f t="shared" si="35"/>
        <v>0</v>
      </c>
      <c r="V238" s="38">
        <v>0</v>
      </c>
      <c r="W238" s="38">
        <v>0</v>
      </c>
      <c r="X238" s="38">
        <v>0</v>
      </c>
      <c r="Y238" s="38"/>
      <c r="Z238" s="38" t="e">
        <f t="shared" si="32"/>
        <v>#DIV/0!</v>
      </c>
      <c r="AA238" s="38"/>
      <c r="AB238" s="38" t="e">
        <f t="shared" si="33"/>
        <v>#DIV/0!</v>
      </c>
      <c r="AC238" s="38" t="e">
        <f>U238/AR238</f>
        <v>#DIV/0!</v>
      </c>
      <c r="AD238" s="38" t="e">
        <f t="shared" si="36"/>
        <v>#DIV/0!</v>
      </c>
      <c r="AE238" s="33">
        <v>45383</v>
      </c>
      <c r="AF238" s="33"/>
      <c r="AG238" s="33"/>
      <c r="AH238" s="33"/>
      <c r="AI238" s="33"/>
      <c r="AJ238" s="42"/>
      <c r="AK238" s="37"/>
      <c r="AL238" s="37"/>
      <c r="AM238" s="37"/>
      <c r="AN238" s="37"/>
      <c r="AO238" s="43"/>
      <c r="AP238" s="35"/>
      <c r="AQ238" s="35"/>
      <c r="AR238" s="44"/>
      <c r="AS238" s="37" t="s">
        <v>485</v>
      </c>
    </row>
    <row r="239" spans="1:45" ht="48.75" customHeight="1" x14ac:dyDescent="0.25">
      <c r="A239" s="32" t="s">
        <v>1578</v>
      </c>
      <c r="B239" s="56">
        <v>45313</v>
      </c>
      <c r="C239" s="37" t="s">
        <v>486</v>
      </c>
      <c r="D239" s="36" t="s">
        <v>1579</v>
      </c>
      <c r="E239" s="1" t="s">
        <v>1580</v>
      </c>
      <c r="F239" s="33">
        <v>45334</v>
      </c>
      <c r="G239" s="35" t="s">
        <v>1581</v>
      </c>
      <c r="H239" s="37" t="s">
        <v>291</v>
      </c>
      <c r="I239" s="37" t="s">
        <v>1582</v>
      </c>
      <c r="J239" s="57">
        <v>46479725.399999999</v>
      </c>
      <c r="K239" s="40">
        <f>((J239-M239)/J239)*100</f>
        <v>0</v>
      </c>
      <c r="L239" s="41">
        <f>J239-M239</f>
        <v>0</v>
      </c>
      <c r="M239" s="38">
        <v>46479725.399999999</v>
      </c>
      <c r="N239" s="41">
        <f>J239-O239</f>
        <v>0</v>
      </c>
      <c r="O239" s="38">
        <v>46479725.399999999</v>
      </c>
      <c r="P239" s="27">
        <f t="shared" si="38"/>
        <v>46479725.399999999</v>
      </c>
      <c r="Q239" s="27">
        <f t="shared" si="37"/>
        <v>46479725.399999999</v>
      </c>
      <c r="R239" s="27">
        <f>Q239/U239</f>
        <v>4.66</v>
      </c>
      <c r="S239" s="38">
        <f>Q239/U239</f>
        <v>4.66</v>
      </c>
      <c r="T239" s="38">
        <f>S239*AR239</f>
        <v>139.80000000000001</v>
      </c>
      <c r="U239" s="38">
        <f t="shared" si="35"/>
        <v>9974190</v>
      </c>
      <c r="V239" s="38">
        <v>9974190</v>
      </c>
      <c r="W239" s="38">
        <v>0</v>
      </c>
      <c r="X239" s="38">
        <v>0</v>
      </c>
      <c r="Y239" s="38">
        <v>0</v>
      </c>
      <c r="Z239" s="38">
        <f t="shared" si="32"/>
        <v>0</v>
      </c>
      <c r="AA239" s="38">
        <v>0</v>
      </c>
      <c r="AB239" s="38">
        <f t="shared" si="33"/>
        <v>0</v>
      </c>
      <c r="AC239" s="38">
        <f>U239/AR239</f>
        <v>332473</v>
      </c>
      <c r="AD239" s="38">
        <f t="shared" si="36"/>
        <v>332473</v>
      </c>
      <c r="AE239" s="33">
        <v>45383</v>
      </c>
      <c r="AF239" s="33"/>
      <c r="AG239" s="33"/>
      <c r="AH239" s="33">
        <v>45413</v>
      </c>
      <c r="AI239" s="33"/>
      <c r="AJ239" s="42"/>
      <c r="AK239" s="37" t="s">
        <v>1583</v>
      </c>
      <c r="AL239" s="37" t="s">
        <v>1584</v>
      </c>
      <c r="AM239" s="37" t="s">
        <v>1585</v>
      </c>
      <c r="AN239" s="37" t="s">
        <v>50</v>
      </c>
      <c r="AO239" s="43">
        <v>100</v>
      </c>
      <c r="AP239" s="35">
        <v>0</v>
      </c>
      <c r="AQ239" s="35" t="s">
        <v>441</v>
      </c>
      <c r="AR239" s="44">
        <v>30</v>
      </c>
      <c r="AS239" s="37" t="s">
        <v>52</v>
      </c>
    </row>
    <row r="240" spans="1:45" ht="48.75" customHeight="1" x14ac:dyDescent="0.25">
      <c r="A240" s="32" t="s">
        <v>1586</v>
      </c>
      <c r="B240" s="56">
        <v>45313</v>
      </c>
      <c r="C240" s="37" t="s">
        <v>486</v>
      </c>
      <c r="D240" s="36" t="s">
        <v>1587</v>
      </c>
      <c r="E240" s="1" t="s">
        <v>1588</v>
      </c>
      <c r="F240" s="33">
        <v>45334</v>
      </c>
      <c r="G240" s="35" t="s">
        <v>1589</v>
      </c>
      <c r="H240" s="37" t="s">
        <v>138</v>
      </c>
      <c r="I240" s="35" t="s">
        <v>1590</v>
      </c>
      <c r="J240" s="57">
        <v>822463.2</v>
      </c>
      <c r="K240" s="40">
        <f>((J240-M240)/J240)*100</f>
        <v>0</v>
      </c>
      <c r="L240" s="41">
        <f>J240-M240</f>
        <v>0</v>
      </c>
      <c r="M240" s="38">
        <v>822463.2</v>
      </c>
      <c r="N240" s="41">
        <f>J240-O240</f>
        <v>0</v>
      </c>
      <c r="O240" s="38">
        <v>822463.2</v>
      </c>
      <c r="P240" s="27">
        <f t="shared" si="38"/>
        <v>822463.2</v>
      </c>
      <c r="Q240" s="27">
        <f t="shared" si="37"/>
        <v>822463.2</v>
      </c>
      <c r="R240" s="27">
        <f>Q240/U240</f>
        <v>33.93</v>
      </c>
      <c r="S240" s="38">
        <f>Q240/U240</f>
        <v>33.93</v>
      </c>
      <c r="T240" s="38">
        <f>S240*AR240</f>
        <v>2035.8</v>
      </c>
      <c r="U240" s="38">
        <f t="shared" si="35"/>
        <v>24240</v>
      </c>
      <c r="V240" s="38">
        <v>24240</v>
      </c>
      <c r="W240" s="38">
        <v>0</v>
      </c>
      <c r="X240" s="38">
        <v>0</v>
      </c>
      <c r="Y240" s="38">
        <v>0</v>
      </c>
      <c r="Z240" s="38">
        <f t="shared" si="32"/>
        <v>0</v>
      </c>
      <c r="AA240" s="38">
        <v>0</v>
      </c>
      <c r="AB240" s="38">
        <f t="shared" si="33"/>
        <v>0</v>
      </c>
      <c r="AC240" s="38">
        <f>U240/AR240</f>
        <v>404</v>
      </c>
      <c r="AD240" s="38">
        <f t="shared" si="36"/>
        <v>404</v>
      </c>
      <c r="AE240" s="33">
        <v>45366</v>
      </c>
      <c r="AF240" s="33"/>
      <c r="AG240" s="33"/>
      <c r="AH240" s="33">
        <v>45397</v>
      </c>
      <c r="AI240" s="33"/>
      <c r="AJ240" s="42"/>
      <c r="AK240" s="37" t="s">
        <v>1591</v>
      </c>
      <c r="AL240" s="37" t="s">
        <v>1592</v>
      </c>
      <c r="AM240" s="37" t="s">
        <v>1593</v>
      </c>
      <c r="AN240" s="37" t="s">
        <v>440</v>
      </c>
      <c r="AO240" s="43">
        <v>0</v>
      </c>
      <c r="AP240" s="35">
        <v>100</v>
      </c>
      <c r="AQ240" s="35" t="s">
        <v>441</v>
      </c>
      <c r="AR240" s="44">
        <v>60</v>
      </c>
      <c r="AS240" s="37" t="s">
        <v>176</v>
      </c>
    </row>
    <row r="241" spans="1:45" ht="48.75" customHeight="1" x14ac:dyDescent="0.25">
      <c r="A241" s="32" t="s">
        <v>1594</v>
      </c>
      <c r="B241" s="56">
        <v>45313</v>
      </c>
      <c r="C241" s="37" t="s">
        <v>486</v>
      </c>
      <c r="D241" s="36" t="s">
        <v>1595</v>
      </c>
      <c r="E241" s="1" t="s">
        <v>1596</v>
      </c>
      <c r="F241" s="33">
        <v>45334</v>
      </c>
      <c r="G241" s="35" t="s">
        <v>1597</v>
      </c>
      <c r="H241" s="37" t="s">
        <v>138</v>
      </c>
      <c r="I241" s="35" t="s">
        <v>1598</v>
      </c>
      <c r="J241" s="57">
        <v>79713664.799999997</v>
      </c>
      <c r="K241" s="40">
        <f>((J241-M241)/J241)*100</f>
        <v>0</v>
      </c>
      <c r="L241" s="41">
        <f>J241-M241</f>
        <v>0</v>
      </c>
      <c r="M241" s="38">
        <v>79713664.799999997</v>
      </c>
      <c r="N241" s="41">
        <f>J241-O241</f>
        <v>0</v>
      </c>
      <c r="O241" s="38">
        <v>79713664.799999997</v>
      </c>
      <c r="P241" s="27">
        <f t="shared" si="38"/>
        <v>79713664.799999997</v>
      </c>
      <c r="Q241" s="27">
        <f t="shared" si="37"/>
        <v>79713664.799999997</v>
      </c>
      <c r="R241" s="27">
        <f>Q241/U241</f>
        <v>127.82</v>
      </c>
      <c r="S241" s="38">
        <f>Q241/U241</f>
        <v>127.82</v>
      </c>
      <c r="T241" s="38">
        <f>S241*AR241</f>
        <v>7669.2</v>
      </c>
      <c r="U241" s="38">
        <f t="shared" si="35"/>
        <v>623640</v>
      </c>
      <c r="V241" s="38">
        <v>180000</v>
      </c>
      <c r="W241" s="38">
        <v>443640</v>
      </c>
      <c r="X241" s="38">
        <v>0</v>
      </c>
      <c r="Y241" s="38">
        <v>0</v>
      </c>
      <c r="Z241" s="38">
        <f t="shared" si="32"/>
        <v>0</v>
      </c>
      <c r="AA241" s="38">
        <v>0</v>
      </c>
      <c r="AB241" s="38">
        <f t="shared" si="33"/>
        <v>0</v>
      </c>
      <c r="AC241" s="38">
        <f>U241/AR241</f>
        <v>10394</v>
      </c>
      <c r="AD241" s="38">
        <f t="shared" si="36"/>
        <v>10394</v>
      </c>
      <c r="AE241" s="33">
        <v>45352</v>
      </c>
      <c r="AF241" s="33">
        <v>45397</v>
      </c>
      <c r="AG241" s="33"/>
      <c r="AH241" s="33">
        <v>45383</v>
      </c>
      <c r="AI241" s="33">
        <v>45427</v>
      </c>
      <c r="AJ241" s="42"/>
      <c r="AK241" s="37" t="s">
        <v>1591</v>
      </c>
      <c r="AL241" s="37" t="s">
        <v>1599</v>
      </c>
      <c r="AM241" s="37" t="s">
        <v>1593</v>
      </c>
      <c r="AN241" s="37" t="s">
        <v>440</v>
      </c>
      <c r="AO241" s="43">
        <v>0</v>
      </c>
      <c r="AP241" s="35">
        <v>100</v>
      </c>
      <c r="AQ241" s="35" t="s">
        <v>441</v>
      </c>
      <c r="AR241" s="44">
        <v>60</v>
      </c>
      <c r="AS241" s="37" t="s">
        <v>380</v>
      </c>
    </row>
    <row r="242" spans="1:45" ht="48.75" customHeight="1" x14ac:dyDescent="0.25">
      <c r="A242" s="32" t="s">
        <v>1600</v>
      </c>
      <c r="B242" s="56">
        <v>45313</v>
      </c>
      <c r="C242" s="37" t="s">
        <v>486</v>
      </c>
      <c r="D242" s="36" t="s">
        <v>1601</v>
      </c>
      <c r="E242" s="1" t="s">
        <v>1602</v>
      </c>
      <c r="F242" s="33">
        <v>45348</v>
      </c>
      <c r="G242" s="35" t="s">
        <v>1603</v>
      </c>
      <c r="H242" s="37" t="s">
        <v>291</v>
      </c>
      <c r="I242" s="35" t="s">
        <v>1604</v>
      </c>
      <c r="J242" s="57">
        <v>1115237257.2</v>
      </c>
      <c r="K242" s="40">
        <f>((J242-M242)/J242)*100</f>
        <v>0</v>
      </c>
      <c r="L242" s="41">
        <f>J242-M242</f>
        <v>0</v>
      </c>
      <c r="M242" s="57">
        <v>1115237257.2</v>
      </c>
      <c r="N242" s="41">
        <f>J242-O242</f>
        <v>0</v>
      </c>
      <c r="O242" s="57">
        <v>1115237257.2</v>
      </c>
      <c r="P242" s="27">
        <f t="shared" si="38"/>
        <v>1115237257.2</v>
      </c>
      <c r="Q242" s="27">
        <f t="shared" si="37"/>
        <v>1115237257.2</v>
      </c>
      <c r="R242" s="27">
        <f>Q242/U242</f>
        <v>201.96</v>
      </c>
      <c r="S242" s="38">
        <f>Q242/U242</f>
        <v>201.96</v>
      </c>
      <c r="T242" s="38">
        <f>S242*AR242</f>
        <v>12117.6</v>
      </c>
      <c r="U242" s="38">
        <f t="shared" si="35"/>
        <v>5522070</v>
      </c>
      <c r="V242" s="38">
        <v>5522070</v>
      </c>
      <c r="W242" s="38">
        <v>0</v>
      </c>
      <c r="X242" s="38">
        <v>0</v>
      </c>
      <c r="Y242" s="38">
        <v>0</v>
      </c>
      <c r="Z242" s="38">
        <f t="shared" si="32"/>
        <v>0</v>
      </c>
      <c r="AA242" s="38">
        <v>0</v>
      </c>
      <c r="AB242" s="38">
        <f t="shared" si="33"/>
        <v>0</v>
      </c>
      <c r="AC242" s="38">
        <f>U242/AR242</f>
        <v>92034.5</v>
      </c>
      <c r="AD242" s="38">
        <f t="shared" si="36"/>
        <v>92035</v>
      </c>
      <c r="AE242" s="33">
        <v>45383</v>
      </c>
      <c r="AF242" s="33"/>
      <c r="AG242" s="33"/>
      <c r="AH242" s="33">
        <v>45413</v>
      </c>
      <c r="AI242" s="33"/>
      <c r="AJ242" s="42"/>
      <c r="AK242" s="37" t="s">
        <v>1605</v>
      </c>
      <c r="AL242" s="37" t="s">
        <v>1606</v>
      </c>
      <c r="AM242" s="37" t="s">
        <v>1607</v>
      </c>
      <c r="AN242" s="37" t="s">
        <v>50</v>
      </c>
      <c r="AO242" s="43">
        <v>100</v>
      </c>
      <c r="AP242" s="35">
        <v>0</v>
      </c>
      <c r="AQ242" s="35" t="s">
        <v>441</v>
      </c>
      <c r="AR242" s="44">
        <v>60</v>
      </c>
      <c r="AS242" s="37" t="s">
        <v>52</v>
      </c>
    </row>
    <row r="243" spans="1:45" ht="48.75" customHeight="1" x14ac:dyDescent="0.25">
      <c r="A243" s="32" t="s">
        <v>1608</v>
      </c>
      <c r="B243" s="56">
        <v>45313</v>
      </c>
      <c r="C243" s="37" t="s">
        <v>486</v>
      </c>
      <c r="D243" s="36" t="s">
        <v>485</v>
      </c>
      <c r="E243" s="1" t="s">
        <v>1609</v>
      </c>
      <c r="F243" s="33" t="s">
        <v>485</v>
      </c>
      <c r="G243" s="35" t="s">
        <v>485</v>
      </c>
      <c r="H243" s="37" t="s">
        <v>485</v>
      </c>
      <c r="I243" s="35" t="s">
        <v>1610</v>
      </c>
      <c r="J243" s="57">
        <v>64233933</v>
      </c>
      <c r="K243" s="40">
        <f>((J243-M243)/J243)*100</f>
        <v>100</v>
      </c>
      <c r="L243" s="41">
        <f>J243-M243</f>
        <v>64233933</v>
      </c>
      <c r="M243" s="38"/>
      <c r="N243" s="41">
        <f>J243-O243</f>
        <v>64233933</v>
      </c>
      <c r="O243" s="38">
        <v>0</v>
      </c>
      <c r="P243" s="27">
        <f t="shared" si="38"/>
        <v>0</v>
      </c>
      <c r="Q243" s="27">
        <f t="shared" si="37"/>
        <v>0</v>
      </c>
      <c r="R243" s="27" t="e">
        <f>Q243/U243</f>
        <v>#DIV/0!</v>
      </c>
      <c r="S243" s="38" t="e">
        <f>Q243/U243</f>
        <v>#DIV/0!</v>
      </c>
      <c r="T243" s="38" t="e">
        <f>S243*AR243</f>
        <v>#DIV/0!</v>
      </c>
      <c r="U243" s="38">
        <f t="shared" si="35"/>
        <v>0</v>
      </c>
      <c r="V243" s="38">
        <v>0</v>
      </c>
      <c r="W243" s="38">
        <v>0</v>
      </c>
      <c r="X243" s="38">
        <v>0</v>
      </c>
      <c r="Y243" s="38"/>
      <c r="Z243" s="38" t="e">
        <f t="shared" si="32"/>
        <v>#DIV/0!</v>
      </c>
      <c r="AA243" s="38"/>
      <c r="AB243" s="38" t="e">
        <f t="shared" si="33"/>
        <v>#DIV/0!</v>
      </c>
      <c r="AC243" s="38" t="e">
        <f>U243/AR243</f>
        <v>#DIV/0!</v>
      </c>
      <c r="AD243" s="38" t="e">
        <f t="shared" si="36"/>
        <v>#DIV/0!</v>
      </c>
      <c r="AE243" s="33">
        <v>45383</v>
      </c>
      <c r="AF243" s="33"/>
      <c r="AG243" s="33"/>
      <c r="AH243" s="33"/>
      <c r="AI243" s="33"/>
      <c r="AJ243" s="42"/>
      <c r="AK243" s="37"/>
      <c r="AL243" s="37"/>
      <c r="AM243" s="37"/>
      <c r="AN243" s="37"/>
      <c r="AO243" s="43"/>
      <c r="AP243" s="35"/>
      <c r="AQ243" s="35"/>
      <c r="AR243" s="44"/>
      <c r="AS243" s="37" t="s">
        <v>485</v>
      </c>
    </row>
    <row r="244" spans="1:45" ht="48.75" customHeight="1" x14ac:dyDescent="0.25">
      <c r="A244" s="32" t="s">
        <v>1611</v>
      </c>
      <c r="B244" s="56">
        <v>45313</v>
      </c>
      <c r="C244" s="37" t="s">
        <v>486</v>
      </c>
      <c r="D244" s="36" t="s">
        <v>1612</v>
      </c>
      <c r="E244" s="1" t="s">
        <v>1613</v>
      </c>
      <c r="F244" s="33">
        <v>45334</v>
      </c>
      <c r="G244" s="35" t="s">
        <v>1614</v>
      </c>
      <c r="H244" s="37" t="s">
        <v>291</v>
      </c>
      <c r="I244" s="37" t="s">
        <v>1615</v>
      </c>
      <c r="J244" s="57">
        <v>113162592</v>
      </c>
      <c r="K244" s="40">
        <f>((J244-M244)/J244)*100</f>
        <v>0</v>
      </c>
      <c r="L244" s="41">
        <f>J244-M244</f>
        <v>0</v>
      </c>
      <c r="M244" s="38">
        <v>113162592</v>
      </c>
      <c r="N244" s="41">
        <f>J244-O244</f>
        <v>0</v>
      </c>
      <c r="O244" s="38">
        <v>113162592</v>
      </c>
      <c r="P244" s="27">
        <f t="shared" si="38"/>
        <v>113162592</v>
      </c>
      <c r="Q244" s="27">
        <f t="shared" si="37"/>
        <v>113162592</v>
      </c>
      <c r="R244" s="27">
        <f>Q244/U244</f>
        <v>23.05</v>
      </c>
      <c r="S244" s="38">
        <f>Q244/U244</f>
        <v>23.05</v>
      </c>
      <c r="T244" s="38" t="e">
        <f>S244*AR244</f>
        <v>#VALUE!</v>
      </c>
      <c r="U244" s="38">
        <f t="shared" si="35"/>
        <v>4909440</v>
      </c>
      <c r="V244" s="38">
        <v>4909440</v>
      </c>
      <c r="W244" s="38">
        <v>0</v>
      </c>
      <c r="X244" s="38">
        <v>0</v>
      </c>
      <c r="Y244" s="38">
        <v>0</v>
      </c>
      <c r="Z244" s="38">
        <f t="shared" si="32"/>
        <v>0</v>
      </c>
      <c r="AA244" s="38">
        <v>0</v>
      </c>
      <c r="AB244" s="38">
        <f t="shared" si="33"/>
        <v>0</v>
      </c>
      <c r="AC244" s="38" t="e">
        <f>U244/AR244</f>
        <v>#VALUE!</v>
      </c>
      <c r="AD244" s="38" t="e">
        <f t="shared" si="36"/>
        <v>#VALUE!</v>
      </c>
      <c r="AE244" s="33">
        <v>45383</v>
      </c>
      <c r="AF244" s="33"/>
      <c r="AG244" s="33"/>
      <c r="AH244" s="33">
        <v>45413</v>
      </c>
      <c r="AI244" s="33"/>
      <c r="AJ244" s="42"/>
      <c r="AK244" s="37" t="s">
        <v>1616</v>
      </c>
      <c r="AL244" s="37" t="s">
        <v>1617</v>
      </c>
      <c r="AM244" s="37" t="s">
        <v>1618</v>
      </c>
      <c r="AN244" s="37" t="s">
        <v>50</v>
      </c>
      <c r="AO244" s="43">
        <v>100</v>
      </c>
      <c r="AP244" s="35">
        <v>0</v>
      </c>
      <c r="AQ244" s="35" t="s">
        <v>441</v>
      </c>
      <c r="AR244" s="48" t="s">
        <v>1619</v>
      </c>
      <c r="AS244" s="37" t="s">
        <v>52</v>
      </c>
    </row>
    <row r="245" spans="1:45" ht="48.75" customHeight="1" x14ac:dyDescent="0.25">
      <c r="A245" s="32" t="s">
        <v>1620</v>
      </c>
      <c r="B245" s="56">
        <v>45313</v>
      </c>
      <c r="C245" s="37" t="s">
        <v>486</v>
      </c>
      <c r="D245" s="36" t="s">
        <v>1621</v>
      </c>
      <c r="E245" s="1" t="s">
        <v>1622</v>
      </c>
      <c r="F245" s="33">
        <v>45334</v>
      </c>
      <c r="G245" s="35" t="s">
        <v>1623</v>
      </c>
      <c r="H245" s="37" t="s">
        <v>291</v>
      </c>
      <c r="I245" s="37" t="s">
        <v>1624</v>
      </c>
      <c r="J245" s="57">
        <v>113308.8</v>
      </c>
      <c r="K245" s="40">
        <f>((J245-M245)/J245)*100</f>
        <v>0</v>
      </c>
      <c r="L245" s="41">
        <f>J245-M245</f>
        <v>0</v>
      </c>
      <c r="M245" s="38">
        <v>113308.8</v>
      </c>
      <c r="N245" s="41">
        <f>J245-O245</f>
        <v>0</v>
      </c>
      <c r="O245" s="38">
        <v>113308.8</v>
      </c>
      <c r="P245" s="27">
        <f t="shared" si="38"/>
        <v>113308.8</v>
      </c>
      <c r="Q245" s="27">
        <f t="shared" si="37"/>
        <v>113308.8</v>
      </c>
      <c r="R245" s="27">
        <f>Q245/U245</f>
        <v>6.38</v>
      </c>
      <c r="S245" s="38">
        <f>Q245/U245</f>
        <v>6.38</v>
      </c>
      <c r="T245" s="38">
        <f>S245*AR245</f>
        <v>382.8</v>
      </c>
      <c r="U245" s="38">
        <f t="shared" si="35"/>
        <v>17760</v>
      </c>
      <c r="V245" s="38">
        <v>17760</v>
      </c>
      <c r="W245" s="38">
        <v>0</v>
      </c>
      <c r="X245" s="38">
        <v>0</v>
      </c>
      <c r="Y245" s="38">
        <v>0</v>
      </c>
      <c r="Z245" s="38">
        <f t="shared" si="32"/>
        <v>0</v>
      </c>
      <c r="AA245" s="38">
        <v>0</v>
      </c>
      <c r="AB245" s="38">
        <f t="shared" si="33"/>
        <v>0</v>
      </c>
      <c r="AC245" s="38">
        <f>U245/AR245</f>
        <v>296</v>
      </c>
      <c r="AD245" s="38">
        <f t="shared" si="36"/>
        <v>296</v>
      </c>
      <c r="AE245" s="33">
        <v>45366</v>
      </c>
      <c r="AF245" s="33"/>
      <c r="AG245" s="33"/>
      <c r="AH245" s="33">
        <v>45397</v>
      </c>
      <c r="AI245" s="33"/>
      <c r="AJ245" s="42"/>
      <c r="AK245" s="37" t="s">
        <v>1625</v>
      </c>
      <c r="AL245" s="37" t="s">
        <v>1626</v>
      </c>
      <c r="AM245" s="37" t="s">
        <v>1627</v>
      </c>
      <c r="AN245" s="37" t="s">
        <v>50</v>
      </c>
      <c r="AO245" s="43">
        <v>100</v>
      </c>
      <c r="AP245" s="35">
        <v>0</v>
      </c>
      <c r="AQ245" s="35" t="s">
        <v>441</v>
      </c>
      <c r="AR245" s="44">
        <v>60</v>
      </c>
      <c r="AS245" s="37" t="s">
        <v>176</v>
      </c>
    </row>
    <row r="246" spans="1:45" ht="48.75" customHeight="1" x14ac:dyDescent="0.25">
      <c r="A246" s="32" t="s">
        <v>1628</v>
      </c>
      <c r="B246" s="56">
        <v>45313</v>
      </c>
      <c r="C246" s="37" t="s">
        <v>486</v>
      </c>
      <c r="D246" s="36" t="s">
        <v>485</v>
      </c>
      <c r="E246" s="1" t="s">
        <v>1629</v>
      </c>
      <c r="F246" s="33" t="s">
        <v>485</v>
      </c>
      <c r="G246" s="35" t="s">
        <v>485</v>
      </c>
      <c r="H246" s="37" t="s">
        <v>485</v>
      </c>
      <c r="I246" s="37" t="s">
        <v>1630</v>
      </c>
      <c r="J246" s="57">
        <v>6380774.4000000004</v>
      </c>
      <c r="K246" s="40">
        <f>((J246-M246)/J246)*100</f>
        <v>100</v>
      </c>
      <c r="L246" s="41">
        <f>J246-M246</f>
        <v>6380774.4000000004</v>
      </c>
      <c r="M246" s="38"/>
      <c r="N246" s="41">
        <f>J246-O246</f>
        <v>6380774.4000000004</v>
      </c>
      <c r="O246" s="38">
        <v>0</v>
      </c>
      <c r="P246" s="27">
        <f t="shared" si="38"/>
        <v>0</v>
      </c>
      <c r="Q246" s="27">
        <f t="shared" si="37"/>
        <v>0</v>
      </c>
      <c r="R246" s="27" t="e">
        <f>Q246/U246</f>
        <v>#DIV/0!</v>
      </c>
      <c r="S246" s="38" t="e">
        <f>Q246/U246</f>
        <v>#DIV/0!</v>
      </c>
      <c r="T246" s="38" t="e">
        <f>S246*AR246</f>
        <v>#DIV/0!</v>
      </c>
      <c r="U246" s="38">
        <f t="shared" si="35"/>
        <v>0</v>
      </c>
      <c r="V246" s="38">
        <v>0</v>
      </c>
      <c r="W246" s="38">
        <v>0</v>
      </c>
      <c r="X246" s="38">
        <v>0</v>
      </c>
      <c r="Y246" s="38"/>
      <c r="Z246" s="38" t="e">
        <f t="shared" si="32"/>
        <v>#DIV/0!</v>
      </c>
      <c r="AA246" s="38"/>
      <c r="AB246" s="38" t="e">
        <f t="shared" si="33"/>
        <v>#DIV/0!</v>
      </c>
      <c r="AC246" s="38" t="e">
        <f>U246/AR246</f>
        <v>#DIV/0!</v>
      </c>
      <c r="AD246" s="38" t="e">
        <f t="shared" si="36"/>
        <v>#DIV/0!</v>
      </c>
      <c r="AE246" s="33">
        <v>45382</v>
      </c>
      <c r="AF246" s="33">
        <v>45473</v>
      </c>
      <c r="AG246" s="33"/>
      <c r="AH246" s="33"/>
      <c r="AI246" s="33"/>
      <c r="AJ246" s="42"/>
      <c r="AK246" s="37"/>
      <c r="AL246" s="37"/>
      <c r="AM246" s="37"/>
      <c r="AN246" s="37"/>
      <c r="AO246" s="43"/>
      <c r="AP246" s="35"/>
      <c r="AQ246" s="35"/>
      <c r="AR246" s="44"/>
      <c r="AS246" s="37" t="s">
        <v>485</v>
      </c>
    </row>
    <row r="247" spans="1:45" ht="48.75" customHeight="1" x14ac:dyDescent="0.25">
      <c r="A247" s="32" t="s">
        <v>1631</v>
      </c>
      <c r="B247" s="56">
        <v>45313</v>
      </c>
      <c r="C247" s="37" t="s">
        <v>486</v>
      </c>
      <c r="D247" s="36" t="s">
        <v>1632</v>
      </c>
      <c r="E247" s="1" t="s">
        <v>1633</v>
      </c>
      <c r="F247" s="33">
        <v>45334</v>
      </c>
      <c r="G247" s="35" t="s">
        <v>1634</v>
      </c>
      <c r="H247" s="37" t="s">
        <v>273</v>
      </c>
      <c r="I247" s="37" t="s">
        <v>1635</v>
      </c>
      <c r="J247" s="57">
        <v>1209780</v>
      </c>
      <c r="K247" s="40">
        <f>((J247-M247)/J247)*100</f>
        <v>0</v>
      </c>
      <c r="L247" s="41">
        <f>J247-M247</f>
        <v>0</v>
      </c>
      <c r="M247" s="38">
        <v>1209780</v>
      </c>
      <c r="N247" s="41">
        <f>J247-O247</f>
        <v>0</v>
      </c>
      <c r="O247" s="38">
        <v>1209780</v>
      </c>
      <c r="P247" s="27">
        <f t="shared" si="38"/>
        <v>1209780</v>
      </c>
      <c r="Q247" s="27">
        <f t="shared" si="37"/>
        <v>1209780</v>
      </c>
      <c r="R247" s="27">
        <f>Q247/U247</f>
        <v>336.05</v>
      </c>
      <c r="S247" s="38">
        <f>Q247/U247</f>
        <v>336.05</v>
      </c>
      <c r="T247" s="38">
        <f>S247*AR247</f>
        <v>20163</v>
      </c>
      <c r="U247" s="38">
        <f t="shared" si="35"/>
        <v>3600</v>
      </c>
      <c r="V247" s="38">
        <v>3600</v>
      </c>
      <c r="W247" s="38">
        <v>0</v>
      </c>
      <c r="X247" s="38">
        <v>0</v>
      </c>
      <c r="Y247" s="38">
        <v>0</v>
      </c>
      <c r="Z247" s="38">
        <f t="shared" si="32"/>
        <v>0</v>
      </c>
      <c r="AA247" s="38">
        <v>0</v>
      </c>
      <c r="AB247" s="38">
        <f t="shared" si="33"/>
        <v>0</v>
      </c>
      <c r="AC247" s="38">
        <f>U247/AR247</f>
        <v>60</v>
      </c>
      <c r="AD247" s="38">
        <f t="shared" si="36"/>
        <v>60</v>
      </c>
      <c r="AE247" s="33">
        <v>45366</v>
      </c>
      <c r="AF247" s="33"/>
      <c r="AG247" s="33"/>
      <c r="AH247" s="33">
        <v>45397</v>
      </c>
      <c r="AI247" s="33"/>
      <c r="AJ247" s="42"/>
      <c r="AK247" s="37" t="s">
        <v>1572</v>
      </c>
      <c r="AL247" s="37" t="s">
        <v>1636</v>
      </c>
      <c r="AM247" s="37" t="s">
        <v>1574</v>
      </c>
      <c r="AN247" s="37" t="s">
        <v>174</v>
      </c>
      <c r="AO247" s="43">
        <v>0</v>
      </c>
      <c r="AP247" s="35">
        <v>100</v>
      </c>
      <c r="AQ247" s="35" t="s">
        <v>441</v>
      </c>
      <c r="AR247" s="44">
        <v>60</v>
      </c>
      <c r="AS247" s="37" t="s">
        <v>52</v>
      </c>
    </row>
    <row r="248" spans="1:45" ht="48.75" customHeight="1" x14ac:dyDescent="0.25">
      <c r="A248" s="32" t="s">
        <v>1637</v>
      </c>
      <c r="B248" s="56">
        <v>45313</v>
      </c>
      <c r="C248" s="37">
        <v>545</v>
      </c>
      <c r="D248" s="36" t="s">
        <v>485</v>
      </c>
      <c r="E248" s="1" t="s">
        <v>1638</v>
      </c>
      <c r="F248" s="33" t="s">
        <v>485</v>
      </c>
      <c r="G248" s="35" t="s">
        <v>485</v>
      </c>
      <c r="H248" s="37" t="s">
        <v>485</v>
      </c>
      <c r="I248" s="35" t="s">
        <v>644</v>
      </c>
      <c r="J248" s="57">
        <v>11343667.5</v>
      </c>
      <c r="K248" s="40">
        <f>((J248-M248)/J248)*100</f>
        <v>100</v>
      </c>
      <c r="L248" s="41">
        <f>J248-M248</f>
        <v>11343667.5</v>
      </c>
      <c r="M248" s="38"/>
      <c r="N248" s="41">
        <f>J248-O248</f>
        <v>11343667.5</v>
      </c>
      <c r="O248" s="38">
        <v>0</v>
      </c>
      <c r="P248" s="27">
        <f t="shared" si="38"/>
        <v>0</v>
      </c>
      <c r="Q248" s="27">
        <f t="shared" si="37"/>
        <v>0</v>
      </c>
      <c r="R248" s="27" t="e">
        <f>Q248/U248</f>
        <v>#DIV/0!</v>
      </c>
      <c r="S248" s="38" t="e">
        <f>Q248/U248</f>
        <v>#DIV/0!</v>
      </c>
      <c r="T248" s="38" t="e">
        <f>S248*AR248</f>
        <v>#DIV/0!</v>
      </c>
      <c r="U248" s="38">
        <f t="shared" si="35"/>
        <v>0</v>
      </c>
      <c r="V248" s="38">
        <v>0</v>
      </c>
      <c r="W248" s="38">
        <v>0</v>
      </c>
      <c r="X248" s="38">
        <v>0</v>
      </c>
      <c r="Y248" s="38"/>
      <c r="Z248" s="38" t="e">
        <f t="shared" si="32"/>
        <v>#DIV/0!</v>
      </c>
      <c r="AA248" s="38"/>
      <c r="AB248" s="38" t="e">
        <f t="shared" si="33"/>
        <v>#DIV/0!</v>
      </c>
      <c r="AC248" s="38" t="e">
        <f>U248/AR248</f>
        <v>#DIV/0!</v>
      </c>
      <c r="AD248" s="38" t="e">
        <f t="shared" si="36"/>
        <v>#DIV/0!</v>
      </c>
      <c r="AE248" s="33">
        <v>45383</v>
      </c>
      <c r="AF248" s="33"/>
      <c r="AG248" s="33"/>
      <c r="AH248" s="33"/>
      <c r="AI248" s="33"/>
      <c r="AJ248" s="42"/>
      <c r="AK248" s="37"/>
      <c r="AL248" s="37"/>
      <c r="AM248" s="37"/>
      <c r="AN248" s="37"/>
      <c r="AO248" s="43"/>
      <c r="AP248" s="35"/>
      <c r="AQ248" s="35"/>
      <c r="AR248" s="44"/>
      <c r="AS248" s="37" t="s">
        <v>485</v>
      </c>
    </row>
    <row r="249" spans="1:45" ht="48.75" customHeight="1" x14ac:dyDescent="0.25">
      <c r="A249" s="32" t="s">
        <v>1639</v>
      </c>
      <c r="B249" s="56">
        <v>45313</v>
      </c>
      <c r="C249" s="37" t="s">
        <v>486</v>
      </c>
      <c r="D249" s="36" t="s">
        <v>485</v>
      </c>
      <c r="E249" s="1" t="s">
        <v>1640</v>
      </c>
      <c r="F249" s="33" t="s">
        <v>485</v>
      </c>
      <c r="G249" s="35" t="s">
        <v>485</v>
      </c>
      <c r="H249" s="37" t="s">
        <v>485</v>
      </c>
      <c r="I249" s="37" t="s">
        <v>1641</v>
      </c>
      <c r="J249" s="57">
        <v>64033200</v>
      </c>
      <c r="K249" s="40">
        <f>((J249-M249)/J249)*100</f>
        <v>100</v>
      </c>
      <c r="L249" s="41">
        <f>J249-M249</f>
        <v>64033200</v>
      </c>
      <c r="M249" s="38"/>
      <c r="N249" s="41">
        <f>J249-O249</f>
        <v>64033200</v>
      </c>
      <c r="O249" s="38">
        <v>0</v>
      </c>
      <c r="P249" s="27">
        <f t="shared" si="38"/>
        <v>0</v>
      </c>
      <c r="Q249" s="27">
        <f t="shared" si="37"/>
        <v>0</v>
      </c>
      <c r="R249" s="27" t="e">
        <f>Q249/U249</f>
        <v>#DIV/0!</v>
      </c>
      <c r="S249" s="38" t="e">
        <f>Q249/U249</f>
        <v>#DIV/0!</v>
      </c>
      <c r="T249" s="38" t="e">
        <f>S249*AR249</f>
        <v>#DIV/0!</v>
      </c>
      <c r="U249" s="38">
        <f t="shared" si="35"/>
        <v>0</v>
      </c>
      <c r="V249" s="38">
        <v>0</v>
      </c>
      <c r="W249" s="38">
        <v>0</v>
      </c>
      <c r="X249" s="38">
        <v>0</v>
      </c>
      <c r="Y249" s="38"/>
      <c r="Z249" s="38" t="e">
        <f t="shared" si="32"/>
        <v>#DIV/0!</v>
      </c>
      <c r="AA249" s="38"/>
      <c r="AB249" s="38" t="e">
        <f t="shared" si="33"/>
        <v>#DIV/0!</v>
      </c>
      <c r="AC249" s="38" t="e">
        <f>U249/AR249</f>
        <v>#DIV/0!</v>
      </c>
      <c r="AD249" s="38" t="e">
        <f t="shared" si="36"/>
        <v>#DIV/0!</v>
      </c>
      <c r="AE249" s="33">
        <v>45383</v>
      </c>
      <c r="AF249" s="33"/>
      <c r="AG249" s="33"/>
      <c r="AH249" s="33"/>
      <c r="AI249" s="33"/>
      <c r="AJ249" s="42"/>
      <c r="AK249" s="37"/>
      <c r="AL249" s="37"/>
      <c r="AM249" s="37"/>
      <c r="AN249" s="37"/>
      <c r="AO249" s="43"/>
      <c r="AP249" s="35"/>
      <c r="AQ249" s="35"/>
      <c r="AR249" s="44"/>
      <c r="AS249" s="37" t="s">
        <v>485</v>
      </c>
    </row>
    <row r="250" spans="1:45" ht="48.75" customHeight="1" x14ac:dyDescent="0.25">
      <c r="A250" s="32" t="s">
        <v>1642</v>
      </c>
      <c r="B250" s="56">
        <v>45315</v>
      </c>
      <c r="C250" s="37">
        <v>545</v>
      </c>
      <c r="D250" s="36" t="s">
        <v>1643</v>
      </c>
      <c r="E250" s="1" t="s">
        <v>1644</v>
      </c>
      <c r="F250" s="33">
        <v>45348</v>
      </c>
      <c r="G250" s="35" t="s">
        <v>1645</v>
      </c>
      <c r="H250" s="37" t="s">
        <v>169</v>
      </c>
      <c r="I250" s="37" t="s">
        <v>393</v>
      </c>
      <c r="J250" s="57">
        <v>395718042.30000001</v>
      </c>
      <c r="K250" s="40">
        <f>((J250-M250)/J250)*100</f>
        <v>0</v>
      </c>
      <c r="L250" s="41">
        <f>J250-M250</f>
        <v>0</v>
      </c>
      <c r="M250" s="38">
        <v>395718042.30000001</v>
      </c>
      <c r="N250" s="41">
        <f>J250-O250</f>
        <v>0</v>
      </c>
      <c r="O250" s="38">
        <v>395718042.30000001</v>
      </c>
      <c r="P250" s="27">
        <v>514201135.19999999</v>
      </c>
      <c r="Q250" s="27">
        <f t="shared" si="37"/>
        <v>514201135.19999999</v>
      </c>
      <c r="R250" s="27">
        <f>Q250/U250</f>
        <v>25813.309999999998</v>
      </c>
      <c r="S250" s="38">
        <f>Q250/U250</f>
        <v>25813.309999999998</v>
      </c>
      <c r="T250" s="38">
        <f>S250*AR250</f>
        <v>774399.29999999993</v>
      </c>
      <c r="U250" s="38">
        <f t="shared" si="35"/>
        <v>19920</v>
      </c>
      <c r="V250" s="38">
        <v>19920</v>
      </c>
      <c r="W250" s="38">
        <v>0</v>
      </c>
      <c r="X250" s="38">
        <v>0</v>
      </c>
      <c r="Y250" s="38">
        <v>0</v>
      </c>
      <c r="Z250" s="38">
        <f t="shared" si="32"/>
        <v>0</v>
      </c>
      <c r="AA250" s="38">
        <v>0</v>
      </c>
      <c r="AB250" s="38">
        <f t="shared" si="33"/>
        <v>0</v>
      </c>
      <c r="AC250" s="38">
        <f>U250/AR250</f>
        <v>664</v>
      </c>
      <c r="AD250" s="38">
        <f t="shared" si="36"/>
        <v>664</v>
      </c>
      <c r="AE250" s="33">
        <v>45383</v>
      </c>
      <c r="AF250" s="33"/>
      <c r="AG250" s="33"/>
      <c r="AH250" s="33">
        <v>45413</v>
      </c>
      <c r="AI250" s="33"/>
      <c r="AJ250" s="42"/>
      <c r="AK250" s="37" t="s">
        <v>394</v>
      </c>
      <c r="AL250" s="37" t="s">
        <v>395</v>
      </c>
      <c r="AM250" s="37" t="s">
        <v>396</v>
      </c>
      <c r="AN250" s="37" t="s">
        <v>397</v>
      </c>
      <c r="AO250" s="43">
        <v>0</v>
      </c>
      <c r="AP250" s="35">
        <v>100</v>
      </c>
      <c r="AQ250" s="35" t="s">
        <v>398</v>
      </c>
      <c r="AR250" s="44">
        <v>30</v>
      </c>
      <c r="AS250" s="37" t="s">
        <v>176</v>
      </c>
    </row>
    <row r="251" spans="1:45" ht="48.75" customHeight="1" x14ac:dyDescent="0.25">
      <c r="A251" s="32" t="s">
        <v>1646</v>
      </c>
      <c r="B251" s="56">
        <v>45315</v>
      </c>
      <c r="C251" s="37">
        <v>545</v>
      </c>
      <c r="D251" s="36" t="s">
        <v>1647</v>
      </c>
      <c r="E251" s="1" t="s">
        <v>1648</v>
      </c>
      <c r="F251" s="33">
        <v>45341</v>
      </c>
      <c r="G251" s="35" t="s">
        <v>1649</v>
      </c>
      <c r="H251" s="37" t="s">
        <v>169</v>
      </c>
      <c r="I251" s="37" t="s">
        <v>467</v>
      </c>
      <c r="J251" s="57">
        <v>32524846.199999999</v>
      </c>
      <c r="K251" s="40">
        <f>((J251-M251)/J251)*100</f>
        <v>0</v>
      </c>
      <c r="L251" s="41">
        <f>J251-M251</f>
        <v>0</v>
      </c>
      <c r="M251" s="38">
        <v>32524846.199999999</v>
      </c>
      <c r="N251" s="41">
        <f>J251-O251</f>
        <v>0</v>
      </c>
      <c r="O251" s="38">
        <v>32524846.199999999</v>
      </c>
      <c r="P251" s="27">
        <v>42204859.950000003</v>
      </c>
      <c r="Q251" s="27">
        <v>42204859.950000003</v>
      </c>
      <c r="R251" s="27">
        <f>Q251/U251</f>
        <v>25813.370000000003</v>
      </c>
      <c r="S251" s="38">
        <f>Q251/U251</f>
        <v>25813.370000000003</v>
      </c>
      <c r="T251" s="38">
        <f>S251*AR251</f>
        <v>387200.55000000005</v>
      </c>
      <c r="U251" s="38">
        <f t="shared" si="35"/>
        <v>1635</v>
      </c>
      <c r="V251" s="38">
        <v>1635</v>
      </c>
      <c r="W251" s="38">
        <v>0</v>
      </c>
      <c r="X251" s="38">
        <v>0</v>
      </c>
      <c r="Y251" s="38"/>
      <c r="Z251" s="38">
        <f t="shared" si="32"/>
        <v>0</v>
      </c>
      <c r="AA251" s="38"/>
      <c r="AB251" s="38">
        <f t="shared" si="33"/>
        <v>0</v>
      </c>
      <c r="AC251" s="38">
        <f>U251/AR251</f>
        <v>109</v>
      </c>
      <c r="AD251" s="38">
        <f t="shared" si="36"/>
        <v>109</v>
      </c>
      <c r="AE251" s="33">
        <v>45383</v>
      </c>
      <c r="AF251" s="33"/>
      <c r="AG251" s="33"/>
      <c r="AH251" s="33">
        <v>45413</v>
      </c>
      <c r="AI251" s="33"/>
      <c r="AJ251" s="42"/>
      <c r="AK251" s="37" t="s">
        <v>394</v>
      </c>
      <c r="AL251" s="37" t="s">
        <v>394</v>
      </c>
      <c r="AM251" s="37" t="s">
        <v>394</v>
      </c>
      <c r="AN251" s="37" t="s">
        <v>397</v>
      </c>
      <c r="AO251" s="43">
        <v>0</v>
      </c>
      <c r="AP251" s="35">
        <v>100</v>
      </c>
      <c r="AQ251" s="35" t="s">
        <v>398</v>
      </c>
      <c r="AR251" s="44">
        <v>15</v>
      </c>
      <c r="AS251" s="37" t="s">
        <v>176</v>
      </c>
    </row>
    <row r="252" spans="1:45" ht="48.75" customHeight="1" x14ac:dyDescent="0.25">
      <c r="A252" s="32" t="s">
        <v>1650</v>
      </c>
      <c r="B252" s="56">
        <v>45315</v>
      </c>
      <c r="C252" s="37">
        <v>545</v>
      </c>
      <c r="D252" s="36" t="s">
        <v>1651</v>
      </c>
      <c r="E252" s="1" t="s">
        <v>1652</v>
      </c>
      <c r="F252" s="33">
        <v>45335</v>
      </c>
      <c r="G252" s="35" t="s">
        <v>1653</v>
      </c>
      <c r="H252" s="37" t="s">
        <v>411</v>
      </c>
      <c r="I252" s="37" t="s">
        <v>1654</v>
      </c>
      <c r="J252" s="57">
        <v>80605931.120000005</v>
      </c>
      <c r="K252" s="40">
        <f>((J252-M252)/J252)*100</f>
        <v>0</v>
      </c>
      <c r="L252" s="41">
        <f>J252-M252</f>
        <v>0</v>
      </c>
      <c r="M252" s="38">
        <v>80605931.120000005</v>
      </c>
      <c r="N252" s="41">
        <f>J252-O252</f>
        <v>0</v>
      </c>
      <c r="O252" s="38">
        <v>80605931.120000005</v>
      </c>
      <c r="P252" s="27">
        <f t="shared" ref="P252:Q267" si="39">O252</f>
        <v>80605931.120000005</v>
      </c>
      <c r="Q252" s="27">
        <f t="shared" si="39"/>
        <v>80605931.120000005</v>
      </c>
      <c r="R252" s="27">
        <f>Q252/U252</f>
        <v>333082.36000000004</v>
      </c>
      <c r="S252" s="38">
        <f>Q252/U252</f>
        <v>333082.36000000004</v>
      </c>
      <c r="T252" s="38">
        <f>S252*AR252</f>
        <v>666164.72000000009</v>
      </c>
      <c r="U252" s="38">
        <f t="shared" si="35"/>
        <v>242</v>
      </c>
      <c r="V252" s="38">
        <v>242</v>
      </c>
      <c r="W252" s="38">
        <v>0</v>
      </c>
      <c r="X252" s="38">
        <v>0</v>
      </c>
      <c r="Y252" s="38">
        <v>0</v>
      </c>
      <c r="Z252" s="38">
        <f t="shared" si="32"/>
        <v>0</v>
      </c>
      <c r="AA252" s="38">
        <v>0</v>
      </c>
      <c r="AB252" s="38">
        <f t="shared" si="33"/>
        <v>0</v>
      </c>
      <c r="AC252" s="38">
        <f>U252/AR252</f>
        <v>121</v>
      </c>
      <c r="AD252" s="38">
        <f t="shared" si="36"/>
        <v>121</v>
      </c>
      <c r="AE252" s="33">
        <v>45352</v>
      </c>
      <c r="AF252" s="33"/>
      <c r="AG252" s="33"/>
      <c r="AH252" s="33">
        <v>45383</v>
      </c>
      <c r="AI252" s="33"/>
      <c r="AJ252" s="42"/>
      <c r="AK252" s="37" t="s">
        <v>1655</v>
      </c>
      <c r="AL252" s="37" t="s">
        <v>1656</v>
      </c>
      <c r="AM252" s="37" t="s">
        <v>1657</v>
      </c>
      <c r="AN252" s="37" t="s">
        <v>352</v>
      </c>
      <c r="AO252" s="43">
        <v>0</v>
      </c>
      <c r="AP252" s="35">
        <v>100</v>
      </c>
      <c r="AQ252" s="35" t="s">
        <v>398</v>
      </c>
      <c r="AR252" s="44">
        <v>2</v>
      </c>
      <c r="AS252" s="37" t="s">
        <v>176</v>
      </c>
    </row>
    <row r="253" spans="1:45" ht="48.75" customHeight="1" x14ac:dyDescent="0.25">
      <c r="A253" s="32" t="s">
        <v>1658</v>
      </c>
      <c r="B253" s="56">
        <v>45315</v>
      </c>
      <c r="C253" s="37" t="s">
        <v>486</v>
      </c>
      <c r="D253" s="36" t="s">
        <v>1659</v>
      </c>
      <c r="E253" s="1" t="s">
        <v>1660</v>
      </c>
      <c r="F253" s="33">
        <v>45335</v>
      </c>
      <c r="G253" s="35" t="s">
        <v>1661</v>
      </c>
      <c r="H253" s="37" t="s">
        <v>138</v>
      </c>
      <c r="I253" s="37" t="s">
        <v>1662</v>
      </c>
      <c r="J253" s="57">
        <v>13141958.4</v>
      </c>
      <c r="K253" s="40">
        <f>((J253-M253)/J253)*100</f>
        <v>0</v>
      </c>
      <c r="L253" s="41">
        <f>J253-M253</f>
        <v>0</v>
      </c>
      <c r="M253" s="38">
        <v>13141958.4</v>
      </c>
      <c r="N253" s="41">
        <f>J253-O253</f>
        <v>0</v>
      </c>
      <c r="O253" s="38">
        <v>13141958.4</v>
      </c>
      <c r="P253" s="27">
        <f t="shared" si="39"/>
        <v>13141958.4</v>
      </c>
      <c r="Q253" s="27">
        <f t="shared" si="39"/>
        <v>13141958.4</v>
      </c>
      <c r="R253" s="27">
        <f>Q253/U253</f>
        <v>54.54</v>
      </c>
      <c r="S253" s="38">
        <f>Q253/U253</f>
        <v>54.54</v>
      </c>
      <c r="T253" s="38">
        <f>S253*AR253</f>
        <v>3272.4</v>
      </c>
      <c r="U253" s="38">
        <f t="shared" si="35"/>
        <v>240960</v>
      </c>
      <c r="V253" s="38">
        <v>178920</v>
      </c>
      <c r="W253" s="38">
        <v>62040</v>
      </c>
      <c r="X253" s="38">
        <v>0</v>
      </c>
      <c r="Y253" s="38">
        <v>0</v>
      </c>
      <c r="Z253" s="38">
        <f t="shared" si="32"/>
        <v>0</v>
      </c>
      <c r="AA253" s="38">
        <v>0</v>
      </c>
      <c r="AB253" s="38">
        <f t="shared" si="33"/>
        <v>0</v>
      </c>
      <c r="AC253" s="38">
        <f>U253/AR253</f>
        <v>4016</v>
      </c>
      <c r="AD253" s="38">
        <f t="shared" si="36"/>
        <v>4016</v>
      </c>
      <c r="AE253" s="33">
        <v>45444</v>
      </c>
      <c r="AF253" s="33">
        <v>45505</v>
      </c>
      <c r="AG253" s="33"/>
      <c r="AH253" s="33">
        <v>45474</v>
      </c>
      <c r="AI253" s="33">
        <v>45536</v>
      </c>
      <c r="AJ253" s="42"/>
      <c r="AK253" s="37" t="s">
        <v>1663</v>
      </c>
      <c r="AL253" s="37" t="s">
        <v>1664</v>
      </c>
      <c r="AM253" s="37" t="s">
        <v>1665</v>
      </c>
      <c r="AN253" s="37" t="s">
        <v>174</v>
      </c>
      <c r="AO253" s="43">
        <v>0</v>
      </c>
      <c r="AP253" s="35">
        <v>100</v>
      </c>
      <c r="AQ253" s="35" t="s">
        <v>441</v>
      </c>
      <c r="AR253" s="44">
        <v>60</v>
      </c>
      <c r="AS253" s="37" t="s">
        <v>380</v>
      </c>
    </row>
    <row r="254" spans="1:45" ht="48.75" customHeight="1" x14ac:dyDescent="0.25">
      <c r="A254" s="32" t="s">
        <v>1666</v>
      </c>
      <c r="B254" s="56">
        <v>45315</v>
      </c>
      <c r="C254" s="37" t="s">
        <v>486</v>
      </c>
      <c r="D254" s="36" t="s">
        <v>1667</v>
      </c>
      <c r="E254" s="1" t="s">
        <v>1668</v>
      </c>
      <c r="F254" s="33">
        <v>45348</v>
      </c>
      <c r="G254" s="35" t="s">
        <v>1669</v>
      </c>
      <c r="H254" s="37" t="s">
        <v>138</v>
      </c>
      <c r="I254" s="37" t="s">
        <v>1670</v>
      </c>
      <c r="J254" s="57">
        <v>1645354403.7</v>
      </c>
      <c r="K254" s="40">
        <f>((J254-M254)/J254)*100</f>
        <v>0</v>
      </c>
      <c r="L254" s="41">
        <f>J254-M254</f>
        <v>0</v>
      </c>
      <c r="M254" s="57">
        <v>1645354403.7</v>
      </c>
      <c r="N254" s="41">
        <f>J254-O254</f>
        <v>0</v>
      </c>
      <c r="O254" s="57">
        <v>1645354403.7</v>
      </c>
      <c r="P254" s="27">
        <f t="shared" si="39"/>
        <v>1645354403.7</v>
      </c>
      <c r="Q254" s="27">
        <f t="shared" si="39"/>
        <v>1645354403.7</v>
      </c>
      <c r="R254" s="27">
        <f>Q254/U254</f>
        <v>37.67</v>
      </c>
      <c r="S254" s="38">
        <f>Q254/U254</f>
        <v>37.67</v>
      </c>
      <c r="T254" s="38">
        <f>S254*AR254</f>
        <v>4520.4000000000005</v>
      </c>
      <c r="U254" s="38">
        <f t="shared" si="35"/>
        <v>43678110</v>
      </c>
      <c r="V254" s="38">
        <v>21843330</v>
      </c>
      <c r="W254" s="38">
        <v>21834780</v>
      </c>
      <c r="X254" s="38">
        <v>0</v>
      </c>
      <c r="Y254" s="38">
        <v>0</v>
      </c>
      <c r="Z254" s="38">
        <f t="shared" si="32"/>
        <v>0</v>
      </c>
      <c r="AA254" s="38">
        <v>0</v>
      </c>
      <c r="AB254" s="38">
        <f t="shared" si="33"/>
        <v>0</v>
      </c>
      <c r="AC254" s="38">
        <f>U254/AR254</f>
        <v>363984.25</v>
      </c>
      <c r="AD254" s="38">
        <f t="shared" si="36"/>
        <v>363985</v>
      </c>
      <c r="AE254" s="33">
        <v>45352</v>
      </c>
      <c r="AF254" s="33">
        <v>45474</v>
      </c>
      <c r="AG254" s="33"/>
      <c r="AH254" s="33"/>
      <c r="AI254" s="33">
        <v>45383</v>
      </c>
      <c r="AJ254" s="42">
        <v>45505</v>
      </c>
      <c r="AK254" s="37" t="s">
        <v>1671</v>
      </c>
      <c r="AL254" s="37" t="s">
        <v>1672</v>
      </c>
      <c r="AM254" s="37" t="s">
        <v>1673</v>
      </c>
      <c r="AN254" s="37" t="s">
        <v>50</v>
      </c>
      <c r="AO254" s="43">
        <v>100</v>
      </c>
      <c r="AP254" s="35">
        <v>0</v>
      </c>
      <c r="AQ254" s="35" t="s">
        <v>441</v>
      </c>
      <c r="AR254" s="44">
        <v>120</v>
      </c>
      <c r="AS254" s="37" t="s">
        <v>52</v>
      </c>
    </row>
    <row r="255" spans="1:45" ht="48.75" customHeight="1" x14ac:dyDescent="0.25">
      <c r="A255" s="32" t="s">
        <v>1674</v>
      </c>
      <c r="B255" s="56">
        <v>45315</v>
      </c>
      <c r="C255" s="37" t="s">
        <v>486</v>
      </c>
      <c r="D255" s="36" t="s">
        <v>485</v>
      </c>
      <c r="E255" s="1" t="s">
        <v>1675</v>
      </c>
      <c r="F255" s="33" t="s">
        <v>485</v>
      </c>
      <c r="G255" s="35" t="s">
        <v>485</v>
      </c>
      <c r="H255" s="37" t="s">
        <v>485</v>
      </c>
      <c r="I255" s="37" t="s">
        <v>1676</v>
      </c>
      <c r="J255" s="57">
        <v>25002721.199999999</v>
      </c>
      <c r="K255" s="40">
        <f>((J255-M255)/J255)*100</f>
        <v>100</v>
      </c>
      <c r="L255" s="41">
        <f>J255-M255</f>
        <v>25002721.199999999</v>
      </c>
      <c r="M255" s="38"/>
      <c r="N255" s="41">
        <f>J255-O255</f>
        <v>25002721.199999999</v>
      </c>
      <c r="O255" s="38">
        <v>0</v>
      </c>
      <c r="P255" s="27">
        <f t="shared" si="39"/>
        <v>0</v>
      </c>
      <c r="Q255" s="27">
        <f t="shared" si="39"/>
        <v>0</v>
      </c>
      <c r="R255" s="27" t="e">
        <f>Q255/U255</f>
        <v>#DIV/0!</v>
      </c>
      <c r="S255" s="38" t="e">
        <f>Q255/U255</f>
        <v>#DIV/0!</v>
      </c>
      <c r="T255" s="38" t="e">
        <f>S255*AR255</f>
        <v>#DIV/0!</v>
      </c>
      <c r="U255" s="38">
        <f t="shared" si="35"/>
        <v>0</v>
      </c>
      <c r="V255" s="38">
        <v>0</v>
      </c>
      <c r="W255" s="38">
        <v>0</v>
      </c>
      <c r="X255" s="38">
        <v>0</v>
      </c>
      <c r="Y255" s="38"/>
      <c r="Z255" s="38" t="e">
        <f t="shared" si="32"/>
        <v>#DIV/0!</v>
      </c>
      <c r="AA255" s="38"/>
      <c r="AB255" s="38" t="e">
        <f t="shared" si="33"/>
        <v>#DIV/0!</v>
      </c>
      <c r="AC255" s="38" t="e">
        <f>U255/AR255</f>
        <v>#DIV/0!</v>
      </c>
      <c r="AD255" s="38" t="e">
        <f t="shared" si="36"/>
        <v>#DIV/0!</v>
      </c>
      <c r="AE255" s="33">
        <v>45383</v>
      </c>
      <c r="AF255" s="33"/>
      <c r="AG255" s="33"/>
      <c r="AH255" s="33"/>
      <c r="AI255" s="33"/>
      <c r="AJ255" s="42"/>
      <c r="AK255" s="37"/>
      <c r="AL255" s="37"/>
      <c r="AM255" s="37"/>
      <c r="AN255" s="37"/>
      <c r="AO255" s="43"/>
      <c r="AP255" s="35"/>
      <c r="AQ255" s="35"/>
      <c r="AR255" s="44"/>
      <c r="AS255" s="37" t="s">
        <v>485</v>
      </c>
    </row>
    <row r="256" spans="1:45" ht="48.75" customHeight="1" x14ac:dyDescent="0.25">
      <c r="A256" s="32" t="s">
        <v>1677</v>
      </c>
      <c r="B256" s="56">
        <v>45315</v>
      </c>
      <c r="C256" s="37" t="s">
        <v>486</v>
      </c>
      <c r="D256" s="36" t="s">
        <v>1678</v>
      </c>
      <c r="E256" s="1" t="s">
        <v>1679</v>
      </c>
      <c r="F256" s="33">
        <v>45335</v>
      </c>
      <c r="G256" s="35" t="s">
        <v>1680</v>
      </c>
      <c r="H256" s="54" t="s">
        <v>1681</v>
      </c>
      <c r="I256" s="37" t="s">
        <v>1682</v>
      </c>
      <c r="J256" s="57">
        <v>12275383.800000001</v>
      </c>
      <c r="K256" s="40">
        <f>((J256-M256)/J256)*100</f>
        <v>2.5715204114432657</v>
      </c>
      <c r="L256" s="41">
        <f>J256-M256</f>
        <v>315664</v>
      </c>
      <c r="M256" s="38">
        <v>11959719.800000001</v>
      </c>
      <c r="N256" s="41">
        <f>J256-O256</f>
        <v>315664</v>
      </c>
      <c r="O256" s="38">
        <v>11959719.800000001</v>
      </c>
      <c r="P256" s="27">
        <f t="shared" si="39"/>
        <v>11959719.800000001</v>
      </c>
      <c r="Q256" s="27">
        <f t="shared" si="39"/>
        <v>11959719.800000001</v>
      </c>
      <c r="R256" s="27">
        <f>Q256/U256</f>
        <v>30.310000000000002</v>
      </c>
      <c r="S256" s="38">
        <f>Q256/U256</f>
        <v>30.310000000000002</v>
      </c>
      <c r="T256" s="38">
        <f>S256*AR256</f>
        <v>606.20000000000005</v>
      </c>
      <c r="U256" s="38">
        <f t="shared" si="35"/>
        <v>394580</v>
      </c>
      <c r="V256" s="38">
        <v>394580</v>
      </c>
      <c r="W256" s="38">
        <v>0</v>
      </c>
      <c r="X256" s="38">
        <v>0</v>
      </c>
      <c r="Y256" s="38">
        <v>0</v>
      </c>
      <c r="Z256" s="38">
        <f t="shared" si="32"/>
        <v>0</v>
      </c>
      <c r="AA256" s="38">
        <v>0</v>
      </c>
      <c r="AB256" s="38">
        <f t="shared" si="33"/>
        <v>0</v>
      </c>
      <c r="AC256" s="38">
        <f>U256/AR256</f>
        <v>19729</v>
      </c>
      <c r="AD256" s="38">
        <f t="shared" si="36"/>
        <v>19729</v>
      </c>
      <c r="AE256" s="33">
        <v>45383</v>
      </c>
      <c r="AF256" s="33"/>
      <c r="AG256" s="33"/>
      <c r="AH256" s="33">
        <v>45413</v>
      </c>
      <c r="AI256" s="33"/>
      <c r="AJ256" s="42"/>
      <c r="AK256" s="37" t="s">
        <v>1683</v>
      </c>
      <c r="AL256" s="37" t="s">
        <v>1684</v>
      </c>
      <c r="AM256" s="37" t="s">
        <v>1685</v>
      </c>
      <c r="AN256" s="37" t="s">
        <v>50</v>
      </c>
      <c r="AO256" s="43">
        <v>100</v>
      </c>
      <c r="AP256" s="35">
        <v>0</v>
      </c>
      <c r="AQ256" s="35" t="s">
        <v>441</v>
      </c>
      <c r="AR256" s="44">
        <v>20</v>
      </c>
      <c r="AS256" s="37" t="s">
        <v>52</v>
      </c>
    </row>
    <row r="257" spans="1:45" ht="48.75" customHeight="1" x14ac:dyDescent="0.25">
      <c r="A257" s="32" t="s">
        <v>1686</v>
      </c>
      <c r="B257" s="56">
        <v>45315</v>
      </c>
      <c r="C257" s="37" t="s">
        <v>486</v>
      </c>
      <c r="D257" s="36" t="s">
        <v>1687</v>
      </c>
      <c r="E257" s="1" t="s">
        <v>1688</v>
      </c>
      <c r="F257" s="33">
        <v>45335</v>
      </c>
      <c r="G257" s="35" t="s">
        <v>1689</v>
      </c>
      <c r="H257" s="37" t="s">
        <v>291</v>
      </c>
      <c r="I257" s="37" t="s">
        <v>1690</v>
      </c>
      <c r="J257" s="57">
        <v>901309.5</v>
      </c>
      <c r="K257" s="40">
        <f>((J257-M257)/J257)*100</f>
        <v>0</v>
      </c>
      <c r="L257" s="41">
        <f>J257-M257</f>
        <v>0</v>
      </c>
      <c r="M257" s="38">
        <v>901309.5</v>
      </c>
      <c r="N257" s="41">
        <f>J257-O257</f>
        <v>0</v>
      </c>
      <c r="O257" s="38">
        <v>901309.5</v>
      </c>
      <c r="P257" s="27">
        <f t="shared" si="39"/>
        <v>901309.5</v>
      </c>
      <c r="Q257" s="27">
        <f t="shared" si="39"/>
        <v>901309.5</v>
      </c>
      <c r="R257" s="27">
        <f>Q257/U257</f>
        <v>4.97</v>
      </c>
      <c r="S257" s="38">
        <f>Q257/U257</f>
        <v>4.97</v>
      </c>
      <c r="T257" s="38">
        <f>S257*AR257</f>
        <v>298.2</v>
      </c>
      <c r="U257" s="38">
        <f t="shared" si="35"/>
        <v>181350</v>
      </c>
      <c r="V257" s="38">
        <v>181350</v>
      </c>
      <c r="W257" s="38">
        <v>0</v>
      </c>
      <c r="X257" s="38">
        <v>0</v>
      </c>
      <c r="Y257" s="38">
        <v>0</v>
      </c>
      <c r="Z257" s="38">
        <f t="shared" si="32"/>
        <v>0</v>
      </c>
      <c r="AA257" s="38">
        <v>0</v>
      </c>
      <c r="AB257" s="38">
        <f t="shared" si="33"/>
        <v>0</v>
      </c>
      <c r="AC257" s="38">
        <f>U257/AR257</f>
        <v>3022.5</v>
      </c>
      <c r="AD257" s="38">
        <f t="shared" si="36"/>
        <v>3023</v>
      </c>
      <c r="AE257" s="33">
        <v>45383</v>
      </c>
      <c r="AF257" s="33"/>
      <c r="AG257" s="33"/>
      <c r="AH257" s="33">
        <v>45413</v>
      </c>
      <c r="AI257" s="33"/>
      <c r="AJ257" s="42"/>
      <c r="AK257" s="37" t="s">
        <v>1691</v>
      </c>
      <c r="AL257" s="37" t="s">
        <v>1692</v>
      </c>
      <c r="AM257" s="37" t="s">
        <v>1693</v>
      </c>
      <c r="AN257" s="37" t="s">
        <v>50</v>
      </c>
      <c r="AO257" s="43">
        <v>100</v>
      </c>
      <c r="AP257" s="35">
        <v>0</v>
      </c>
      <c r="AQ257" s="35" t="s">
        <v>441</v>
      </c>
      <c r="AR257" s="44">
        <v>60</v>
      </c>
      <c r="AS257" s="37" t="s">
        <v>176</v>
      </c>
    </row>
    <row r="258" spans="1:45" ht="48.75" customHeight="1" x14ac:dyDescent="0.25">
      <c r="A258" s="32" t="s">
        <v>1694</v>
      </c>
      <c r="B258" s="56">
        <v>45315</v>
      </c>
      <c r="C258" s="37" t="s">
        <v>486</v>
      </c>
      <c r="D258" s="36" t="s">
        <v>1695</v>
      </c>
      <c r="E258" s="1" t="s">
        <v>1696</v>
      </c>
      <c r="F258" s="33">
        <v>45343</v>
      </c>
      <c r="G258" s="35" t="s">
        <v>1697</v>
      </c>
      <c r="H258" s="37" t="s">
        <v>1698</v>
      </c>
      <c r="I258" s="37" t="s">
        <v>1699</v>
      </c>
      <c r="J258" s="57">
        <v>62961254.399999999</v>
      </c>
      <c r="K258" s="40">
        <f>((J258-M258)/J258)*100</f>
        <v>1.1718749999999929</v>
      </c>
      <c r="L258" s="41">
        <f>J258-M258</f>
        <v>737827.19999999553</v>
      </c>
      <c r="M258" s="38">
        <v>62223427.200000003</v>
      </c>
      <c r="N258" s="41">
        <f>J258-O258</f>
        <v>737827.19999999553</v>
      </c>
      <c r="O258" s="38">
        <v>62223427.200000003</v>
      </c>
      <c r="P258" s="27">
        <f t="shared" si="39"/>
        <v>62223427.200000003</v>
      </c>
      <c r="Q258" s="27">
        <f t="shared" si="39"/>
        <v>62223427.200000003</v>
      </c>
      <c r="R258" s="27">
        <f>Q258/U258</f>
        <v>27.830000000000002</v>
      </c>
      <c r="S258" s="38">
        <f>Q258/U258</f>
        <v>27.830000000000002</v>
      </c>
      <c r="T258" s="38">
        <f>S258*AR258</f>
        <v>556.6</v>
      </c>
      <c r="U258" s="38">
        <f t="shared" si="35"/>
        <v>2235840</v>
      </c>
      <c r="V258" s="38">
        <v>846360</v>
      </c>
      <c r="W258" s="38">
        <v>1389480</v>
      </c>
      <c r="X258" s="38">
        <v>0</v>
      </c>
      <c r="Y258" s="38">
        <v>0</v>
      </c>
      <c r="Z258" s="38">
        <f t="shared" si="32"/>
        <v>0</v>
      </c>
      <c r="AA258" s="38">
        <v>0</v>
      </c>
      <c r="AB258" s="38">
        <f t="shared" si="33"/>
        <v>0</v>
      </c>
      <c r="AC258" s="38">
        <f>U258/AR258</f>
        <v>111792</v>
      </c>
      <c r="AD258" s="38">
        <f t="shared" si="36"/>
        <v>111792</v>
      </c>
      <c r="AE258" s="33">
        <v>45383</v>
      </c>
      <c r="AF258" s="33">
        <v>45444</v>
      </c>
      <c r="AG258" s="33"/>
      <c r="AH258" s="33">
        <v>45413</v>
      </c>
      <c r="AI258" s="33">
        <v>45474</v>
      </c>
      <c r="AJ258" s="42"/>
      <c r="AK258" s="37" t="s">
        <v>1700</v>
      </c>
      <c r="AL258" s="37" t="s">
        <v>1701</v>
      </c>
      <c r="AM258" s="37" t="s">
        <v>1702</v>
      </c>
      <c r="AN258" s="37" t="s">
        <v>50</v>
      </c>
      <c r="AO258" s="43">
        <v>100</v>
      </c>
      <c r="AP258" s="35">
        <v>0</v>
      </c>
      <c r="AQ258" s="35" t="s">
        <v>441</v>
      </c>
      <c r="AR258" s="44">
        <v>20</v>
      </c>
      <c r="AS258" s="37" t="s">
        <v>52</v>
      </c>
    </row>
    <row r="259" spans="1:45" ht="48.75" customHeight="1" x14ac:dyDescent="0.25">
      <c r="A259" s="32" t="s">
        <v>1703</v>
      </c>
      <c r="B259" s="56">
        <v>45315</v>
      </c>
      <c r="C259" s="37" t="s">
        <v>486</v>
      </c>
      <c r="D259" s="35" t="s">
        <v>485</v>
      </c>
      <c r="E259" s="1" t="s">
        <v>1704</v>
      </c>
      <c r="F259" s="35" t="s">
        <v>485</v>
      </c>
      <c r="G259" s="35" t="s">
        <v>485</v>
      </c>
      <c r="H259" s="35" t="s">
        <v>485</v>
      </c>
      <c r="I259" s="37" t="s">
        <v>1705</v>
      </c>
      <c r="J259" s="57">
        <v>21929927.280000001</v>
      </c>
      <c r="K259" s="40">
        <f>((J259-M259)/J259)*100</f>
        <v>100</v>
      </c>
      <c r="L259" s="41">
        <f>J259-M259</f>
        <v>21929927.280000001</v>
      </c>
      <c r="M259" s="38"/>
      <c r="N259" s="41">
        <f>J259-O259</f>
        <v>21929927.280000001</v>
      </c>
      <c r="O259" s="38">
        <v>0</v>
      </c>
      <c r="P259" s="27">
        <f t="shared" si="39"/>
        <v>0</v>
      </c>
      <c r="Q259" s="27">
        <f t="shared" si="39"/>
        <v>0</v>
      </c>
      <c r="R259" s="27" t="e">
        <f>Q259/U259</f>
        <v>#DIV/0!</v>
      </c>
      <c r="S259" s="38" t="e">
        <f>Q259/U259</f>
        <v>#DIV/0!</v>
      </c>
      <c r="T259" s="38" t="e">
        <f>S259*AR259</f>
        <v>#DIV/0!</v>
      </c>
      <c r="U259" s="38">
        <f t="shared" si="35"/>
        <v>0</v>
      </c>
      <c r="V259" s="38">
        <v>0</v>
      </c>
      <c r="W259" s="38">
        <v>0</v>
      </c>
      <c r="X259" s="38">
        <v>0</v>
      </c>
      <c r="Y259" s="38"/>
      <c r="Z259" s="38" t="e">
        <f t="shared" si="32"/>
        <v>#DIV/0!</v>
      </c>
      <c r="AA259" s="38"/>
      <c r="AB259" s="38" t="e">
        <f t="shared" si="33"/>
        <v>#DIV/0!</v>
      </c>
      <c r="AC259" s="38" t="e">
        <f>U259/AR259</f>
        <v>#DIV/0!</v>
      </c>
      <c r="AD259" s="38" t="e">
        <f t="shared" si="36"/>
        <v>#DIV/0!</v>
      </c>
      <c r="AE259" s="33">
        <v>45382</v>
      </c>
      <c r="AF259" s="33"/>
      <c r="AG259" s="33"/>
      <c r="AH259" s="33"/>
      <c r="AI259" s="33"/>
      <c r="AJ259" s="42"/>
      <c r="AK259" s="37"/>
      <c r="AL259" s="37"/>
      <c r="AM259" s="37"/>
      <c r="AN259" s="37"/>
      <c r="AO259" s="43"/>
      <c r="AP259" s="35"/>
      <c r="AQ259" s="35"/>
      <c r="AR259" s="44"/>
      <c r="AS259" s="37" t="s">
        <v>485</v>
      </c>
    </row>
    <row r="260" spans="1:45" ht="48.75" customHeight="1" x14ac:dyDescent="0.25">
      <c r="A260" s="32" t="s">
        <v>1706</v>
      </c>
      <c r="B260" s="56">
        <v>45315</v>
      </c>
      <c r="C260" s="37" t="s">
        <v>486</v>
      </c>
      <c r="D260" s="35" t="s">
        <v>485</v>
      </c>
      <c r="E260" s="1" t="s">
        <v>1707</v>
      </c>
      <c r="F260" s="35" t="s">
        <v>485</v>
      </c>
      <c r="G260" s="35" t="s">
        <v>485</v>
      </c>
      <c r="H260" s="35" t="s">
        <v>485</v>
      </c>
      <c r="I260" s="37" t="s">
        <v>508</v>
      </c>
      <c r="J260" s="57">
        <v>187929721.19999999</v>
      </c>
      <c r="K260" s="40">
        <f>((J260-M260)/J260)*100</f>
        <v>100</v>
      </c>
      <c r="L260" s="41">
        <f>J260-M260</f>
        <v>187929721.19999999</v>
      </c>
      <c r="M260" s="38"/>
      <c r="N260" s="41">
        <f>J260-O260</f>
        <v>187929721.19999999</v>
      </c>
      <c r="O260" s="38">
        <v>0</v>
      </c>
      <c r="P260" s="27">
        <f t="shared" si="39"/>
        <v>0</v>
      </c>
      <c r="Q260" s="27">
        <f t="shared" si="39"/>
        <v>0</v>
      </c>
      <c r="R260" s="27" t="e">
        <f>Q260/U260</f>
        <v>#DIV/0!</v>
      </c>
      <c r="S260" s="38" t="e">
        <f>Q260/U260</f>
        <v>#DIV/0!</v>
      </c>
      <c r="T260" s="38" t="e">
        <f>S260*AR260</f>
        <v>#DIV/0!</v>
      </c>
      <c r="U260" s="38">
        <f t="shared" si="35"/>
        <v>0</v>
      </c>
      <c r="V260" s="38">
        <v>0</v>
      </c>
      <c r="W260" s="38">
        <v>0</v>
      </c>
      <c r="X260" s="38">
        <v>0</v>
      </c>
      <c r="Y260" s="38"/>
      <c r="Z260" s="38" t="e">
        <f t="shared" si="32"/>
        <v>#DIV/0!</v>
      </c>
      <c r="AA260" s="38"/>
      <c r="AB260" s="38" t="e">
        <f t="shared" si="33"/>
        <v>#DIV/0!</v>
      </c>
      <c r="AC260" s="38" t="e">
        <f>U260/AR260</f>
        <v>#DIV/0!</v>
      </c>
      <c r="AD260" s="38" t="e">
        <f t="shared" si="36"/>
        <v>#DIV/0!</v>
      </c>
      <c r="AE260" s="33">
        <v>45382</v>
      </c>
      <c r="AF260" s="33"/>
      <c r="AG260" s="33"/>
      <c r="AH260" s="33"/>
      <c r="AI260" s="33"/>
      <c r="AJ260" s="42"/>
      <c r="AK260" s="37"/>
      <c r="AL260" s="37"/>
      <c r="AM260" s="37"/>
      <c r="AN260" s="37"/>
      <c r="AO260" s="43"/>
      <c r="AP260" s="35"/>
      <c r="AQ260" s="35"/>
      <c r="AR260" s="44"/>
      <c r="AS260" s="37" t="s">
        <v>485</v>
      </c>
    </row>
    <row r="261" spans="1:45" ht="48.75" customHeight="1" x14ac:dyDescent="0.25">
      <c r="A261" s="32" t="s">
        <v>1708</v>
      </c>
      <c r="B261" s="56">
        <v>45315</v>
      </c>
      <c r="C261" s="37" t="s">
        <v>486</v>
      </c>
      <c r="D261" s="35" t="s">
        <v>485</v>
      </c>
      <c r="E261" s="1" t="s">
        <v>1709</v>
      </c>
      <c r="F261" s="35" t="s">
        <v>485</v>
      </c>
      <c r="G261" s="35" t="s">
        <v>485</v>
      </c>
      <c r="H261" s="35" t="s">
        <v>485</v>
      </c>
      <c r="I261" s="37" t="s">
        <v>1710</v>
      </c>
      <c r="J261" s="57">
        <v>35170380</v>
      </c>
      <c r="K261" s="40">
        <f>((J261-M261)/J261)*100</f>
        <v>100</v>
      </c>
      <c r="L261" s="41">
        <f>J261-M261</f>
        <v>35170380</v>
      </c>
      <c r="M261" s="38"/>
      <c r="N261" s="41">
        <f>J261-O261</f>
        <v>35170380</v>
      </c>
      <c r="O261" s="38">
        <v>0</v>
      </c>
      <c r="P261" s="27">
        <f t="shared" si="39"/>
        <v>0</v>
      </c>
      <c r="Q261" s="27">
        <f t="shared" si="39"/>
        <v>0</v>
      </c>
      <c r="R261" s="27" t="e">
        <f>Q261/U261</f>
        <v>#DIV/0!</v>
      </c>
      <c r="S261" s="38" t="e">
        <f>Q261/U261</f>
        <v>#DIV/0!</v>
      </c>
      <c r="T261" s="38" t="e">
        <f>S261*AR261</f>
        <v>#DIV/0!</v>
      </c>
      <c r="U261" s="38">
        <f t="shared" si="35"/>
        <v>0</v>
      </c>
      <c r="V261" s="38">
        <v>0</v>
      </c>
      <c r="W261" s="38">
        <v>0</v>
      </c>
      <c r="X261" s="38">
        <v>0</v>
      </c>
      <c r="Y261" s="38"/>
      <c r="Z261" s="38" t="e">
        <f t="shared" si="32"/>
        <v>#DIV/0!</v>
      </c>
      <c r="AA261" s="38"/>
      <c r="AB261" s="38" t="e">
        <f t="shared" si="33"/>
        <v>#DIV/0!</v>
      </c>
      <c r="AC261" s="38" t="e">
        <f>U261/AR261</f>
        <v>#DIV/0!</v>
      </c>
      <c r="AD261" s="38" t="e">
        <f t="shared" si="36"/>
        <v>#DIV/0!</v>
      </c>
      <c r="AE261" s="33">
        <v>45383</v>
      </c>
      <c r="AF261" s="33"/>
      <c r="AG261" s="33"/>
      <c r="AH261" s="33"/>
      <c r="AI261" s="33"/>
      <c r="AJ261" s="42"/>
      <c r="AK261" s="37"/>
      <c r="AL261" s="37"/>
      <c r="AM261" s="37"/>
      <c r="AN261" s="37"/>
      <c r="AO261" s="43"/>
      <c r="AP261" s="35"/>
      <c r="AQ261" s="35"/>
      <c r="AR261" s="44"/>
      <c r="AS261" s="37" t="s">
        <v>485</v>
      </c>
    </row>
    <row r="262" spans="1:45" ht="48.75" customHeight="1" x14ac:dyDescent="0.25">
      <c r="A262" s="32" t="s">
        <v>1711</v>
      </c>
      <c r="B262" s="56">
        <v>45315</v>
      </c>
      <c r="C262" s="37" t="s">
        <v>486</v>
      </c>
      <c r="D262" s="35" t="s">
        <v>485</v>
      </c>
      <c r="E262" s="1" t="s">
        <v>1712</v>
      </c>
      <c r="F262" s="35" t="s">
        <v>485</v>
      </c>
      <c r="G262" s="35" t="s">
        <v>485</v>
      </c>
      <c r="H262" s="35" t="s">
        <v>485</v>
      </c>
      <c r="I262" s="37" t="s">
        <v>1713</v>
      </c>
      <c r="J262" s="57">
        <v>1138737.6000000001</v>
      </c>
      <c r="K262" s="40">
        <f>((J262-M262)/J262)*100</f>
        <v>100</v>
      </c>
      <c r="L262" s="41">
        <f>J262-M262</f>
        <v>1138737.6000000001</v>
      </c>
      <c r="M262" s="38"/>
      <c r="N262" s="41">
        <f>J262-O262</f>
        <v>1138737.6000000001</v>
      </c>
      <c r="O262" s="38">
        <v>0</v>
      </c>
      <c r="P262" s="27">
        <f t="shared" si="39"/>
        <v>0</v>
      </c>
      <c r="Q262" s="27">
        <f t="shared" si="39"/>
        <v>0</v>
      </c>
      <c r="R262" s="27" t="e">
        <f>Q262/U262</f>
        <v>#DIV/0!</v>
      </c>
      <c r="S262" s="38" t="e">
        <f>Q262/U262</f>
        <v>#DIV/0!</v>
      </c>
      <c r="T262" s="38" t="e">
        <f>S262*AR262</f>
        <v>#DIV/0!</v>
      </c>
      <c r="U262" s="38">
        <f t="shared" si="35"/>
        <v>0</v>
      </c>
      <c r="V262" s="38">
        <v>0</v>
      </c>
      <c r="W262" s="38">
        <v>0</v>
      </c>
      <c r="X262" s="38">
        <v>0</v>
      </c>
      <c r="Y262" s="38"/>
      <c r="Z262" s="38" t="e">
        <f t="shared" si="32"/>
        <v>#DIV/0!</v>
      </c>
      <c r="AA262" s="38"/>
      <c r="AB262" s="38" t="e">
        <f t="shared" si="33"/>
        <v>#DIV/0!</v>
      </c>
      <c r="AC262" s="38" t="e">
        <f>U262/AR262</f>
        <v>#DIV/0!</v>
      </c>
      <c r="AD262" s="38" t="e">
        <f t="shared" si="36"/>
        <v>#DIV/0!</v>
      </c>
      <c r="AE262" s="33">
        <v>45383</v>
      </c>
      <c r="AF262" s="33"/>
      <c r="AG262" s="33"/>
      <c r="AH262" s="33"/>
      <c r="AI262" s="33"/>
      <c r="AJ262" s="42"/>
      <c r="AK262" s="37"/>
      <c r="AL262" s="37"/>
      <c r="AM262" s="37"/>
      <c r="AN262" s="37"/>
      <c r="AO262" s="43"/>
      <c r="AP262" s="35"/>
      <c r="AQ262" s="35"/>
      <c r="AR262" s="44"/>
      <c r="AS262" s="37" t="s">
        <v>485</v>
      </c>
    </row>
    <row r="263" spans="1:45" ht="48.75" customHeight="1" x14ac:dyDescent="0.25">
      <c r="A263" s="32" t="s">
        <v>1714</v>
      </c>
      <c r="B263" s="56">
        <v>45315</v>
      </c>
      <c r="C263" s="37" t="s">
        <v>486</v>
      </c>
      <c r="D263" s="36" t="s">
        <v>1715</v>
      </c>
      <c r="E263" s="1" t="s">
        <v>1716</v>
      </c>
      <c r="F263" s="33">
        <v>45335</v>
      </c>
      <c r="G263" s="35" t="s">
        <v>1717</v>
      </c>
      <c r="H263" s="37" t="s">
        <v>273</v>
      </c>
      <c r="I263" s="37" t="s">
        <v>1351</v>
      </c>
      <c r="J263" s="57">
        <v>8321227.2000000002</v>
      </c>
      <c r="K263" s="40">
        <f>((J263-M263)/J263)*100</f>
        <v>0</v>
      </c>
      <c r="L263" s="41">
        <f>J263-M263</f>
        <v>0</v>
      </c>
      <c r="M263" s="38">
        <v>8321227.2000000002</v>
      </c>
      <c r="N263" s="41">
        <f>J263-O263</f>
        <v>0</v>
      </c>
      <c r="O263" s="38">
        <v>8321227.2000000002</v>
      </c>
      <c r="P263" s="27">
        <f t="shared" si="39"/>
        <v>8321227.2000000002</v>
      </c>
      <c r="Q263" s="27">
        <f t="shared" si="39"/>
        <v>8321227.2000000002</v>
      </c>
      <c r="R263" s="27">
        <f>Q263/U263</f>
        <v>25.740000000000002</v>
      </c>
      <c r="S263" s="38">
        <f>Q263/U263</f>
        <v>25.740000000000002</v>
      </c>
      <c r="T263" s="38">
        <f>S263*AR263</f>
        <v>1544.4</v>
      </c>
      <c r="U263" s="38">
        <f t="shared" si="35"/>
        <v>323280</v>
      </c>
      <c r="V263" s="38">
        <v>323280</v>
      </c>
      <c r="W263" s="38">
        <v>0</v>
      </c>
      <c r="X263" s="38">
        <v>0</v>
      </c>
      <c r="Y263" s="38">
        <v>0</v>
      </c>
      <c r="Z263" s="38">
        <f t="shared" si="32"/>
        <v>0</v>
      </c>
      <c r="AA263" s="38">
        <v>0</v>
      </c>
      <c r="AB263" s="38">
        <f t="shared" si="33"/>
        <v>0</v>
      </c>
      <c r="AC263" s="38">
        <f>U263/AR263</f>
        <v>5388</v>
      </c>
      <c r="AD263" s="38">
        <f t="shared" si="36"/>
        <v>5388</v>
      </c>
      <c r="AE263" s="33">
        <v>45382</v>
      </c>
      <c r="AF263" s="33"/>
      <c r="AG263" s="33"/>
      <c r="AH263" s="33">
        <v>45413</v>
      </c>
      <c r="AI263" s="33"/>
      <c r="AJ263" s="42"/>
      <c r="AK263" s="37" t="s">
        <v>1718</v>
      </c>
      <c r="AL263" s="37" t="s">
        <v>1719</v>
      </c>
      <c r="AM263" s="37" t="s">
        <v>1720</v>
      </c>
      <c r="AN263" s="37" t="s">
        <v>50</v>
      </c>
      <c r="AO263" s="43">
        <v>100</v>
      </c>
      <c r="AP263" s="35">
        <v>0</v>
      </c>
      <c r="AQ263" s="35" t="s">
        <v>441</v>
      </c>
      <c r="AR263" s="44">
        <v>60</v>
      </c>
      <c r="AS263" s="37" t="s">
        <v>52</v>
      </c>
    </row>
    <row r="264" spans="1:45" ht="48.75" customHeight="1" x14ac:dyDescent="0.25">
      <c r="A264" s="32" t="s">
        <v>1721</v>
      </c>
      <c r="B264" s="56">
        <v>45315</v>
      </c>
      <c r="C264" s="37" t="s">
        <v>486</v>
      </c>
      <c r="D264" s="36" t="s">
        <v>1722</v>
      </c>
      <c r="E264" s="1" t="s">
        <v>1723</v>
      </c>
      <c r="F264" s="33">
        <v>45335</v>
      </c>
      <c r="G264" s="35" t="s">
        <v>1724</v>
      </c>
      <c r="H264" s="37" t="s">
        <v>273</v>
      </c>
      <c r="I264" s="37" t="s">
        <v>1725</v>
      </c>
      <c r="J264" s="57">
        <v>7038016</v>
      </c>
      <c r="K264" s="40">
        <f>((J264-M264)/J264)*100</f>
        <v>0</v>
      </c>
      <c r="L264" s="41">
        <f>J264-M264</f>
        <v>0</v>
      </c>
      <c r="M264" s="38">
        <v>7038016</v>
      </c>
      <c r="N264" s="41">
        <f>J264-O264</f>
        <v>0</v>
      </c>
      <c r="O264" s="38">
        <v>7038016</v>
      </c>
      <c r="P264" s="27">
        <v>6987200</v>
      </c>
      <c r="Q264" s="27">
        <f t="shared" si="39"/>
        <v>6987200</v>
      </c>
      <c r="R264" s="27">
        <f>Q264/U264</f>
        <v>11</v>
      </c>
      <c r="S264" s="38">
        <f>Q264/U264</f>
        <v>11</v>
      </c>
      <c r="T264" s="38">
        <f>S264*AR264</f>
        <v>3300</v>
      </c>
      <c r="U264" s="38">
        <f t="shared" si="35"/>
        <v>635200</v>
      </c>
      <c r="V264" s="38">
        <v>635200</v>
      </c>
      <c r="W264" s="38">
        <v>0</v>
      </c>
      <c r="X264" s="38">
        <v>0</v>
      </c>
      <c r="Y264" s="38">
        <v>0</v>
      </c>
      <c r="Z264" s="38">
        <f t="shared" si="32"/>
        <v>0</v>
      </c>
      <c r="AA264" s="38">
        <v>0</v>
      </c>
      <c r="AB264" s="38">
        <f t="shared" si="33"/>
        <v>0</v>
      </c>
      <c r="AC264" s="38">
        <f>U264/AR264</f>
        <v>2117.3333333333335</v>
      </c>
      <c r="AD264" s="38">
        <f t="shared" si="36"/>
        <v>2118</v>
      </c>
      <c r="AE264" s="33">
        <v>45366</v>
      </c>
      <c r="AF264" s="33"/>
      <c r="AG264" s="33"/>
      <c r="AH264" s="33">
        <v>45397</v>
      </c>
      <c r="AI264" s="33"/>
      <c r="AJ264" s="42"/>
      <c r="AK264" s="37" t="s">
        <v>1726</v>
      </c>
      <c r="AL264" s="37" t="s">
        <v>1727</v>
      </c>
      <c r="AM264" s="37" t="s">
        <v>1728</v>
      </c>
      <c r="AN264" s="37" t="s">
        <v>50</v>
      </c>
      <c r="AO264" s="43">
        <v>100</v>
      </c>
      <c r="AP264" s="35">
        <v>0</v>
      </c>
      <c r="AQ264" s="35" t="s">
        <v>164</v>
      </c>
      <c r="AR264" s="44">
        <v>300</v>
      </c>
      <c r="AS264" s="37" t="s">
        <v>52</v>
      </c>
    </row>
    <row r="265" spans="1:45" ht="48.75" customHeight="1" x14ac:dyDescent="0.25">
      <c r="A265" s="32" t="s">
        <v>1729</v>
      </c>
      <c r="B265" s="56">
        <v>45316</v>
      </c>
      <c r="C265" s="37" t="s">
        <v>486</v>
      </c>
      <c r="D265" s="36" t="s">
        <v>1730</v>
      </c>
      <c r="E265" s="1" t="s">
        <v>1731</v>
      </c>
      <c r="F265" s="33">
        <v>45335</v>
      </c>
      <c r="G265" s="35" t="s">
        <v>1732</v>
      </c>
      <c r="H265" s="37" t="s">
        <v>291</v>
      </c>
      <c r="I265" s="37" t="s">
        <v>1733</v>
      </c>
      <c r="J265" s="57">
        <v>12870732</v>
      </c>
      <c r="K265" s="40">
        <f>((J265-M265)/J265)*100</f>
        <v>0</v>
      </c>
      <c r="L265" s="41">
        <f>J265-M265</f>
        <v>0</v>
      </c>
      <c r="M265" s="38">
        <v>12870732</v>
      </c>
      <c r="N265" s="41">
        <f>J265-O265</f>
        <v>0</v>
      </c>
      <c r="O265" s="38">
        <v>12870732</v>
      </c>
      <c r="P265" s="27">
        <f t="shared" ref="P265:Q304" si="40">O265</f>
        <v>12870732</v>
      </c>
      <c r="Q265" s="27">
        <f t="shared" si="39"/>
        <v>12870732</v>
      </c>
      <c r="R265" s="27">
        <f>Q265/U265</f>
        <v>62.54</v>
      </c>
      <c r="S265" s="38">
        <f>Q265/U265</f>
        <v>62.54</v>
      </c>
      <c r="T265" s="38">
        <f>S265*AR265</f>
        <v>7504.8</v>
      </c>
      <c r="U265" s="38">
        <f t="shared" si="35"/>
        <v>205800</v>
      </c>
      <c r="V265" s="38">
        <v>205800</v>
      </c>
      <c r="W265" s="38">
        <v>0</v>
      </c>
      <c r="X265" s="38">
        <v>0</v>
      </c>
      <c r="Y265" s="38">
        <v>0</v>
      </c>
      <c r="Z265" s="38">
        <f t="shared" si="32"/>
        <v>0</v>
      </c>
      <c r="AA265" s="38">
        <v>0</v>
      </c>
      <c r="AB265" s="38">
        <f t="shared" si="33"/>
        <v>0</v>
      </c>
      <c r="AC265" s="38">
        <f>U265/AR265</f>
        <v>1715</v>
      </c>
      <c r="AD265" s="38">
        <f t="shared" si="36"/>
        <v>1715</v>
      </c>
      <c r="AE265" s="33">
        <v>45366</v>
      </c>
      <c r="AF265" s="33"/>
      <c r="AG265" s="33"/>
      <c r="AH265" s="33">
        <v>45397</v>
      </c>
      <c r="AI265" s="33"/>
      <c r="AJ265" s="42"/>
      <c r="AK265" s="37" t="s">
        <v>1734</v>
      </c>
      <c r="AL265" s="37" t="s">
        <v>1735</v>
      </c>
      <c r="AM265" s="37" t="s">
        <v>1736</v>
      </c>
      <c r="AN265" s="37" t="s">
        <v>50</v>
      </c>
      <c r="AO265" s="43">
        <v>100</v>
      </c>
      <c r="AP265" s="35">
        <v>0</v>
      </c>
      <c r="AQ265" s="35" t="s">
        <v>441</v>
      </c>
      <c r="AR265" s="44">
        <v>120</v>
      </c>
      <c r="AS265" s="37" t="s">
        <v>176</v>
      </c>
    </row>
    <row r="266" spans="1:45" ht="48.75" customHeight="1" x14ac:dyDescent="0.25">
      <c r="A266" s="32" t="s">
        <v>1737</v>
      </c>
      <c r="B266" s="56">
        <v>45316</v>
      </c>
      <c r="C266" s="37" t="s">
        <v>486</v>
      </c>
      <c r="D266" s="36" t="s">
        <v>1738</v>
      </c>
      <c r="E266" s="1" t="s">
        <v>1739</v>
      </c>
      <c r="F266" s="33">
        <v>45335</v>
      </c>
      <c r="G266" s="35" t="s">
        <v>1740</v>
      </c>
      <c r="H266" s="37" t="s">
        <v>291</v>
      </c>
      <c r="I266" s="37" t="s">
        <v>1741</v>
      </c>
      <c r="J266" s="57">
        <v>10821789</v>
      </c>
      <c r="K266" s="40">
        <f>((J266-M266)/J266)*100</f>
        <v>0</v>
      </c>
      <c r="L266" s="41">
        <f>J266-M266</f>
        <v>0</v>
      </c>
      <c r="M266" s="38">
        <v>10821789</v>
      </c>
      <c r="N266" s="41">
        <f>J266-O266</f>
        <v>0</v>
      </c>
      <c r="O266" s="38">
        <v>10821789</v>
      </c>
      <c r="P266" s="27">
        <f t="shared" si="40"/>
        <v>10821789</v>
      </c>
      <c r="Q266" s="27">
        <f t="shared" si="39"/>
        <v>10821789</v>
      </c>
      <c r="R266" s="27">
        <f>Q266/U266</f>
        <v>9.1300000000000008</v>
      </c>
      <c r="S266" s="38">
        <f>Q266/U266</f>
        <v>9.1300000000000008</v>
      </c>
      <c r="T266" s="38">
        <f>S266*AR266</f>
        <v>547.80000000000007</v>
      </c>
      <c r="U266" s="38">
        <f t="shared" si="35"/>
        <v>1185300</v>
      </c>
      <c r="V266" s="38">
        <v>1185300</v>
      </c>
      <c r="W266" s="38">
        <v>0</v>
      </c>
      <c r="X266" s="38">
        <v>0</v>
      </c>
      <c r="Y266" s="38">
        <v>0</v>
      </c>
      <c r="Z266" s="38">
        <f t="shared" si="32"/>
        <v>0</v>
      </c>
      <c r="AA266" s="38">
        <v>0</v>
      </c>
      <c r="AB266" s="38">
        <f t="shared" si="33"/>
        <v>0</v>
      </c>
      <c r="AC266" s="38">
        <f>U266/AR266</f>
        <v>19755</v>
      </c>
      <c r="AD266" s="38">
        <f t="shared" si="36"/>
        <v>19755</v>
      </c>
      <c r="AE266" s="33">
        <v>45383</v>
      </c>
      <c r="AF266" s="33"/>
      <c r="AG266" s="33"/>
      <c r="AH266" s="33">
        <v>45413</v>
      </c>
      <c r="AI266" s="33"/>
      <c r="AJ266" s="42"/>
      <c r="AK266" s="37" t="s">
        <v>1691</v>
      </c>
      <c r="AL266" s="37" t="s">
        <v>1742</v>
      </c>
      <c r="AM266" s="37" t="s">
        <v>1693</v>
      </c>
      <c r="AN266" s="37" t="s">
        <v>50</v>
      </c>
      <c r="AO266" s="43">
        <v>100</v>
      </c>
      <c r="AP266" s="35">
        <v>0</v>
      </c>
      <c r="AQ266" s="35" t="s">
        <v>441</v>
      </c>
      <c r="AR266" s="44">
        <v>60</v>
      </c>
      <c r="AS266" s="37" t="s">
        <v>52</v>
      </c>
    </row>
    <row r="267" spans="1:45" ht="48.75" customHeight="1" x14ac:dyDescent="0.25">
      <c r="A267" s="32" t="s">
        <v>1743</v>
      </c>
      <c r="B267" s="56">
        <v>45316</v>
      </c>
      <c r="C267" s="37" t="s">
        <v>486</v>
      </c>
      <c r="D267" s="36" t="s">
        <v>1744</v>
      </c>
      <c r="E267" s="1" t="s">
        <v>1745</v>
      </c>
      <c r="F267" s="33">
        <v>45335</v>
      </c>
      <c r="G267" s="35" t="s">
        <v>1746</v>
      </c>
      <c r="H267" s="37" t="s">
        <v>291</v>
      </c>
      <c r="I267" s="37" t="s">
        <v>1747</v>
      </c>
      <c r="J267" s="57">
        <v>2895874.56</v>
      </c>
      <c r="K267" s="40">
        <f>((J267-M267)/J267)*100</f>
        <v>0</v>
      </c>
      <c r="L267" s="41">
        <f>J267-M267</f>
        <v>0</v>
      </c>
      <c r="M267" s="38">
        <v>2895874.56</v>
      </c>
      <c r="N267" s="41">
        <f>J267-O267</f>
        <v>0</v>
      </c>
      <c r="O267" s="38">
        <v>2895874.56</v>
      </c>
      <c r="P267" s="27">
        <f t="shared" si="40"/>
        <v>2895874.56</v>
      </c>
      <c r="Q267" s="27">
        <f t="shared" si="39"/>
        <v>2895874.56</v>
      </c>
      <c r="R267" s="27">
        <f>Q267/U267</f>
        <v>2.58</v>
      </c>
      <c r="S267" s="38">
        <f>Q267/U267</f>
        <v>2.58</v>
      </c>
      <c r="T267" s="38">
        <f>S267*AR267</f>
        <v>154.80000000000001</v>
      </c>
      <c r="U267" s="38">
        <f t="shared" si="35"/>
        <v>1122432</v>
      </c>
      <c r="V267" s="38">
        <v>1122432</v>
      </c>
      <c r="W267" s="38">
        <v>0</v>
      </c>
      <c r="X267" s="38">
        <v>0</v>
      </c>
      <c r="Y267" s="38">
        <v>0</v>
      </c>
      <c r="Z267" s="38">
        <f t="shared" si="32"/>
        <v>0</v>
      </c>
      <c r="AA267" s="38">
        <v>0</v>
      </c>
      <c r="AB267" s="38">
        <f t="shared" si="33"/>
        <v>0</v>
      </c>
      <c r="AC267" s="38">
        <f>U267/AR267</f>
        <v>18707.2</v>
      </c>
      <c r="AD267" s="38">
        <f t="shared" si="36"/>
        <v>18708</v>
      </c>
      <c r="AE267" s="33">
        <v>45366</v>
      </c>
      <c r="AF267" s="33"/>
      <c r="AG267" s="33"/>
      <c r="AH267" s="33">
        <v>45397</v>
      </c>
      <c r="AI267" s="33"/>
      <c r="AJ267" s="42"/>
      <c r="AK267" s="37" t="s">
        <v>1748</v>
      </c>
      <c r="AL267" s="37" t="s">
        <v>1749</v>
      </c>
      <c r="AM267" s="37" t="s">
        <v>1750</v>
      </c>
      <c r="AN267" s="37" t="s">
        <v>50</v>
      </c>
      <c r="AO267" s="43">
        <v>100</v>
      </c>
      <c r="AP267" s="35">
        <v>0</v>
      </c>
      <c r="AQ267" s="35" t="s">
        <v>441</v>
      </c>
      <c r="AR267" s="44">
        <v>60</v>
      </c>
      <c r="AS267" s="37" t="s">
        <v>52</v>
      </c>
    </row>
    <row r="268" spans="1:45" ht="48.75" customHeight="1" x14ac:dyDescent="0.25">
      <c r="A268" s="32" t="s">
        <v>1751</v>
      </c>
      <c r="B268" s="56">
        <v>45316</v>
      </c>
      <c r="C268" s="37" t="s">
        <v>486</v>
      </c>
      <c r="D268" s="36" t="s">
        <v>485</v>
      </c>
      <c r="E268" s="1" t="s">
        <v>1752</v>
      </c>
      <c r="F268" s="33" t="s">
        <v>485</v>
      </c>
      <c r="G268" s="35" t="s">
        <v>485</v>
      </c>
      <c r="H268" s="37" t="s">
        <v>485</v>
      </c>
      <c r="I268" s="37" t="s">
        <v>1753</v>
      </c>
      <c r="J268" s="57">
        <v>95225220</v>
      </c>
      <c r="K268" s="40">
        <f>((J268-M268)/J268)*100</f>
        <v>100</v>
      </c>
      <c r="L268" s="41">
        <f>J268-M268</f>
        <v>95225220</v>
      </c>
      <c r="M268" s="38"/>
      <c r="N268" s="41">
        <f>J268-O268</f>
        <v>95225220</v>
      </c>
      <c r="O268" s="38">
        <v>0</v>
      </c>
      <c r="P268" s="27">
        <f t="shared" si="40"/>
        <v>0</v>
      </c>
      <c r="Q268" s="27">
        <f t="shared" si="40"/>
        <v>0</v>
      </c>
      <c r="R268" s="27" t="e">
        <f>Q268/U268</f>
        <v>#DIV/0!</v>
      </c>
      <c r="S268" s="38" t="e">
        <f>Q268/U268</f>
        <v>#DIV/0!</v>
      </c>
      <c r="T268" s="38" t="e">
        <f>S268*AR268</f>
        <v>#DIV/0!</v>
      </c>
      <c r="U268" s="38">
        <f t="shared" si="35"/>
        <v>0</v>
      </c>
      <c r="V268" s="38">
        <v>0</v>
      </c>
      <c r="W268" s="38">
        <v>0</v>
      </c>
      <c r="X268" s="38">
        <v>0</v>
      </c>
      <c r="Y268" s="38"/>
      <c r="Z268" s="38" t="e">
        <f t="shared" ref="Z268:Z331" si="41">Y268*S268</f>
        <v>#DIV/0!</v>
      </c>
      <c r="AA268" s="38"/>
      <c r="AB268" s="38" t="e">
        <f t="shared" ref="AB268:AB331" si="42">AA268*S268</f>
        <v>#DIV/0!</v>
      </c>
      <c r="AC268" s="38" t="e">
        <f>U268/AR268</f>
        <v>#DIV/0!</v>
      </c>
      <c r="AD268" s="38" t="e">
        <f t="shared" si="36"/>
        <v>#DIV/0!</v>
      </c>
      <c r="AE268" s="33">
        <v>45383</v>
      </c>
      <c r="AF268" s="33"/>
      <c r="AG268" s="33"/>
      <c r="AH268" s="33"/>
      <c r="AI268" s="33"/>
      <c r="AJ268" s="42"/>
      <c r="AK268" s="37"/>
      <c r="AL268" s="37"/>
      <c r="AM268" s="37"/>
      <c r="AN268" s="37"/>
      <c r="AO268" s="43"/>
      <c r="AP268" s="35"/>
      <c r="AQ268" s="35"/>
      <c r="AR268" s="44"/>
      <c r="AS268" s="37" t="s">
        <v>485</v>
      </c>
    </row>
    <row r="269" spans="1:45" ht="48.75" customHeight="1" x14ac:dyDescent="0.25">
      <c r="A269" s="32" t="s">
        <v>1754</v>
      </c>
      <c r="B269" s="56">
        <v>45316</v>
      </c>
      <c r="C269" s="37" t="s">
        <v>486</v>
      </c>
      <c r="D269" s="36" t="s">
        <v>1755</v>
      </c>
      <c r="E269" s="1" t="s">
        <v>1756</v>
      </c>
      <c r="F269" s="33">
        <v>45335</v>
      </c>
      <c r="G269" s="35" t="s">
        <v>1757</v>
      </c>
      <c r="H269" s="37" t="s">
        <v>291</v>
      </c>
      <c r="I269" s="37" t="s">
        <v>1758</v>
      </c>
      <c r="J269" s="57">
        <v>78794.100000000006</v>
      </c>
      <c r="K269" s="40">
        <f>((J269-M269)/J269)*100</f>
        <v>0</v>
      </c>
      <c r="L269" s="41">
        <f>J269-M269</f>
        <v>0</v>
      </c>
      <c r="M269" s="57">
        <v>78794.100000000006</v>
      </c>
      <c r="N269" s="41">
        <f>J269-O269</f>
        <v>0</v>
      </c>
      <c r="O269" s="57">
        <v>78794.100000000006</v>
      </c>
      <c r="P269" s="27">
        <f t="shared" si="40"/>
        <v>78794.100000000006</v>
      </c>
      <c r="Q269" s="27">
        <f t="shared" si="40"/>
        <v>78794.100000000006</v>
      </c>
      <c r="R269" s="27">
        <f>Q269/U269</f>
        <v>2.31</v>
      </c>
      <c r="S269" s="38">
        <f>Q269/U269</f>
        <v>2.31</v>
      </c>
      <c r="T269" s="38">
        <f>S269*AR269</f>
        <v>69.3</v>
      </c>
      <c r="U269" s="38">
        <f t="shared" si="35"/>
        <v>34110</v>
      </c>
      <c r="V269" s="38">
        <v>34110</v>
      </c>
      <c r="W269" s="38">
        <v>0</v>
      </c>
      <c r="X269" s="38">
        <v>0</v>
      </c>
      <c r="Y269" s="38">
        <v>0</v>
      </c>
      <c r="Z269" s="38">
        <f t="shared" si="41"/>
        <v>0</v>
      </c>
      <c r="AA269" s="38">
        <v>0</v>
      </c>
      <c r="AB269" s="38">
        <f t="shared" si="42"/>
        <v>0</v>
      </c>
      <c r="AC269" s="38">
        <f>U269/AR269</f>
        <v>1137</v>
      </c>
      <c r="AD269" s="38">
        <f t="shared" si="36"/>
        <v>1137</v>
      </c>
      <c r="AE269" s="33">
        <v>45383</v>
      </c>
      <c r="AF269" s="33"/>
      <c r="AG269" s="33"/>
      <c r="AH269" s="33">
        <v>45413</v>
      </c>
      <c r="AI269" s="33"/>
      <c r="AJ269" s="42"/>
      <c r="AK269" s="37" t="s">
        <v>1583</v>
      </c>
      <c r="AL269" s="37" t="s">
        <v>1427</v>
      </c>
      <c r="AM269" s="37" t="s">
        <v>1585</v>
      </c>
      <c r="AN269" s="37" t="s">
        <v>50</v>
      </c>
      <c r="AO269" s="43">
        <v>100</v>
      </c>
      <c r="AP269" s="35">
        <v>0</v>
      </c>
      <c r="AQ269" s="35" t="s">
        <v>441</v>
      </c>
      <c r="AR269" s="44">
        <v>30</v>
      </c>
      <c r="AS269" s="37" t="s">
        <v>176</v>
      </c>
    </row>
    <row r="270" spans="1:45" ht="48.75" customHeight="1" x14ac:dyDescent="0.25">
      <c r="A270" s="32" t="s">
        <v>1759</v>
      </c>
      <c r="B270" s="56">
        <v>45316</v>
      </c>
      <c r="C270" s="37" t="s">
        <v>486</v>
      </c>
      <c r="D270" s="36" t="s">
        <v>1760</v>
      </c>
      <c r="E270" s="1" t="s">
        <v>1761</v>
      </c>
      <c r="F270" s="33">
        <v>45335</v>
      </c>
      <c r="G270" s="35" t="s">
        <v>1762</v>
      </c>
      <c r="H270" s="37" t="s">
        <v>138</v>
      </c>
      <c r="I270" s="37" t="s">
        <v>1763</v>
      </c>
      <c r="J270" s="57">
        <v>1866913.68</v>
      </c>
      <c r="K270" s="40">
        <f>((J270-M270)/J270)*100</f>
        <v>0</v>
      </c>
      <c r="L270" s="41">
        <f>J270-M270</f>
        <v>0</v>
      </c>
      <c r="M270" s="38">
        <v>1866913.68</v>
      </c>
      <c r="N270" s="41">
        <f>J270-O270</f>
        <v>0</v>
      </c>
      <c r="O270" s="38">
        <v>1866913.68</v>
      </c>
      <c r="P270" s="27">
        <f t="shared" si="40"/>
        <v>1866913.68</v>
      </c>
      <c r="Q270" s="27">
        <f t="shared" si="40"/>
        <v>1866913.68</v>
      </c>
      <c r="R270" s="27">
        <f>Q270/U270</f>
        <v>2.92</v>
      </c>
      <c r="S270" s="38">
        <f>Q270/U270</f>
        <v>2.92</v>
      </c>
      <c r="T270" s="38">
        <f>S270*AR270</f>
        <v>700.8</v>
      </c>
      <c r="U270" s="38">
        <f t="shared" si="35"/>
        <v>639354</v>
      </c>
      <c r="V270" s="38">
        <v>639354</v>
      </c>
      <c r="W270" s="38">
        <v>0</v>
      </c>
      <c r="X270" s="38">
        <v>0</v>
      </c>
      <c r="Y270" s="38">
        <v>0</v>
      </c>
      <c r="Z270" s="38">
        <f t="shared" si="41"/>
        <v>0</v>
      </c>
      <c r="AA270" s="38">
        <v>0</v>
      </c>
      <c r="AB270" s="38">
        <f t="shared" si="42"/>
        <v>0</v>
      </c>
      <c r="AC270" s="38">
        <f>U270/AR270</f>
        <v>2663.9749999999999</v>
      </c>
      <c r="AD270" s="38">
        <f t="shared" si="36"/>
        <v>2664</v>
      </c>
      <c r="AE270" s="33">
        <v>45383</v>
      </c>
      <c r="AF270" s="33"/>
      <c r="AG270" s="33"/>
      <c r="AH270" s="33">
        <v>45413</v>
      </c>
      <c r="AI270" s="33"/>
      <c r="AJ270" s="42"/>
      <c r="AK270" s="37" t="s">
        <v>1764</v>
      </c>
      <c r="AL270" s="37" t="s">
        <v>1765</v>
      </c>
      <c r="AM270" s="37" t="s">
        <v>1766</v>
      </c>
      <c r="AN270" s="37" t="s">
        <v>440</v>
      </c>
      <c r="AO270" s="43">
        <v>0</v>
      </c>
      <c r="AP270" s="35">
        <v>100</v>
      </c>
      <c r="AQ270" s="35" t="s">
        <v>164</v>
      </c>
      <c r="AR270" s="44">
        <v>240</v>
      </c>
      <c r="AS270" s="37" t="s">
        <v>52</v>
      </c>
    </row>
    <row r="271" spans="1:45" ht="48.75" customHeight="1" x14ac:dyDescent="0.25">
      <c r="A271" s="32" t="s">
        <v>1767</v>
      </c>
      <c r="B271" s="56">
        <v>45316</v>
      </c>
      <c r="C271" s="37">
        <v>1688</v>
      </c>
      <c r="D271" s="36" t="s">
        <v>1768</v>
      </c>
      <c r="E271" s="1" t="s">
        <v>1769</v>
      </c>
      <c r="F271" s="33">
        <v>45336</v>
      </c>
      <c r="G271" s="35" t="s">
        <v>1770</v>
      </c>
      <c r="H271" s="37" t="s">
        <v>45</v>
      </c>
      <c r="I271" s="37" t="s">
        <v>86</v>
      </c>
      <c r="J271" s="57">
        <v>63865214.5</v>
      </c>
      <c r="K271" s="40">
        <f>((J271-M271)/J271)*100</f>
        <v>0</v>
      </c>
      <c r="L271" s="41">
        <f>J271-M271</f>
        <v>0</v>
      </c>
      <c r="M271" s="38">
        <v>63865214.5</v>
      </c>
      <c r="N271" s="41">
        <f>J271-O271</f>
        <v>0</v>
      </c>
      <c r="O271" s="38">
        <v>63865214.5</v>
      </c>
      <c r="P271" s="27">
        <f t="shared" si="40"/>
        <v>63865214.5</v>
      </c>
      <c r="Q271" s="27">
        <f t="shared" si="40"/>
        <v>63865214.5</v>
      </c>
      <c r="R271" s="27">
        <f>Q271/U271</f>
        <v>77.95</v>
      </c>
      <c r="S271" s="38">
        <f>Q271/U271</f>
        <v>77.95</v>
      </c>
      <c r="T271" s="38">
        <f>S271*AR271</f>
        <v>779.5</v>
      </c>
      <c r="U271" s="38">
        <f t="shared" si="35"/>
        <v>819310</v>
      </c>
      <c r="V271" s="38">
        <v>819310</v>
      </c>
      <c r="W271" s="38">
        <v>0</v>
      </c>
      <c r="X271" s="38">
        <v>0</v>
      </c>
      <c r="Y271" s="38">
        <v>0</v>
      </c>
      <c r="Z271" s="38">
        <f t="shared" si="41"/>
        <v>0</v>
      </c>
      <c r="AA271" s="38">
        <v>0</v>
      </c>
      <c r="AB271" s="38">
        <f t="shared" si="42"/>
        <v>0</v>
      </c>
      <c r="AC271" s="38">
        <f>U271/AR271</f>
        <v>81931</v>
      </c>
      <c r="AD271" s="38">
        <f t="shared" si="36"/>
        <v>81931</v>
      </c>
      <c r="AE271" s="33">
        <v>45366</v>
      </c>
      <c r="AF271" s="33"/>
      <c r="AG271" s="33"/>
      <c r="AH271" s="33">
        <v>45397</v>
      </c>
      <c r="AI271" s="33"/>
      <c r="AJ271" s="42"/>
      <c r="AK271" s="37" t="s">
        <v>1771</v>
      </c>
      <c r="AL271" s="37" t="s">
        <v>1772</v>
      </c>
      <c r="AM271" s="37" t="s">
        <v>61</v>
      </c>
      <c r="AN271" s="37" t="s">
        <v>50</v>
      </c>
      <c r="AO271" s="43">
        <v>100</v>
      </c>
      <c r="AP271" s="35">
        <v>0</v>
      </c>
      <c r="AQ271" s="35" t="s">
        <v>51</v>
      </c>
      <c r="AR271" s="44">
        <v>10</v>
      </c>
      <c r="AS271" s="37" t="s">
        <v>52</v>
      </c>
    </row>
    <row r="272" spans="1:45" ht="48.75" customHeight="1" x14ac:dyDescent="0.25">
      <c r="A272" s="32" t="s">
        <v>1773</v>
      </c>
      <c r="B272" s="56">
        <v>45316</v>
      </c>
      <c r="C272" s="37">
        <v>1688</v>
      </c>
      <c r="D272" s="36" t="s">
        <v>1774</v>
      </c>
      <c r="E272" s="1" t="s">
        <v>1775</v>
      </c>
      <c r="F272" s="33">
        <v>45336</v>
      </c>
      <c r="G272" s="35" t="s">
        <v>1776</v>
      </c>
      <c r="H272" s="37" t="s">
        <v>45</v>
      </c>
      <c r="I272" s="37" t="s">
        <v>58</v>
      </c>
      <c r="J272" s="57">
        <v>7597007</v>
      </c>
      <c r="K272" s="40">
        <f>((J272-M272)/J272)*100</f>
        <v>0</v>
      </c>
      <c r="L272" s="41">
        <f>J272-M272</f>
        <v>0</v>
      </c>
      <c r="M272" s="38">
        <v>7597007</v>
      </c>
      <c r="N272" s="41">
        <f>J272-O272</f>
        <v>0</v>
      </c>
      <c r="O272" s="38">
        <v>7597007</v>
      </c>
      <c r="P272" s="27">
        <f t="shared" si="40"/>
        <v>7597007</v>
      </c>
      <c r="Q272" s="27">
        <f t="shared" si="40"/>
        <v>7597007</v>
      </c>
      <c r="R272" s="27">
        <f>Q272/U272</f>
        <v>77.95</v>
      </c>
      <c r="S272" s="38">
        <f>Q272/U272</f>
        <v>77.95</v>
      </c>
      <c r="T272" s="38">
        <f>S272*AR272</f>
        <v>779.5</v>
      </c>
      <c r="U272" s="38">
        <f t="shared" si="35"/>
        <v>97460</v>
      </c>
      <c r="V272" s="38">
        <v>97460</v>
      </c>
      <c r="W272" s="38">
        <v>0</v>
      </c>
      <c r="X272" s="38">
        <v>0</v>
      </c>
      <c r="Y272" s="38">
        <v>0</v>
      </c>
      <c r="Z272" s="38">
        <f t="shared" si="41"/>
        <v>0</v>
      </c>
      <c r="AA272" s="38">
        <v>0</v>
      </c>
      <c r="AB272" s="38">
        <f t="shared" si="42"/>
        <v>0</v>
      </c>
      <c r="AC272" s="38">
        <f>U272/AR272</f>
        <v>9746</v>
      </c>
      <c r="AD272" s="38">
        <f t="shared" si="36"/>
        <v>9746</v>
      </c>
      <c r="AE272" s="33">
        <v>45366</v>
      </c>
      <c r="AF272" s="33"/>
      <c r="AG272" s="33"/>
      <c r="AH272" s="33">
        <v>45397</v>
      </c>
      <c r="AI272" s="33"/>
      <c r="AJ272" s="42"/>
      <c r="AK272" s="37" t="s">
        <v>1771</v>
      </c>
      <c r="AL272" s="37" t="s">
        <v>1772</v>
      </c>
      <c r="AM272" s="37" t="s">
        <v>61</v>
      </c>
      <c r="AN272" s="37" t="s">
        <v>50</v>
      </c>
      <c r="AO272" s="43">
        <v>100</v>
      </c>
      <c r="AP272" s="35">
        <v>0</v>
      </c>
      <c r="AQ272" s="35" t="s">
        <v>51</v>
      </c>
      <c r="AR272" s="44">
        <v>10</v>
      </c>
      <c r="AS272" s="37" t="s">
        <v>52</v>
      </c>
    </row>
    <row r="273" spans="1:45" ht="48.75" customHeight="1" x14ac:dyDescent="0.25">
      <c r="A273" s="32" t="s">
        <v>1777</v>
      </c>
      <c r="B273" s="56">
        <v>45316</v>
      </c>
      <c r="C273" s="37">
        <v>1688</v>
      </c>
      <c r="D273" s="36" t="s">
        <v>1778</v>
      </c>
      <c r="E273" s="1" t="s">
        <v>1779</v>
      </c>
      <c r="F273" s="33">
        <v>45336</v>
      </c>
      <c r="G273" s="35" t="s">
        <v>1780</v>
      </c>
      <c r="H273" s="37" t="s">
        <v>45</v>
      </c>
      <c r="I273" s="37" t="s">
        <v>1781</v>
      </c>
      <c r="J273" s="57">
        <v>51128223.299999997</v>
      </c>
      <c r="K273" s="40">
        <f>((J273-M273)/J273)*100</f>
        <v>0</v>
      </c>
      <c r="L273" s="41">
        <f>J273-M273</f>
        <v>0</v>
      </c>
      <c r="M273" s="57">
        <v>51128223.299999997</v>
      </c>
      <c r="N273" s="41">
        <f>J273-O273</f>
        <v>0</v>
      </c>
      <c r="O273" s="57">
        <v>51128223.299999997</v>
      </c>
      <c r="P273" s="27">
        <f t="shared" si="40"/>
        <v>51128223.299999997</v>
      </c>
      <c r="Q273" s="27">
        <f t="shared" si="40"/>
        <v>51128223.299999997</v>
      </c>
      <c r="R273" s="27">
        <f>Q273/U273</f>
        <v>86.899999999999991</v>
      </c>
      <c r="S273" s="38">
        <f>Q273/U273</f>
        <v>86.899999999999991</v>
      </c>
      <c r="T273" s="38">
        <f>S273*AR273</f>
        <v>868.99999999999989</v>
      </c>
      <c r="U273" s="38">
        <f t="shared" si="35"/>
        <v>588357</v>
      </c>
      <c r="V273" s="38">
        <v>588357</v>
      </c>
      <c r="W273" s="38">
        <v>0</v>
      </c>
      <c r="X273" s="38">
        <v>0</v>
      </c>
      <c r="Y273" s="38">
        <v>0</v>
      </c>
      <c r="Z273" s="38">
        <f t="shared" si="41"/>
        <v>0</v>
      </c>
      <c r="AA273" s="38">
        <v>0</v>
      </c>
      <c r="AB273" s="38">
        <f t="shared" si="42"/>
        <v>0</v>
      </c>
      <c r="AC273" s="38">
        <f>U273/AR273</f>
        <v>58835.7</v>
      </c>
      <c r="AD273" s="38">
        <f t="shared" si="36"/>
        <v>58836</v>
      </c>
      <c r="AE273" s="33">
        <v>45366</v>
      </c>
      <c r="AF273" s="33"/>
      <c r="AG273" s="33"/>
      <c r="AH273" s="33">
        <v>45397</v>
      </c>
      <c r="AI273" s="33"/>
      <c r="AJ273" s="42"/>
      <c r="AK273" s="37" t="s">
        <v>1771</v>
      </c>
      <c r="AL273" s="37" t="s">
        <v>64</v>
      </c>
      <c r="AM273" s="37" t="s">
        <v>61</v>
      </c>
      <c r="AN273" s="37" t="s">
        <v>50</v>
      </c>
      <c r="AO273" s="43">
        <v>100</v>
      </c>
      <c r="AP273" s="35">
        <v>0</v>
      </c>
      <c r="AQ273" s="35" t="s">
        <v>51</v>
      </c>
      <c r="AR273" s="44">
        <v>10</v>
      </c>
      <c r="AS273" s="37" t="s">
        <v>52</v>
      </c>
    </row>
    <row r="274" spans="1:45" ht="48.75" customHeight="1" x14ac:dyDescent="0.25">
      <c r="A274" s="32" t="s">
        <v>1782</v>
      </c>
      <c r="B274" s="56">
        <v>45316</v>
      </c>
      <c r="C274" s="37" t="s">
        <v>486</v>
      </c>
      <c r="D274" s="36" t="s">
        <v>485</v>
      </c>
      <c r="E274" s="1" t="s">
        <v>1783</v>
      </c>
      <c r="F274" s="33" t="s">
        <v>485</v>
      </c>
      <c r="G274" s="35" t="s">
        <v>485</v>
      </c>
      <c r="H274" s="37" t="s">
        <v>485</v>
      </c>
      <c r="I274" s="35" t="s">
        <v>1784</v>
      </c>
      <c r="J274" s="57">
        <v>7532379.6900000004</v>
      </c>
      <c r="K274" s="40">
        <f>((J274-M274)/J274)*100</f>
        <v>100</v>
      </c>
      <c r="L274" s="41">
        <f>J274-M274</f>
        <v>7532379.6900000004</v>
      </c>
      <c r="M274" s="38"/>
      <c r="N274" s="41">
        <f>J274-O274</f>
        <v>7532379.6900000004</v>
      </c>
      <c r="O274" s="38">
        <v>0</v>
      </c>
      <c r="P274" s="27">
        <f t="shared" si="40"/>
        <v>0</v>
      </c>
      <c r="Q274" s="27">
        <f t="shared" si="40"/>
        <v>0</v>
      </c>
      <c r="R274" s="27" t="e">
        <f>Q274/U274</f>
        <v>#DIV/0!</v>
      </c>
      <c r="S274" s="38" t="e">
        <f>Q274/U274</f>
        <v>#DIV/0!</v>
      </c>
      <c r="T274" s="38" t="e">
        <f>S274*AR274</f>
        <v>#DIV/0!</v>
      </c>
      <c r="U274" s="38">
        <f t="shared" si="35"/>
        <v>0</v>
      </c>
      <c r="V274" s="38">
        <v>0</v>
      </c>
      <c r="W274" s="38">
        <v>0</v>
      </c>
      <c r="X274" s="38">
        <v>0</v>
      </c>
      <c r="Y274" s="38"/>
      <c r="Z274" s="38" t="e">
        <f t="shared" si="41"/>
        <v>#DIV/0!</v>
      </c>
      <c r="AA274" s="38"/>
      <c r="AB274" s="38" t="e">
        <f t="shared" si="42"/>
        <v>#DIV/0!</v>
      </c>
      <c r="AC274" s="38" t="e">
        <f>U274/AR274</f>
        <v>#DIV/0!</v>
      </c>
      <c r="AD274" s="38" t="e">
        <f t="shared" si="36"/>
        <v>#DIV/0!</v>
      </c>
      <c r="AE274" s="33">
        <v>45382</v>
      </c>
      <c r="AF274" s="33"/>
      <c r="AG274" s="33"/>
      <c r="AH274" s="33"/>
      <c r="AI274" s="33"/>
      <c r="AJ274" s="42"/>
      <c r="AK274" s="37"/>
      <c r="AL274" s="37"/>
      <c r="AM274" s="37"/>
      <c r="AN274" s="37"/>
      <c r="AO274" s="43"/>
      <c r="AP274" s="35"/>
      <c r="AQ274" s="35"/>
      <c r="AR274" s="44"/>
      <c r="AS274" s="37" t="s">
        <v>485</v>
      </c>
    </row>
    <row r="275" spans="1:45" ht="48.75" customHeight="1" x14ac:dyDescent="0.25">
      <c r="A275" s="32" t="s">
        <v>1785</v>
      </c>
      <c r="B275" s="56">
        <v>45317</v>
      </c>
      <c r="C275" s="37">
        <v>1688</v>
      </c>
      <c r="D275" s="36" t="s">
        <v>1786</v>
      </c>
      <c r="E275" s="1" t="s">
        <v>1787</v>
      </c>
      <c r="F275" s="33">
        <v>45341</v>
      </c>
      <c r="G275" s="35" t="s">
        <v>1788</v>
      </c>
      <c r="H275" s="37" t="s">
        <v>45</v>
      </c>
      <c r="I275" s="37" t="s">
        <v>1789</v>
      </c>
      <c r="J275" s="57">
        <v>30678726</v>
      </c>
      <c r="K275" s="40">
        <f>((J275-M275)/J275)*100</f>
        <v>0</v>
      </c>
      <c r="L275" s="41">
        <f>J275-M275</f>
        <v>0</v>
      </c>
      <c r="M275" s="38">
        <v>30678726</v>
      </c>
      <c r="N275" s="41">
        <f>J275-O275</f>
        <v>0</v>
      </c>
      <c r="O275" s="38">
        <v>30678726</v>
      </c>
      <c r="P275" s="27">
        <f t="shared" si="40"/>
        <v>30678726</v>
      </c>
      <c r="Q275" s="27">
        <f t="shared" si="40"/>
        <v>30678726</v>
      </c>
      <c r="R275" s="27">
        <f>Q275/U275</f>
        <v>15.67</v>
      </c>
      <c r="S275" s="38">
        <f>Q275/U275</f>
        <v>15.67</v>
      </c>
      <c r="T275" s="38">
        <f>S275*AR275</f>
        <v>1567</v>
      </c>
      <c r="U275" s="38">
        <f t="shared" si="35"/>
        <v>1957800</v>
      </c>
      <c r="V275" s="38">
        <v>1957800</v>
      </c>
      <c r="W275" s="38">
        <v>0</v>
      </c>
      <c r="X275" s="38">
        <v>0</v>
      </c>
      <c r="Y275" s="38">
        <v>0</v>
      </c>
      <c r="Z275" s="38">
        <f t="shared" si="41"/>
        <v>0</v>
      </c>
      <c r="AA275" s="38">
        <v>0</v>
      </c>
      <c r="AB275" s="38">
        <f t="shared" si="42"/>
        <v>0</v>
      </c>
      <c r="AC275" s="38">
        <f>U275/AR275</f>
        <v>19578</v>
      </c>
      <c r="AD275" s="38">
        <f t="shared" si="36"/>
        <v>19578</v>
      </c>
      <c r="AE275" s="33">
        <v>45366</v>
      </c>
      <c r="AF275" s="33"/>
      <c r="AG275" s="33"/>
      <c r="AH275" s="33">
        <v>45397</v>
      </c>
      <c r="AI275" s="33"/>
      <c r="AJ275" s="42"/>
      <c r="AK275" s="37" t="s">
        <v>121</v>
      </c>
      <c r="AL275" s="37" t="s">
        <v>121</v>
      </c>
      <c r="AM275" s="37" t="s">
        <v>1790</v>
      </c>
      <c r="AN275" s="37" t="s">
        <v>50</v>
      </c>
      <c r="AO275" s="43">
        <v>100</v>
      </c>
      <c r="AP275" s="35">
        <v>0</v>
      </c>
      <c r="AQ275" s="35" t="s">
        <v>51</v>
      </c>
      <c r="AR275" s="44">
        <v>100</v>
      </c>
      <c r="AS275" s="37" t="s">
        <v>52</v>
      </c>
    </row>
    <row r="276" spans="1:45" ht="48.75" customHeight="1" x14ac:dyDescent="0.25">
      <c r="A276" s="32" t="s">
        <v>1791</v>
      </c>
      <c r="B276" s="56">
        <v>45317</v>
      </c>
      <c r="C276" s="37">
        <v>1688</v>
      </c>
      <c r="D276" s="36" t="s">
        <v>1792</v>
      </c>
      <c r="E276" s="1" t="s">
        <v>1793</v>
      </c>
      <c r="F276" s="33">
        <v>45341</v>
      </c>
      <c r="G276" s="35" t="s">
        <v>1794</v>
      </c>
      <c r="H276" s="37" t="s">
        <v>45</v>
      </c>
      <c r="I276" s="37" t="s">
        <v>54</v>
      </c>
      <c r="J276" s="57">
        <v>48654579.509999998</v>
      </c>
      <c r="K276" s="40">
        <f>((J276-M276)/J276)*100</f>
        <v>0</v>
      </c>
      <c r="L276" s="41">
        <f>J276-M276</f>
        <v>0</v>
      </c>
      <c r="M276" s="38">
        <v>48654579.509999998</v>
      </c>
      <c r="N276" s="41">
        <f>J276-O276</f>
        <v>0</v>
      </c>
      <c r="O276" s="38">
        <v>48654579.509999998</v>
      </c>
      <c r="P276" s="27">
        <f t="shared" si="40"/>
        <v>48654579.509999998</v>
      </c>
      <c r="Q276" s="27">
        <f t="shared" si="40"/>
        <v>48654579.509999998</v>
      </c>
      <c r="R276" s="27">
        <f>Q276/U276</f>
        <v>178.76999999999998</v>
      </c>
      <c r="S276" s="38">
        <f>Q276/U276</f>
        <v>178.76999999999998</v>
      </c>
      <c r="T276" s="38">
        <f>S276*AR276</f>
        <v>1787.6999999999998</v>
      </c>
      <c r="U276" s="38">
        <f t="shared" si="35"/>
        <v>272163</v>
      </c>
      <c r="V276" s="38">
        <v>272163</v>
      </c>
      <c r="W276" s="38">
        <v>0</v>
      </c>
      <c r="X276" s="38">
        <v>0</v>
      </c>
      <c r="Y276" s="38">
        <v>0</v>
      </c>
      <c r="Z276" s="38">
        <f t="shared" si="41"/>
        <v>0</v>
      </c>
      <c r="AA276" s="38">
        <v>0</v>
      </c>
      <c r="AB276" s="38">
        <f t="shared" si="42"/>
        <v>0</v>
      </c>
      <c r="AC276" s="38">
        <f>U276/AR276</f>
        <v>27216.3</v>
      </c>
      <c r="AD276" s="38">
        <f t="shared" si="36"/>
        <v>27217</v>
      </c>
      <c r="AE276" s="33">
        <v>45383</v>
      </c>
      <c r="AF276" s="33"/>
      <c r="AG276" s="33"/>
      <c r="AH276" s="33">
        <v>45413</v>
      </c>
      <c r="AI276" s="33"/>
      <c r="AJ276" s="42"/>
      <c r="AK276" s="37" t="s">
        <v>55</v>
      </c>
      <c r="AL276" s="37" t="s">
        <v>48</v>
      </c>
      <c r="AM276" s="37" t="s">
        <v>56</v>
      </c>
      <c r="AN276" s="37" t="s">
        <v>50</v>
      </c>
      <c r="AO276" s="43">
        <v>100</v>
      </c>
      <c r="AP276" s="35">
        <v>0</v>
      </c>
      <c r="AQ276" s="35" t="s">
        <v>51</v>
      </c>
      <c r="AR276" s="44">
        <v>10</v>
      </c>
      <c r="AS276" s="37" t="s">
        <v>52</v>
      </c>
    </row>
    <row r="277" spans="1:45" ht="48.75" customHeight="1" x14ac:dyDescent="0.25">
      <c r="A277" s="32" t="s">
        <v>1795</v>
      </c>
      <c r="B277" s="56">
        <v>45317</v>
      </c>
      <c r="C277" s="37">
        <v>1688</v>
      </c>
      <c r="D277" s="36" t="s">
        <v>1796</v>
      </c>
      <c r="E277" s="1" t="s">
        <v>1797</v>
      </c>
      <c r="F277" s="33">
        <v>45341</v>
      </c>
      <c r="G277" s="35" t="s">
        <v>1798</v>
      </c>
      <c r="H277" s="37" t="s">
        <v>45</v>
      </c>
      <c r="I277" s="37" t="s">
        <v>97</v>
      </c>
      <c r="J277" s="57">
        <v>9668054</v>
      </c>
      <c r="K277" s="40">
        <f>((J277-M277)/J277)*100</f>
        <v>0</v>
      </c>
      <c r="L277" s="41">
        <f>J277-M277</f>
        <v>0</v>
      </c>
      <c r="M277" s="38">
        <v>9668054</v>
      </c>
      <c r="N277" s="41">
        <f>J277-O277</f>
        <v>0</v>
      </c>
      <c r="O277" s="38">
        <v>9668054</v>
      </c>
      <c r="P277" s="27">
        <f t="shared" si="40"/>
        <v>9668054</v>
      </c>
      <c r="Q277" s="27">
        <f t="shared" si="40"/>
        <v>9668054</v>
      </c>
      <c r="R277" s="27">
        <f>Q277/U277</f>
        <v>24.86</v>
      </c>
      <c r="S277" s="38">
        <f>Q277/U277</f>
        <v>24.86</v>
      </c>
      <c r="T277" s="38">
        <f>S277*AR277</f>
        <v>1243</v>
      </c>
      <c r="U277" s="38">
        <f t="shared" si="35"/>
        <v>388900</v>
      </c>
      <c r="V277" s="38">
        <v>210000</v>
      </c>
      <c r="W277" s="38">
        <v>178900</v>
      </c>
      <c r="X277" s="38">
        <v>0</v>
      </c>
      <c r="Y277" s="38">
        <v>0</v>
      </c>
      <c r="Z277" s="38">
        <f t="shared" si="41"/>
        <v>0</v>
      </c>
      <c r="AA277" s="38">
        <v>0</v>
      </c>
      <c r="AB277" s="38">
        <f t="shared" si="42"/>
        <v>0</v>
      </c>
      <c r="AC277" s="38">
        <f>U277/AR277</f>
        <v>7778</v>
      </c>
      <c r="AD277" s="38">
        <f t="shared" si="36"/>
        <v>7778</v>
      </c>
      <c r="AE277" s="33">
        <v>45366</v>
      </c>
      <c r="AF277" s="33">
        <v>45504</v>
      </c>
      <c r="AG277" s="33"/>
      <c r="AH277" s="33">
        <v>45397</v>
      </c>
      <c r="AI277" s="33">
        <v>45536</v>
      </c>
      <c r="AJ277" s="42"/>
      <c r="AK277" s="37" t="s">
        <v>101</v>
      </c>
      <c r="AL277" s="37" t="s">
        <v>102</v>
      </c>
      <c r="AM277" s="37" t="s">
        <v>103</v>
      </c>
      <c r="AN277" s="37" t="s">
        <v>50</v>
      </c>
      <c r="AO277" s="43">
        <v>100</v>
      </c>
      <c r="AP277" s="35">
        <v>0</v>
      </c>
      <c r="AQ277" s="35" t="s">
        <v>51</v>
      </c>
      <c r="AR277" s="44">
        <v>50</v>
      </c>
      <c r="AS277" s="37" t="s">
        <v>52</v>
      </c>
    </row>
    <row r="278" spans="1:45" ht="48.75" customHeight="1" x14ac:dyDescent="0.25">
      <c r="A278" s="32" t="s">
        <v>1799</v>
      </c>
      <c r="B278" s="56">
        <v>45317</v>
      </c>
      <c r="C278" s="37">
        <v>1688</v>
      </c>
      <c r="D278" s="36" t="s">
        <v>1800</v>
      </c>
      <c r="E278" s="1" t="s">
        <v>1801</v>
      </c>
      <c r="F278" s="33">
        <v>45341</v>
      </c>
      <c r="G278" s="35" t="s">
        <v>1802</v>
      </c>
      <c r="H278" s="37" t="s">
        <v>45</v>
      </c>
      <c r="I278" s="37" t="s">
        <v>1803</v>
      </c>
      <c r="J278" s="57">
        <v>395783.6</v>
      </c>
      <c r="K278" s="40">
        <f>((J278-M278)/J278)*100</f>
        <v>0</v>
      </c>
      <c r="L278" s="41">
        <f>J278-M278</f>
        <v>0</v>
      </c>
      <c r="M278" s="38">
        <v>395783.6</v>
      </c>
      <c r="N278" s="41">
        <f>J278-O278</f>
        <v>0</v>
      </c>
      <c r="O278" s="38">
        <v>395783.6</v>
      </c>
      <c r="P278" s="27">
        <f t="shared" si="40"/>
        <v>395783.6</v>
      </c>
      <c r="Q278" s="27">
        <f t="shared" si="40"/>
        <v>395783.6</v>
      </c>
      <c r="R278" s="27">
        <f>Q278/U278</f>
        <v>28.24</v>
      </c>
      <c r="S278" s="38">
        <f>Q278/U278</f>
        <v>28.24</v>
      </c>
      <c r="T278" s="38">
        <f>S278*AR278</f>
        <v>564.79999999999995</v>
      </c>
      <c r="U278" s="38">
        <f t="shared" si="35"/>
        <v>14015</v>
      </c>
      <c r="V278" s="38">
        <v>14015</v>
      </c>
      <c r="W278" s="38">
        <v>0</v>
      </c>
      <c r="X278" s="38">
        <v>0</v>
      </c>
      <c r="Y278" s="38">
        <v>0</v>
      </c>
      <c r="Z278" s="38">
        <f t="shared" si="41"/>
        <v>0</v>
      </c>
      <c r="AA278" s="38">
        <v>0</v>
      </c>
      <c r="AB278" s="38">
        <f t="shared" si="42"/>
        <v>0</v>
      </c>
      <c r="AC278" s="38">
        <f>U278/AR278</f>
        <v>700.75</v>
      </c>
      <c r="AD278" s="38">
        <f t="shared" si="36"/>
        <v>701</v>
      </c>
      <c r="AE278" s="33">
        <v>45437</v>
      </c>
      <c r="AF278" s="33"/>
      <c r="AG278" s="33"/>
      <c r="AH278" s="33">
        <v>45468</v>
      </c>
      <c r="AI278" s="33"/>
      <c r="AJ278" s="42"/>
      <c r="AK278" s="37" t="s">
        <v>67</v>
      </c>
      <c r="AL278" s="37" t="s">
        <v>68</v>
      </c>
      <c r="AM278" s="37" t="s">
        <v>69</v>
      </c>
      <c r="AN278" s="37" t="s">
        <v>50</v>
      </c>
      <c r="AO278" s="43">
        <v>100</v>
      </c>
      <c r="AP278" s="35">
        <v>0</v>
      </c>
      <c r="AQ278" s="35" t="s">
        <v>51</v>
      </c>
      <c r="AR278" s="44">
        <v>20</v>
      </c>
      <c r="AS278" s="37" t="s">
        <v>52</v>
      </c>
    </row>
    <row r="279" spans="1:45" ht="48.75" customHeight="1" x14ac:dyDescent="0.25">
      <c r="A279" s="32" t="s">
        <v>1804</v>
      </c>
      <c r="B279" s="56">
        <v>45317</v>
      </c>
      <c r="C279" s="37">
        <v>1688</v>
      </c>
      <c r="D279" s="36" t="s">
        <v>1805</v>
      </c>
      <c r="E279" s="1" t="s">
        <v>1806</v>
      </c>
      <c r="F279" s="33">
        <v>45341</v>
      </c>
      <c r="G279" s="35" t="s">
        <v>1807</v>
      </c>
      <c r="H279" s="37" t="s">
        <v>45</v>
      </c>
      <c r="I279" s="37" t="s">
        <v>88</v>
      </c>
      <c r="J279" s="57">
        <v>58226215.799999997</v>
      </c>
      <c r="K279" s="40">
        <f>((J279-M279)/J279)*100</f>
        <v>0</v>
      </c>
      <c r="L279" s="41">
        <f>J279-M279</f>
        <v>0</v>
      </c>
      <c r="M279" s="38">
        <v>58226215.799999997</v>
      </c>
      <c r="N279" s="41">
        <f>J279-O279</f>
        <v>0</v>
      </c>
      <c r="O279" s="38">
        <v>58226215.799999997</v>
      </c>
      <c r="P279" s="27">
        <f t="shared" si="40"/>
        <v>58226215.799999997</v>
      </c>
      <c r="Q279" s="27">
        <f t="shared" si="40"/>
        <v>58226215.799999997</v>
      </c>
      <c r="R279" s="27">
        <f>Q279/U279</f>
        <v>233.10999999999999</v>
      </c>
      <c r="S279" s="38">
        <f>Q279/U279</f>
        <v>233.10999999999999</v>
      </c>
      <c r="T279" s="38">
        <f>S279*AR279</f>
        <v>2331.1</v>
      </c>
      <c r="U279" s="38">
        <f t="shared" si="35"/>
        <v>249780</v>
      </c>
      <c r="V279" s="38">
        <v>249780</v>
      </c>
      <c r="W279" s="38">
        <v>0</v>
      </c>
      <c r="X279" s="38">
        <v>0</v>
      </c>
      <c r="Y279" s="38">
        <v>0</v>
      </c>
      <c r="Z279" s="38">
        <f t="shared" si="41"/>
        <v>0</v>
      </c>
      <c r="AA279" s="38">
        <v>0</v>
      </c>
      <c r="AB279" s="38">
        <f t="shared" si="42"/>
        <v>0</v>
      </c>
      <c r="AC279" s="38">
        <f>U279/AR279</f>
        <v>24978</v>
      </c>
      <c r="AD279" s="38">
        <f t="shared" si="36"/>
        <v>24978</v>
      </c>
      <c r="AE279" s="33">
        <v>45621</v>
      </c>
      <c r="AF279" s="33"/>
      <c r="AG279" s="33"/>
      <c r="AH279" s="33">
        <v>45649</v>
      </c>
      <c r="AI279" s="33"/>
      <c r="AJ279" s="42"/>
      <c r="AK279" s="37" t="s">
        <v>89</v>
      </c>
      <c r="AL279" s="37" t="s">
        <v>1808</v>
      </c>
      <c r="AM279" s="37" t="s">
        <v>91</v>
      </c>
      <c r="AN279" s="37" t="s">
        <v>50</v>
      </c>
      <c r="AO279" s="43">
        <v>100</v>
      </c>
      <c r="AP279" s="35">
        <v>0</v>
      </c>
      <c r="AQ279" s="35" t="s">
        <v>51</v>
      </c>
      <c r="AR279" s="44">
        <v>10</v>
      </c>
      <c r="AS279" s="37" t="s">
        <v>52</v>
      </c>
    </row>
    <row r="280" spans="1:45" ht="48.75" customHeight="1" x14ac:dyDescent="0.25">
      <c r="A280" s="32" t="s">
        <v>1809</v>
      </c>
      <c r="B280" s="56">
        <v>45317</v>
      </c>
      <c r="C280" s="37">
        <v>1688</v>
      </c>
      <c r="D280" s="36" t="s">
        <v>1810</v>
      </c>
      <c r="E280" s="1" t="s">
        <v>1811</v>
      </c>
      <c r="F280" s="33">
        <v>45341</v>
      </c>
      <c r="G280" s="35" t="s">
        <v>1812</v>
      </c>
      <c r="H280" s="37" t="s">
        <v>45</v>
      </c>
      <c r="I280" s="37" t="s">
        <v>105</v>
      </c>
      <c r="J280" s="57">
        <v>14520564.800000001</v>
      </c>
      <c r="K280" s="40">
        <f>((J280-M280)/J280)*100</f>
        <v>0</v>
      </c>
      <c r="L280" s="41">
        <f>J280-M280</f>
        <v>0</v>
      </c>
      <c r="M280" s="38">
        <v>14520564.800000001</v>
      </c>
      <c r="N280" s="41">
        <f>J280-O280</f>
        <v>0</v>
      </c>
      <c r="O280" s="38">
        <v>14520564.800000001</v>
      </c>
      <c r="P280" s="27">
        <f t="shared" si="40"/>
        <v>14520564.800000001</v>
      </c>
      <c r="Q280" s="27">
        <f t="shared" si="40"/>
        <v>14520564.800000001</v>
      </c>
      <c r="R280" s="27">
        <f>Q280/U280</f>
        <v>68.39</v>
      </c>
      <c r="S280" s="38">
        <f>Q280/U280</f>
        <v>68.39</v>
      </c>
      <c r="T280" s="38">
        <f>S280*AR280</f>
        <v>1367.8</v>
      </c>
      <c r="U280" s="38">
        <f t="shared" si="35"/>
        <v>212320</v>
      </c>
      <c r="V280" s="38">
        <v>212320</v>
      </c>
      <c r="W280" s="38">
        <v>0</v>
      </c>
      <c r="X280" s="38">
        <v>0</v>
      </c>
      <c r="Y280" s="38">
        <v>0</v>
      </c>
      <c r="Z280" s="38">
        <f t="shared" si="41"/>
        <v>0</v>
      </c>
      <c r="AA280" s="38">
        <v>0</v>
      </c>
      <c r="AB280" s="38">
        <f t="shared" si="42"/>
        <v>0</v>
      </c>
      <c r="AC280" s="38">
        <f>U280/AR280</f>
        <v>10616</v>
      </c>
      <c r="AD280" s="38">
        <f t="shared" si="36"/>
        <v>10616</v>
      </c>
      <c r="AE280" s="33">
        <v>45366</v>
      </c>
      <c r="AF280" s="33"/>
      <c r="AG280" s="33"/>
      <c r="AH280" s="33">
        <v>45397</v>
      </c>
      <c r="AI280" s="33"/>
      <c r="AJ280" s="42"/>
      <c r="AK280" s="37" t="s">
        <v>106</v>
      </c>
      <c r="AL280" s="37" t="s">
        <v>107</v>
      </c>
      <c r="AM280" s="37" t="s">
        <v>108</v>
      </c>
      <c r="AN280" s="37" t="s">
        <v>50</v>
      </c>
      <c r="AO280" s="43">
        <v>100</v>
      </c>
      <c r="AP280" s="35">
        <v>0</v>
      </c>
      <c r="AQ280" s="35" t="s">
        <v>51</v>
      </c>
      <c r="AR280" s="44">
        <v>20</v>
      </c>
      <c r="AS280" s="37" t="s">
        <v>52</v>
      </c>
    </row>
    <row r="281" spans="1:45" ht="48.75" customHeight="1" x14ac:dyDescent="0.25">
      <c r="A281" s="32" t="s">
        <v>1813</v>
      </c>
      <c r="B281" s="56">
        <v>45320</v>
      </c>
      <c r="C281" s="37">
        <v>1688</v>
      </c>
      <c r="D281" s="36" t="s">
        <v>1814</v>
      </c>
      <c r="E281" s="1" t="s">
        <v>1815</v>
      </c>
      <c r="F281" s="33">
        <v>45343</v>
      </c>
      <c r="G281" s="35" t="s">
        <v>1816</v>
      </c>
      <c r="H281" s="37" t="s">
        <v>1817</v>
      </c>
      <c r="I281" s="37" t="s">
        <v>1818</v>
      </c>
      <c r="J281" s="57">
        <v>15481314</v>
      </c>
      <c r="K281" s="40">
        <f>((J281-M281)/J281)*100</f>
        <v>0</v>
      </c>
      <c r="L281" s="41">
        <f>J281-M281</f>
        <v>0</v>
      </c>
      <c r="M281" s="57">
        <v>15481314</v>
      </c>
      <c r="N281" s="41">
        <f>J281-O281</f>
        <v>0</v>
      </c>
      <c r="O281" s="57">
        <v>15481314</v>
      </c>
      <c r="P281" s="27">
        <f t="shared" si="40"/>
        <v>15481314</v>
      </c>
      <c r="Q281" s="27">
        <f t="shared" si="40"/>
        <v>15481314</v>
      </c>
      <c r="R281" s="27">
        <f>Q281/U281</f>
        <v>15.01</v>
      </c>
      <c r="S281" s="38">
        <f>Q281/U281</f>
        <v>15.01</v>
      </c>
      <c r="T281" s="38">
        <f>S281*AR281</f>
        <v>1501</v>
      </c>
      <c r="U281" s="38">
        <f t="shared" si="35"/>
        <v>1031400</v>
      </c>
      <c r="V281" s="38">
        <v>200000</v>
      </c>
      <c r="W281" s="38">
        <v>831400</v>
      </c>
      <c r="X281" s="38">
        <v>0</v>
      </c>
      <c r="Y281" s="38">
        <v>0</v>
      </c>
      <c r="Z281" s="38">
        <f t="shared" si="41"/>
        <v>0</v>
      </c>
      <c r="AA281" s="38">
        <v>0</v>
      </c>
      <c r="AB281" s="38">
        <f t="shared" si="42"/>
        <v>0</v>
      </c>
      <c r="AC281" s="38">
        <f>U281/AR281</f>
        <v>10314</v>
      </c>
      <c r="AD281" s="38">
        <f t="shared" si="36"/>
        <v>10314</v>
      </c>
      <c r="AE281" s="33">
        <v>45366</v>
      </c>
      <c r="AF281" s="33">
        <v>45412</v>
      </c>
      <c r="AG281" s="33"/>
      <c r="AH281" s="33">
        <v>45397</v>
      </c>
      <c r="AI281" s="33">
        <v>45444</v>
      </c>
      <c r="AJ281" s="42"/>
      <c r="AK281" s="37" t="s">
        <v>1819</v>
      </c>
      <c r="AL281" s="37" t="s">
        <v>1820</v>
      </c>
      <c r="AM281" s="37" t="s">
        <v>1821</v>
      </c>
      <c r="AN281" s="37" t="s">
        <v>50</v>
      </c>
      <c r="AO281" s="43">
        <v>100</v>
      </c>
      <c r="AP281" s="35">
        <v>0</v>
      </c>
      <c r="AQ281" s="35" t="s">
        <v>51</v>
      </c>
      <c r="AR281" s="44">
        <v>100</v>
      </c>
      <c r="AS281" s="37" t="s">
        <v>52</v>
      </c>
    </row>
    <row r="282" spans="1:45" ht="58.5" customHeight="1" x14ac:dyDescent="0.25">
      <c r="A282" s="32" t="s">
        <v>1822</v>
      </c>
      <c r="B282" s="56">
        <v>45320</v>
      </c>
      <c r="C282" s="37" t="s">
        <v>486</v>
      </c>
      <c r="D282" s="36" t="s">
        <v>1823</v>
      </c>
      <c r="E282" s="1" t="s">
        <v>1824</v>
      </c>
      <c r="F282" s="33">
        <v>45342</v>
      </c>
      <c r="G282" s="35" t="s">
        <v>1825</v>
      </c>
      <c r="H282" s="37" t="s">
        <v>138</v>
      </c>
      <c r="I282" s="37" t="s">
        <v>1826</v>
      </c>
      <c r="J282" s="57">
        <v>71990384.400000006</v>
      </c>
      <c r="K282" s="40">
        <f>((J282-M282)/J282)*100</f>
        <v>0</v>
      </c>
      <c r="L282" s="41">
        <f>J282-M282</f>
        <v>0</v>
      </c>
      <c r="M282" s="38">
        <v>71990384.400000006</v>
      </c>
      <c r="N282" s="41">
        <f>J282-O282</f>
        <v>0</v>
      </c>
      <c r="O282" s="38">
        <v>71990384.400000006</v>
      </c>
      <c r="P282" s="27">
        <f t="shared" si="40"/>
        <v>71990384.400000006</v>
      </c>
      <c r="Q282" s="27">
        <f t="shared" si="40"/>
        <v>71990384.400000006</v>
      </c>
      <c r="R282" s="27">
        <v>387.42</v>
      </c>
      <c r="S282" s="38">
        <f>Q282/U282</f>
        <v>387.42</v>
      </c>
      <c r="T282" s="38">
        <f>S282*AR282</f>
        <v>11622.6</v>
      </c>
      <c r="U282" s="38">
        <f t="shared" ref="U282:U345" si="43">V282+W282+X282</f>
        <v>185820</v>
      </c>
      <c r="V282" s="38">
        <v>185820</v>
      </c>
      <c r="W282" s="38">
        <v>0</v>
      </c>
      <c r="X282" s="38">
        <v>0</v>
      </c>
      <c r="Y282" s="38">
        <v>0</v>
      </c>
      <c r="Z282" s="38">
        <f t="shared" si="41"/>
        <v>0</v>
      </c>
      <c r="AA282" s="38">
        <v>0</v>
      </c>
      <c r="AB282" s="38">
        <f t="shared" si="42"/>
        <v>0</v>
      </c>
      <c r="AC282" s="38">
        <f>U282/AR282</f>
        <v>6194</v>
      </c>
      <c r="AD282" s="38">
        <f t="shared" si="36"/>
        <v>6194</v>
      </c>
      <c r="AE282" s="33">
        <v>45383</v>
      </c>
      <c r="AF282" s="33"/>
      <c r="AG282" s="33"/>
      <c r="AH282" s="33">
        <v>45413</v>
      </c>
      <c r="AI282" s="33"/>
      <c r="AJ282" s="42"/>
      <c r="AK282" s="37" t="s">
        <v>1827</v>
      </c>
      <c r="AL282" s="37" t="s">
        <v>1828</v>
      </c>
      <c r="AM282" s="37" t="s">
        <v>1829</v>
      </c>
      <c r="AN282" s="37" t="s">
        <v>143</v>
      </c>
      <c r="AO282" s="43">
        <v>0</v>
      </c>
      <c r="AP282" s="35">
        <v>100</v>
      </c>
      <c r="AQ282" s="35" t="s">
        <v>441</v>
      </c>
      <c r="AR282" s="44">
        <v>30</v>
      </c>
      <c r="AS282" s="37" t="s">
        <v>52</v>
      </c>
    </row>
    <row r="283" spans="1:45" ht="48.75" customHeight="1" x14ac:dyDescent="0.25">
      <c r="A283" s="32" t="s">
        <v>1830</v>
      </c>
      <c r="B283" s="56">
        <v>45320</v>
      </c>
      <c r="C283" s="37">
        <v>1688</v>
      </c>
      <c r="D283" s="36" t="s">
        <v>1831</v>
      </c>
      <c r="E283" s="1" t="s">
        <v>1832</v>
      </c>
      <c r="F283" s="33">
        <v>45342</v>
      </c>
      <c r="G283" s="35" t="s">
        <v>1833</v>
      </c>
      <c r="H283" s="37" t="s">
        <v>45</v>
      </c>
      <c r="I283" s="37" t="s">
        <v>71</v>
      </c>
      <c r="J283" s="57">
        <v>14220438.699999999</v>
      </c>
      <c r="K283" s="40">
        <f>((J283-M283)/J283)*100</f>
        <v>0</v>
      </c>
      <c r="L283" s="41">
        <f>J283-M283</f>
        <v>0</v>
      </c>
      <c r="M283" s="38">
        <v>14220438.699999999</v>
      </c>
      <c r="N283" s="41">
        <f>J283-O283</f>
        <v>0</v>
      </c>
      <c r="O283" s="38">
        <v>14220438.699999999</v>
      </c>
      <c r="P283" s="27">
        <f t="shared" si="40"/>
        <v>14220438.699999999</v>
      </c>
      <c r="Q283" s="27">
        <f t="shared" si="40"/>
        <v>14220438.699999999</v>
      </c>
      <c r="R283" s="27">
        <v>36.79</v>
      </c>
      <c r="S283" s="38">
        <f>Q283/U283</f>
        <v>36.79</v>
      </c>
      <c r="T283" s="38">
        <f>S283*AR283</f>
        <v>735.8</v>
      </c>
      <c r="U283" s="38">
        <f t="shared" si="43"/>
        <v>386530</v>
      </c>
      <c r="V283" s="38">
        <v>386530</v>
      </c>
      <c r="W283" s="38">
        <v>0</v>
      </c>
      <c r="X283" s="38">
        <v>0</v>
      </c>
      <c r="Y283" s="38">
        <v>0</v>
      </c>
      <c r="Z283" s="38">
        <f t="shared" si="41"/>
        <v>0</v>
      </c>
      <c r="AA283" s="38">
        <v>0</v>
      </c>
      <c r="AB283" s="38">
        <f t="shared" si="42"/>
        <v>0</v>
      </c>
      <c r="AC283" s="38">
        <f>U283/AR283</f>
        <v>19326.5</v>
      </c>
      <c r="AD283" s="38">
        <f t="shared" si="36"/>
        <v>19327</v>
      </c>
      <c r="AE283" s="33">
        <v>45366</v>
      </c>
      <c r="AF283" s="33"/>
      <c r="AG283" s="33"/>
      <c r="AH283" s="33">
        <v>45397</v>
      </c>
      <c r="AI283" s="33"/>
      <c r="AJ283" s="42"/>
      <c r="AK283" s="37" t="s">
        <v>72</v>
      </c>
      <c r="AL283" s="37" t="s">
        <v>73</v>
      </c>
      <c r="AM283" s="37" t="s">
        <v>74</v>
      </c>
      <c r="AN283" s="37" t="s">
        <v>50</v>
      </c>
      <c r="AO283" s="43">
        <v>100</v>
      </c>
      <c r="AP283" s="35">
        <v>0</v>
      </c>
      <c r="AQ283" s="35" t="s">
        <v>51</v>
      </c>
      <c r="AR283" s="44">
        <v>20</v>
      </c>
      <c r="AS283" s="37" t="s">
        <v>52</v>
      </c>
    </row>
    <row r="284" spans="1:45" ht="48.75" customHeight="1" x14ac:dyDescent="0.25">
      <c r="A284" s="32" t="s">
        <v>1834</v>
      </c>
      <c r="B284" s="56">
        <v>45320</v>
      </c>
      <c r="C284" s="37" t="s">
        <v>486</v>
      </c>
      <c r="D284" s="35" t="s">
        <v>485</v>
      </c>
      <c r="E284" s="1" t="s">
        <v>1835</v>
      </c>
      <c r="F284" s="35" t="s">
        <v>485</v>
      </c>
      <c r="G284" s="35" t="s">
        <v>485</v>
      </c>
      <c r="H284" s="35" t="s">
        <v>485</v>
      </c>
      <c r="I284" s="37" t="s">
        <v>1836</v>
      </c>
      <c r="J284" s="57">
        <v>1051214.3999999999</v>
      </c>
      <c r="K284" s="40">
        <f>((J284-M284)/J284)*100</f>
        <v>100</v>
      </c>
      <c r="L284" s="41">
        <f>J284-M284</f>
        <v>1051214.3999999999</v>
      </c>
      <c r="M284" s="38"/>
      <c r="N284" s="41">
        <f>J284-O284</f>
        <v>1051214.3999999999</v>
      </c>
      <c r="O284" s="38">
        <v>0</v>
      </c>
      <c r="P284" s="27">
        <f t="shared" si="40"/>
        <v>0</v>
      </c>
      <c r="Q284" s="27">
        <f t="shared" si="40"/>
        <v>0</v>
      </c>
      <c r="R284" s="27">
        <v>0.37</v>
      </c>
      <c r="S284" s="38">
        <f>Q284/U284</f>
        <v>0</v>
      </c>
      <c r="T284" s="38">
        <f>S284*AR284</f>
        <v>0</v>
      </c>
      <c r="U284" s="38">
        <f t="shared" si="43"/>
        <v>2841120</v>
      </c>
      <c r="V284" s="38">
        <v>2841120</v>
      </c>
      <c r="W284" s="38">
        <v>0</v>
      </c>
      <c r="X284" s="38">
        <v>0</v>
      </c>
      <c r="Y284" s="38"/>
      <c r="Z284" s="38">
        <f t="shared" si="41"/>
        <v>0</v>
      </c>
      <c r="AA284" s="38"/>
      <c r="AB284" s="38">
        <f t="shared" si="42"/>
        <v>0</v>
      </c>
      <c r="AC284" s="38" t="e">
        <f>U284/AR284</f>
        <v>#DIV/0!</v>
      </c>
      <c r="AD284" s="38" t="e">
        <f t="shared" si="36"/>
        <v>#DIV/0!</v>
      </c>
      <c r="AE284" s="33">
        <v>45366</v>
      </c>
      <c r="AF284" s="33"/>
      <c r="AG284" s="33"/>
      <c r="AH284" s="33"/>
      <c r="AI284" s="33"/>
      <c r="AJ284" s="42"/>
      <c r="AK284" s="37"/>
      <c r="AL284" s="37"/>
      <c r="AM284" s="37"/>
      <c r="AN284" s="37"/>
      <c r="AO284" s="43"/>
      <c r="AP284" s="35"/>
      <c r="AQ284" s="35"/>
      <c r="AR284" s="44"/>
      <c r="AS284" s="37" t="s">
        <v>485</v>
      </c>
    </row>
    <row r="285" spans="1:45" ht="48.75" customHeight="1" x14ac:dyDescent="0.25">
      <c r="A285" s="32" t="s">
        <v>1837</v>
      </c>
      <c r="B285" s="56">
        <v>45320</v>
      </c>
      <c r="C285" s="37" t="s">
        <v>486</v>
      </c>
      <c r="D285" s="35" t="s">
        <v>485</v>
      </c>
      <c r="E285" s="1" t="s">
        <v>1835</v>
      </c>
      <c r="F285" s="35" t="s">
        <v>485</v>
      </c>
      <c r="G285" s="35" t="s">
        <v>485</v>
      </c>
      <c r="H285" s="35" t="s">
        <v>485</v>
      </c>
      <c r="I285" s="37" t="s">
        <v>1838</v>
      </c>
      <c r="J285" s="57">
        <v>62318490</v>
      </c>
      <c r="K285" s="40">
        <f>((J285-M285)/J285)*100</f>
        <v>100</v>
      </c>
      <c r="L285" s="41">
        <f>J285-M285</f>
        <v>62318490</v>
      </c>
      <c r="M285" s="38"/>
      <c r="N285" s="41">
        <f>J285-O285</f>
        <v>62318490</v>
      </c>
      <c r="O285" s="38">
        <v>0</v>
      </c>
      <c r="P285" s="27">
        <f t="shared" si="40"/>
        <v>0</v>
      </c>
      <c r="Q285" s="27">
        <f t="shared" si="40"/>
        <v>0</v>
      </c>
      <c r="R285" s="27">
        <v>6.5</v>
      </c>
      <c r="S285" s="38">
        <f>Q285/U285</f>
        <v>0</v>
      </c>
      <c r="T285" s="38">
        <f>S285*AR285</f>
        <v>0</v>
      </c>
      <c r="U285" s="38">
        <f t="shared" si="43"/>
        <v>9587460</v>
      </c>
      <c r="V285" s="38">
        <v>9587460</v>
      </c>
      <c r="W285" s="38">
        <v>0</v>
      </c>
      <c r="X285" s="38">
        <v>0</v>
      </c>
      <c r="Y285" s="38"/>
      <c r="Z285" s="38">
        <f t="shared" si="41"/>
        <v>0</v>
      </c>
      <c r="AA285" s="38"/>
      <c r="AB285" s="38">
        <f t="shared" si="42"/>
        <v>0</v>
      </c>
      <c r="AC285" s="38" t="e">
        <f>U285/AR285</f>
        <v>#DIV/0!</v>
      </c>
      <c r="AD285" s="38" t="e">
        <f t="shared" si="36"/>
        <v>#DIV/0!</v>
      </c>
      <c r="AE285" s="33">
        <v>45383</v>
      </c>
      <c r="AF285" s="33"/>
      <c r="AG285" s="33"/>
      <c r="AH285" s="33"/>
      <c r="AI285" s="33"/>
      <c r="AJ285" s="42"/>
      <c r="AK285" s="37"/>
      <c r="AL285" s="37"/>
      <c r="AM285" s="37"/>
      <c r="AN285" s="37"/>
      <c r="AO285" s="43"/>
      <c r="AP285" s="35"/>
      <c r="AQ285" s="35"/>
      <c r="AR285" s="44"/>
      <c r="AS285" s="37" t="s">
        <v>485</v>
      </c>
    </row>
    <row r="286" spans="1:45" ht="48.75" customHeight="1" x14ac:dyDescent="0.25">
      <c r="A286" s="32" t="s">
        <v>1839</v>
      </c>
      <c r="B286" s="56">
        <v>45320</v>
      </c>
      <c r="C286" s="37">
        <v>1688</v>
      </c>
      <c r="D286" s="36" t="s">
        <v>1840</v>
      </c>
      <c r="E286" s="1" t="s">
        <v>1841</v>
      </c>
      <c r="F286" s="33">
        <v>45342</v>
      </c>
      <c r="G286" s="35" t="s">
        <v>1842</v>
      </c>
      <c r="H286" s="37" t="s">
        <v>45</v>
      </c>
      <c r="I286" s="37" t="s">
        <v>93</v>
      </c>
      <c r="J286" s="57">
        <v>5451924.5</v>
      </c>
      <c r="K286" s="40">
        <f>((J286-M286)/J286)*100</f>
        <v>0</v>
      </c>
      <c r="L286" s="41">
        <f>J286-M286</f>
        <v>0</v>
      </c>
      <c r="M286" s="38">
        <v>5451924.5</v>
      </c>
      <c r="N286" s="41">
        <f>J286-O286</f>
        <v>0</v>
      </c>
      <c r="O286" s="38">
        <v>5451924.5</v>
      </c>
      <c r="P286" s="27">
        <f t="shared" si="40"/>
        <v>5451924.5</v>
      </c>
      <c r="Q286" s="27">
        <f t="shared" si="40"/>
        <v>5451924.5</v>
      </c>
      <c r="R286" s="27">
        <v>187.03</v>
      </c>
      <c r="S286" s="38">
        <f>Q286/U286</f>
        <v>187.03</v>
      </c>
      <c r="T286" s="38">
        <f>S286*AR286</f>
        <v>1870.3</v>
      </c>
      <c r="U286" s="38">
        <f t="shared" si="43"/>
        <v>29150</v>
      </c>
      <c r="V286" s="38">
        <v>29150</v>
      </c>
      <c r="W286" s="38">
        <v>0</v>
      </c>
      <c r="X286" s="38">
        <v>0</v>
      </c>
      <c r="Y286" s="38">
        <v>0</v>
      </c>
      <c r="Z286" s="38">
        <f t="shared" si="41"/>
        <v>0</v>
      </c>
      <c r="AA286" s="38">
        <v>0</v>
      </c>
      <c r="AB286" s="38">
        <f t="shared" si="42"/>
        <v>0</v>
      </c>
      <c r="AC286" s="38">
        <f>U286/AR286</f>
        <v>2915</v>
      </c>
      <c r="AD286" s="38">
        <f t="shared" si="36"/>
        <v>2915</v>
      </c>
      <c r="AE286" s="33">
        <v>45621</v>
      </c>
      <c r="AF286" s="33"/>
      <c r="AG286" s="33"/>
      <c r="AH286" s="33">
        <v>45649</v>
      </c>
      <c r="AI286" s="33"/>
      <c r="AJ286" s="42"/>
      <c r="AK286" s="37" t="s">
        <v>94</v>
      </c>
      <c r="AL286" s="37" t="s">
        <v>1808</v>
      </c>
      <c r="AM286" s="37" t="s">
        <v>95</v>
      </c>
      <c r="AN286" s="37" t="s">
        <v>50</v>
      </c>
      <c r="AO286" s="43">
        <v>100</v>
      </c>
      <c r="AP286" s="35">
        <v>0</v>
      </c>
      <c r="AQ286" s="35" t="s">
        <v>51</v>
      </c>
      <c r="AR286" s="44">
        <v>10</v>
      </c>
      <c r="AS286" s="37" t="s">
        <v>52</v>
      </c>
    </row>
    <row r="287" spans="1:45" ht="48.75" customHeight="1" x14ac:dyDescent="0.25">
      <c r="A287" s="32" t="s">
        <v>1843</v>
      </c>
      <c r="B287" s="56">
        <v>45320</v>
      </c>
      <c r="C287" s="37">
        <v>1688</v>
      </c>
      <c r="D287" s="36" t="s">
        <v>1844</v>
      </c>
      <c r="E287" s="1" t="s">
        <v>1845</v>
      </c>
      <c r="F287" s="33">
        <v>45343</v>
      </c>
      <c r="G287" s="35" t="s">
        <v>1846</v>
      </c>
      <c r="H287" s="37" t="s">
        <v>1847</v>
      </c>
      <c r="I287" s="37" t="s">
        <v>1848</v>
      </c>
      <c r="J287" s="57">
        <v>23115840</v>
      </c>
      <c r="K287" s="40">
        <f>((J287-M287)/J287)*100</f>
        <v>0</v>
      </c>
      <c r="L287" s="41">
        <f>J287-M287</f>
        <v>0</v>
      </c>
      <c r="M287" s="57">
        <v>23115840</v>
      </c>
      <c r="N287" s="41">
        <f>J287-O287</f>
        <v>0</v>
      </c>
      <c r="O287" s="57">
        <v>23115840</v>
      </c>
      <c r="P287" s="27">
        <f t="shared" si="40"/>
        <v>23115840</v>
      </c>
      <c r="Q287" s="27">
        <f t="shared" si="40"/>
        <v>23115840</v>
      </c>
      <c r="R287" s="27">
        <v>176</v>
      </c>
      <c r="S287" s="38">
        <f>Q287/U287</f>
        <v>176</v>
      </c>
      <c r="T287" s="38">
        <f>S287*AR287</f>
        <v>880</v>
      </c>
      <c r="U287" s="38">
        <f t="shared" si="43"/>
        <v>131340</v>
      </c>
      <c r="V287" s="38">
        <v>131340</v>
      </c>
      <c r="W287" s="38">
        <v>0</v>
      </c>
      <c r="X287" s="38">
        <v>0</v>
      </c>
      <c r="Y287" s="38">
        <v>0</v>
      </c>
      <c r="Z287" s="38">
        <f t="shared" si="41"/>
        <v>0</v>
      </c>
      <c r="AA287" s="38">
        <v>0</v>
      </c>
      <c r="AB287" s="38">
        <f t="shared" si="42"/>
        <v>0</v>
      </c>
      <c r="AC287" s="38">
        <f>U287/AR287</f>
        <v>26268</v>
      </c>
      <c r="AD287" s="38">
        <f t="shared" si="36"/>
        <v>26268</v>
      </c>
      <c r="AE287" s="33">
        <v>45413</v>
      </c>
      <c r="AF287" s="33"/>
      <c r="AG287" s="33"/>
      <c r="AH287" s="33">
        <v>45444</v>
      </c>
      <c r="AI287" s="33"/>
      <c r="AJ287" s="42"/>
      <c r="AK287" s="37" t="s">
        <v>1849</v>
      </c>
      <c r="AL287" s="37" t="s">
        <v>1850</v>
      </c>
      <c r="AM287" s="37" t="s">
        <v>1851</v>
      </c>
      <c r="AN287" s="37" t="s">
        <v>50</v>
      </c>
      <c r="AO287" s="43">
        <v>100</v>
      </c>
      <c r="AP287" s="35">
        <v>0</v>
      </c>
      <c r="AQ287" s="35" t="s">
        <v>51</v>
      </c>
      <c r="AR287" s="44">
        <v>5</v>
      </c>
      <c r="AS287" s="37" t="s">
        <v>52</v>
      </c>
    </row>
    <row r="288" spans="1:45" ht="48.75" customHeight="1" x14ac:dyDescent="0.25">
      <c r="A288" s="32" t="s">
        <v>1852</v>
      </c>
      <c r="B288" s="56">
        <v>45320</v>
      </c>
      <c r="C288" s="37" t="s">
        <v>486</v>
      </c>
      <c r="D288" s="35" t="s">
        <v>485</v>
      </c>
      <c r="E288" s="1" t="s">
        <v>1853</v>
      </c>
      <c r="F288" s="35" t="s">
        <v>485</v>
      </c>
      <c r="G288" s="35" t="s">
        <v>485</v>
      </c>
      <c r="H288" s="35" t="s">
        <v>485</v>
      </c>
      <c r="I288" s="37" t="s">
        <v>1854</v>
      </c>
      <c r="J288" s="57">
        <v>4590227.4000000004</v>
      </c>
      <c r="K288" s="40">
        <f>((J288-M288)/J288)*100</f>
        <v>100</v>
      </c>
      <c r="L288" s="41">
        <f>J288-M288</f>
        <v>4590227.4000000004</v>
      </c>
      <c r="M288" s="38"/>
      <c r="N288" s="41">
        <f>J288-O288</f>
        <v>4590227.4000000004</v>
      </c>
      <c r="O288" s="38">
        <v>0</v>
      </c>
      <c r="P288" s="27">
        <f t="shared" si="40"/>
        <v>0</v>
      </c>
      <c r="Q288" s="27">
        <f t="shared" si="40"/>
        <v>0</v>
      </c>
      <c r="R288" s="27">
        <v>45477</v>
      </c>
      <c r="S288" s="38">
        <f>Q288/U288</f>
        <v>0</v>
      </c>
      <c r="T288" s="38">
        <f>S288*AR288</f>
        <v>0</v>
      </c>
      <c r="U288" s="38">
        <f t="shared" si="43"/>
        <v>1127820</v>
      </c>
      <c r="V288" s="38">
        <v>1127820</v>
      </c>
      <c r="W288" s="38">
        <v>0</v>
      </c>
      <c r="X288" s="38">
        <v>0</v>
      </c>
      <c r="Y288" s="38"/>
      <c r="Z288" s="38">
        <f t="shared" si="41"/>
        <v>0</v>
      </c>
      <c r="AA288" s="38"/>
      <c r="AB288" s="38">
        <f t="shared" si="42"/>
        <v>0</v>
      </c>
      <c r="AC288" s="38" t="e">
        <f>U288/AR288</f>
        <v>#DIV/0!</v>
      </c>
      <c r="AD288" s="38" t="e">
        <f t="shared" si="36"/>
        <v>#DIV/0!</v>
      </c>
      <c r="AE288" s="33">
        <v>45383</v>
      </c>
      <c r="AF288" s="33"/>
      <c r="AG288" s="33"/>
      <c r="AH288" s="33"/>
      <c r="AI288" s="33"/>
      <c r="AJ288" s="42"/>
      <c r="AK288" s="37"/>
      <c r="AL288" s="37"/>
      <c r="AM288" s="37"/>
      <c r="AN288" s="37"/>
      <c r="AO288" s="43"/>
      <c r="AP288" s="35"/>
      <c r="AQ288" s="35"/>
      <c r="AR288" s="44"/>
      <c r="AS288" s="37" t="s">
        <v>485</v>
      </c>
    </row>
    <row r="289" spans="1:45" ht="48.75" customHeight="1" x14ac:dyDescent="0.25">
      <c r="A289" s="32" t="s">
        <v>1855</v>
      </c>
      <c r="B289" s="56">
        <v>45320</v>
      </c>
      <c r="C289" s="37">
        <v>1688</v>
      </c>
      <c r="D289" s="36" t="s">
        <v>1856</v>
      </c>
      <c r="E289" s="1" t="s">
        <v>1857</v>
      </c>
      <c r="F289" s="33">
        <v>45342</v>
      </c>
      <c r="G289" s="35" t="s">
        <v>1858</v>
      </c>
      <c r="H289" s="37" t="s">
        <v>45</v>
      </c>
      <c r="I289" s="37" t="s">
        <v>1542</v>
      </c>
      <c r="J289" s="57">
        <v>156002068.31999999</v>
      </c>
      <c r="K289" s="40">
        <f>((J289-M289)/J289)*100</f>
        <v>0</v>
      </c>
      <c r="L289" s="41">
        <f>J289-M289</f>
        <v>0</v>
      </c>
      <c r="M289" s="38">
        <v>156002068.31999999</v>
      </c>
      <c r="N289" s="41">
        <f>J289-O289</f>
        <v>0</v>
      </c>
      <c r="O289" s="38">
        <v>156002068.31999999</v>
      </c>
      <c r="P289" s="27">
        <f t="shared" si="40"/>
        <v>156002068.31999999</v>
      </c>
      <c r="Q289" s="27">
        <f t="shared" si="40"/>
        <v>156002068.31999999</v>
      </c>
      <c r="R289" s="27" t="s">
        <v>1859</v>
      </c>
      <c r="S289" s="38">
        <f>Q289/U289</f>
        <v>39.629999999999995</v>
      </c>
      <c r="T289" s="38">
        <f>S289*AR289</f>
        <v>792.59999999999991</v>
      </c>
      <c r="U289" s="38">
        <f t="shared" si="43"/>
        <v>3936464</v>
      </c>
      <c r="V289" s="38">
        <v>3936464</v>
      </c>
      <c r="W289" s="38">
        <v>0</v>
      </c>
      <c r="X289" s="38">
        <v>0</v>
      </c>
      <c r="Y289" s="38">
        <v>0</v>
      </c>
      <c r="Z289" s="38">
        <f t="shared" si="41"/>
        <v>0</v>
      </c>
      <c r="AA289" s="38">
        <v>0</v>
      </c>
      <c r="AB289" s="38">
        <f t="shared" si="42"/>
        <v>0</v>
      </c>
      <c r="AC289" s="38">
        <f>U289/AR289</f>
        <v>196823.2</v>
      </c>
      <c r="AD289" s="38">
        <f t="shared" ref="AD289:AD352" si="44">_xlfn.CEILING.MATH(AC289)</f>
        <v>196824</v>
      </c>
      <c r="AE289" s="33">
        <v>45366</v>
      </c>
      <c r="AF289" s="33"/>
      <c r="AG289" s="33"/>
      <c r="AH289" s="33">
        <v>45397</v>
      </c>
      <c r="AI289" s="33"/>
      <c r="AJ289" s="42"/>
      <c r="AK289" s="37" t="s">
        <v>82</v>
      </c>
      <c r="AL289" s="37" t="s">
        <v>83</v>
      </c>
      <c r="AM289" s="37" t="s">
        <v>84</v>
      </c>
      <c r="AN289" s="37" t="s">
        <v>50</v>
      </c>
      <c r="AO289" s="43">
        <v>100</v>
      </c>
      <c r="AP289" s="35">
        <v>0</v>
      </c>
      <c r="AQ289" s="35" t="s">
        <v>51</v>
      </c>
      <c r="AR289" s="44">
        <v>20</v>
      </c>
      <c r="AS289" s="37" t="s">
        <v>52</v>
      </c>
    </row>
    <row r="290" spans="1:45" ht="48.75" customHeight="1" x14ac:dyDescent="0.25">
      <c r="A290" s="32" t="s">
        <v>1860</v>
      </c>
      <c r="B290" s="56">
        <v>45320</v>
      </c>
      <c r="C290" s="37" t="s">
        <v>1861</v>
      </c>
      <c r="D290" s="36" t="s">
        <v>1862</v>
      </c>
      <c r="E290" s="1" t="s">
        <v>1863</v>
      </c>
      <c r="F290" s="33">
        <v>45330</v>
      </c>
      <c r="G290" s="35" t="s">
        <v>1864</v>
      </c>
      <c r="H290" s="37" t="s">
        <v>331</v>
      </c>
      <c r="I290" s="37" t="s">
        <v>516</v>
      </c>
      <c r="J290" s="57">
        <v>3756093</v>
      </c>
      <c r="K290" s="40">
        <f>((J290-M290)/J290)*100</f>
        <v>0</v>
      </c>
      <c r="L290" s="41">
        <f>J290-M290</f>
        <v>0</v>
      </c>
      <c r="M290" s="38">
        <v>3756093</v>
      </c>
      <c r="N290" s="41">
        <f>J290-O290</f>
        <v>0</v>
      </c>
      <c r="O290" s="38">
        <v>3756093</v>
      </c>
      <c r="P290" s="27">
        <f t="shared" si="40"/>
        <v>3756093</v>
      </c>
      <c r="Q290" s="27">
        <f t="shared" si="40"/>
        <v>3756093</v>
      </c>
      <c r="R290" s="27">
        <f>Q290/U290</f>
        <v>1455.85</v>
      </c>
      <c r="S290" s="38">
        <f>Q290/U290</f>
        <v>1455.85</v>
      </c>
      <c r="T290" s="38">
        <f>S290*AR290</f>
        <v>43675.5</v>
      </c>
      <c r="U290" s="38">
        <f t="shared" si="43"/>
        <v>2580</v>
      </c>
      <c r="V290" s="38">
        <v>2580</v>
      </c>
      <c r="W290" s="38">
        <v>0</v>
      </c>
      <c r="X290" s="38">
        <v>0</v>
      </c>
      <c r="Y290" s="38">
        <v>0</v>
      </c>
      <c r="Z290" s="38">
        <f t="shared" si="41"/>
        <v>0</v>
      </c>
      <c r="AA290" s="38">
        <v>0</v>
      </c>
      <c r="AB290" s="38">
        <f t="shared" si="42"/>
        <v>0</v>
      </c>
      <c r="AC290" s="38">
        <f>U290/AR290</f>
        <v>86</v>
      </c>
      <c r="AD290" s="38">
        <f t="shared" si="44"/>
        <v>86</v>
      </c>
      <c r="AE290" s="33">
        <v>45352</v>
      </c>
      <c r="AF290" s="33"/>
      <c r="AG290" s="33"/>
      <c r="AH290" s="33">
        <v>45383</v>
      </c>
      <c r="AI290" s="33"/>
      <c r="AJ290" s="42"/>
      <c r="AK290" s="37" t="s">
        <v>494</v>
      </c>
      <c r="AL290" s="37" t="s">
        <v>517</v>
      </c>
      <c r="AM290" s="37" t="s">
        <v>496</v>
      </c>
      <c r="AN290" s="37" t="s">
        <v>352</v>
      </c>
      <c r="AO290" s="43">
        <v>0</v>
      </c>
      <c r="AP290" s="35">
        <v>100</v>
      </c>
      <c r="AQ290" s="35" t="s">
        <v>441</v>
      </c>
      <c r="AR290" s="44">
        <v>30</v>
      </c>
      <c r="AS290" s="37" t="s">
        <v>176</v>
      </c>
    </row>
    <row r="291" spans="1:45" ht="43.5" customHeight="1" x14ac:dyDescent="0.25">
      <c r="A291" s="32" t="s">
        <v>1865</v>
      </c>
      <c r="B291" s="56">
        <v>45320</v>
      </c>
      <c r="C291" s="37">
        <v>545</v>
      </c>
      <c r="D291" s="36" t="s">
        <v>485</v>
      </c>
      <c r="E291" s="1" t="s">
        <v>1866</v>
      </c>
      <c r="F291" s="33" t="s">
        <v>485</v>
      </c>
      <c r="G291" s="35" t="s">
        <v>485</v>
      </c>
      <c r="H291" s="37" t="s">
        <v>485</v>
      </c>
      <c r="I291" s="37" t="s">
        <v>1210</v>
      </c>
      <c r="J291" s="57">
        <v>266757529.5</v>
      </c>
      <c r="K291" s="40">
        <f>((J291-M291)/J291)*100</f>
        <v>100</v>
      </c>
      <c r="L291" s="41">
        <f>J291-M291</f>
        <v>266757529.5</v>
      </c>
      <c r="M291" s="38"/>
      <c r="N291" s="41">
        <f>J291-O291</f>
        <v>266757529.5</v>
      </c>
      <c r="O291" s="38">
        <v>0</v>
      </c>
      <c r="P291" s="27">
        <f t="shared" si="40"/>
        <v>0</v>
      </c>
      <c r="Q291" s="27">
        <f t="shared" si="40"/>
        <v>0</v>
      </c>
      <c r="R291" s="27">
        <v>204411.9</v>
      </c>
      <c r="S291" s="38">
        <f>Q291/U291</f>
        <v>0</v>
      </c>
      <c r="T291" s="38">
        <f>S291*AR291</f>
        <v>0</v>
      </c>
      <c r="U291" s="38">
        <f t="shared" si="43"/>
        <v>1305</v>
      </c>
      <c r="V291" s="38">
        <v>1305</v>
      </c>
      <c r="W291" s="38">
        <v>0</v>
      </c>
      <c r="X291" s="38">
        <v>0</v>
      </c>
      <c r="Y291" s="38"/>
      <c r="Z291" s="38">
        <f t="shared" si="41"/>
        <v>0</v>
      </c>
      <c r="AA291" s="38"/>
      <c r="AB291" s="38">
        <f t="shared" si="42"/>
        <v>0</v>
      </c>
      <c r="AC291" s="38" t="e">
        <f>U291/AR291</f>
        <v>#DIV/0!</v>
      </c>
      <c r="AD291" s="38" t="e">
        <f t="shared" si="44"/>
        <v>#DIV/0!</v>
      </c>
      <c r="AE291" s="33">
        <v>45366</v>
      </c>
      <c r="AF291" s="33"/>
      <c r="AG291" s="33"/>
      <c r="AH291" s="33"/>
      <c r="AI291" s="33"/>
      <c r="AJ291" s="42"/>
      <c r="AK291" s="37"/>
      <c r="AL291" s="37"/>
      <c r="AM291" s="37"/>
      <c r="AN291" s="37"/>
      <c r="AO291" s="43"/>
      <c r="AP291" s="35"/>
      <c r="AQ291" s="35"/>
      <c r="AR291" s="44"/>
      <c r="AS291" s="37" t="s">
        <v>485</v>
      </c>
    </row>
    <row r="292" spans="1:45" ht="48" customHeight="1" x14ac:dyDescent="0.25">
      <c r="A292" s="32" t="s">
        <v>1867</v>
      </c>
      <c r="B292" s="56">
        <v>45320</v>
      </c>
      <c r="C292" s="37">
        <v>545</v>
      </c>
      <c r="D292" s="35" t="s">
        <v>485</v>
      </c>
      <c r="E292" s="1" t="s">
        <v>1868</v>
      </c>
      <c r="F292" s="35" t="s">
        <v>485</v>
      </c>
      <c r="G292" s="35" t="s">
        <v>485</v>
      </c>
      <c r="H292" s="35" t="s">
        <v>485</v>
      </c>
      <c r="I292" s="37" t="s">
        <v>618</v>
      </c>
      <c r="J292" s="57">
        <v>28479928.800000001</v>
      </c>
      <c r="K292" s="40">
        <f>((J292-M292)/J292)*100</f>
        <v>100</v>
      </c>
      <c r="L292" s="41">
        <f>J292-M292</f>
        <v>28479928.800000001</v>
      </c>
      <c r="M292" s="38"/>
      <c r="N292" s="41">
        <f>J292-O292</f>
        <v>28479928.800000001</v>
      </c>
      <c r="O292" s="38">
        <v>0</v>
      </c>
      <c r="P292" s="27">
        <f t="shared" si="40"/>
        <v>0</v>
      </c>
      <c r="Q292" s="27">
        <f t="shared" si="40"/>
        <v>0</v>
      </c>
      <c r="R292" s="27">
        <v>5333.32</v>
      </c>
      <c r="S292" s="38">
        <f>Q292/U292</f>
        <v>0</v>
      </c>
      <c r="T292" s="38">
        <f>S292*AR292</f>
        <v>0</v>
      </c>
      <c r="U292" s="38">
        <f t="shared" si="43"/>
        <v>5340</v>
      </c>
      <c r="V292" s="38">
        <v>5340</v>
      </c>
      <c r="W292" s="38">
        <v>0</v>
      </c>
      <c r="X292" s="38">
        <v>0</v>
      </c>
      <c r="Y292" s="38"/>
      <c r="Z292" s="38">
        <f t="shared" si="41"/>
        <v>0</v>
      </c>
      <c r="AA292" s="38"/>
      <c r="AB292" s="38">
        <f t="shared" si="42"/>
        <v>0</v>
      </c>
      <c r="AC292" s="38" t="e">
        <f>U292/AR292</f>
        <v>#DIV/0!</v>
      </c>
      <c r="AD292" s="38" t="e">
        <f t="shared" si="44"/>
        <v>#DIV/0!</v>
      </c>
      <c r="AE292" s="33">
        <v>45382</v>
      </c>
      <c r="AF292" s="33"/>
      <c r="AG292" s="33"/>
      <c r="AH292" s="33"/>
      <c r="AI292" s="33"/>
      <c r="AJ292" s="42"/>
      <c r="AK292" s="37"/>
      <c r="AL292" s="37"/>
      <c r="AM292" s="37"/>
      <c r="AN292" s="37"/>
      <c r="AO292" s="43"/>
      <c r="AP292" s="35"/>
      <c r="AQ292" s="35"/>
      <c r="AR292" s="44"/>
      <c r="AS292" s="37" t="s">
        <v>485</v>
      </c>
    </row>
    <row r="293" spans="1:45" ht="48" customHeight="1" x14ac:dyDescent="0.25">
      <c r="A293" s="32" t="s">
        <v>1869</v>
      </c>
      <c r="B293" s="56">
        <v>45322</v>
      </c>
      <c r="C293" s="37">
        <v>1688</v>
      </c>
      <c r="D293" s="35" t="s">
        <v>485</v>
      </c>
      <c r="E293" s="1" t="s">
        <v>1870</v>
      </c>
      <c r="F293" s="35" t="s">
        <v>485</v>
      </c>
      <c r="G293" s="35" t="s">
        <v>485</v>
      </c>
      <c r="H293" s="35" t="s">
        <v>485</v>
      </c>
      <c r="I293" s="58" t="s">
        <v>1871</v>
      </c>
      <c r="J293" s="57">
        <v>27006669.719999999</v>
      </c>
      <c r="K293" s="40">
        <f>((J293-M293)/J293)*100</f>
        <v>100</v>
      </c>
      <c r="L293" s="41">
        <f>J293-M293</f>
        <v>27006669.719999999</v>
      </c>
      <c r="M293" s="38"/>
      <c r="N293" s="41">
        <f>J293-O293</f>
        <v>27006669.719999999</v>
      </c>
      <c r="O293" s="38">
        <v>0</v>
      </c>
      <c r="P293" s="27">
        <f t="shared" si="40"/>
        <v>0</v>
      </c>
      <c r="Q293" s="27">
        <f t="shared" si="40"/>
        <v>0</v>
      </c>
      <c r="R293" s="27" t="s">
        <v>1872</v>
      </c>
      <c r="S293" s="38">
        <f>Q293/U293</f>
        <v>0</v>
      </c>
      <c r="T293" s="38">
        <f>S293*AR293</f>
        <v>0</v>
      </c>
      <c r="U293" s="38">
        <f t="shared" si="43"/>
        <v>414467</v>
      </c>
      <c r="V293" s="38">
        <v>414467</v>
      </c>
      <c r="W293" s="38">
        <v>0</v>
      </c>
      <c r="X293" s="38">
        <v>0</v>
      </c>
      <c r="Y293" s="38"/>
      <c r="Z293" s="38">
        <f t="shared" si="41"/>
        <v>0</v>
      </c>
      <c r="AA293" s="38"/>
      <c r="AB293" s="38">
        <f t="shared" si="42"/>
        <v>0</v>
      </c>
      <c r="AC293" s="38" t="e">
        <f>U293/AR293</f>
        <v>#DIV/0!</v>
      </c>
      <c r="AD293" s="38" t="e">
        <f t="shared" si="44"/>
        <v>#DIV/0!</v>
      </c>
      <c r="AE293" s="33">
        <v>45621</v>
      </c>
      <c r="AF293" s="33"/>
      <c r="AG293" s="33"/>
      <c r="AH293" s="33"/>
      <c r="AI293" s="33"/>
      <c r="AJ293" s="42"/>
      <c r="AK293" s="37"/>
      <c r="AL293" s="37"/>
      <c r="AM293" s="37"/>
      <c r="AN293" s="37"/>
      <c r="AO293" s="43"/>
      <c r="AP293" s="35"/>
      <c r="AQ293" s="35"/>
      <c r="AR293" s="44"/>
      <c r="AS293" s="37" t="s">
        <v>485</v>
      </c>
    </row>
    <row r="294" spans="1:45" ht="48" customHeight="1" x14ac:dyDescent="0.25">
      <c r="A294" s="32" t="s">
        <v>1873</v>
      </c>
      <c r="B294" s="56">
        <v>45322</v>
      </c>
      <c r="C294" s="37">
        <v>1688</v>
      </c>
      <c r="D294" s="35" t="s">
        <v>485</v>
      </c>
      <c r="E294" s="1" t="s">
        <v>1874</v>
      </c>
      <c r="F294" s="35" t="s">
        <v>485</v>
      </c>
      <c r="G294" s="35" t="s">
        <v>485</v>
      </c>
      <c r="H294" s="35" t="s">
        <v>485</v>
      </c>
      <c r="I294" s="58" t="s">
        <v>1875</v>
      </c>
      <c r="J294" s="57">
        <v>182095170.19999999</v>
      </c>
      <c r="K294" s="40">
        <f>((J294-M294)/J294)*100</f>
        <v>100</v>
      </c>
      <c r="L294" s="41">
        <f>J294-M294</f>
        <v>182095170.19999999</v>
      </c>
      <c r="M294" s="38"/>
      <c r="N294" s="41">
        <f>J294-O294</f>
        <v>182095170.19999999</v>
      </c>
      <c r="O294" s="38">
        <v>0</v>
      </c>
      <c r="P294" s="27">
        <f t="shared" si="40"/>
        <v>0</v>
      </c>
      <c r="Q294" s="27">
        <f t="shared" si="40"/>
        <v>0</v>
      </c>
      <c r="R294" s="27">
        <v>429.49</v>
      </c>
      <c r="S294" s="38">
        <f>Q294/U294</f>
        <v>0</v>
      </c>
      <c r="T294" s="38">
        <f>S294*AR294</f>
        <v>0</v>
      </c>
      <c r="U294" s="38">
        <f t="shared" si="43"/>
        <v>423980</v>
      </c>
      <c r="V294" s="38">
        <v>423980</v>
      </c>
      <c r="W294" s="38">
        <v>0</v>
      </c>
      <c r="X294" s="38">
        <v>0</v>
      </c>
      <c r="Y294" s="38"/>
      <c r="Z294" s="38">
        <f t="shared" si="41"/>
        <v>0</v>
      </c>
      <c r="AA294" s="38"/>
      <c r="AB294" s="38">
        <f t="shared" si="42"/>
        <v>0</v>
      </c>
      <c r="AC294" s="38" t="e">
        <f>U294/AR294</f>
        <v>#DIV/0!</v>
      </c>
      <c r="AD294" s="38" t="e">
        <f t="shared" si="44"/>
        <v>#DIV/0!</v>
      </c>
      <c r="AE294" s="33">
        <v>45383</v>
      </c>
      <c r="AF294" s="33"/>
      <c r="AG294" s="33"/>
      <c r="AH294" s="33"/>
      <c r="AI294" s="33"/>
      <c r="AJ294" s="42"/>
      <c r="AK294" s="37"/>
      <c r="AL294" s="37"/>
      <c r="AM294" s="37"/>
      <c r="AN294" s="37"/>
      <c r="AO294" s="43"/>
      <c r="AP294" s="35"/>
      <c r="AQ294" s="35"/>
      <c r="AR294" s="44"/>
      <c r="AS294" s="37" t="s">
        <v>485</v>
      </c>
    </row>
    <row r="295" spans="1:45" ht="48" customHeight="1" x14ac:dyDescent="0.25">
      <c r="A295" s="32" t="s">
        <v>1876</v>
      </c>
      <c r="B295" s="56">
        <v>45322</v>
      </c>
      <c r="C295" s="37">
        <v>1688</v>
      </c>
      <c r="D295" s="35" t="s">
        <v>485</v>
      </c>
      <c r="E295" s="1" t="s">
        <v>1877</v>
      </c>
      <c r="F295" s="35" t="s">
        <v>485</v>
      </c>
      <c r="G295" s="35" t="s">
        <v>485</v>
      </c>
      <c r="H295" s="35" t="s">
        <v>485</v>
      </c>
      <c r="I295" s="58" t="s">
        <v>1878</v>
      </c>
      <c r="J295" s="57">
        <v>1446902272.8</v>
      </c>
      <c r="K295" s="40">
        <f>((J295-M295)/J295)*100</f>
        <v>100</v>
      </c>
      <c r="L295" s="41">
        <f>J295-M295</f>
        <v>1446902272.8</v>
      </c>
      <c r="M295" s="38"/>
      <c r="N295" s="41">
        <f>J295-O295</f>
        <v>1446902272.8</v>
      </c>
      <c r="O295" s="38">
        <v>0</v>
      </c>
      <c r="P295" s="27">
        <f t="shared" si="40"/>
        <v>0</v>
      </c>
      <c r="Q295" s="27">
        <f t="shared" si="40"/>
        <v>0</v>
      </c>
      <c r="R295" s="27">
        <v>1406.07</v>
      </c>
      <c r="S295" s="38">
        <f>Q295/U295</f>
        <v>0</v>
      </c>
      <c r="T295" s="38">
        <f>S295*AR295</f>
        <v>0</v>
      </c>
      <c r="U295" s="38">
        <f t="shared" si="43"/>
        <v>1029040</v>
      </c>
      <c r="V295" s="38">
        <v>1029040</v>
      </c>
      <c r="W295" s="38">
        <v>0</v>
      </c>
      <c r="X295" s="38">
        <v>0</v>
      </c>
      <c r="Y295" s="38"/>
      <c r="Z295" s="38">
        <f t="shared" si="41"/>
        <v>0</v>
      </c>
      <c r="AA295" s="38"/>
      <c r="AB295" s="38">
        <f t="shared" si="42"/>
        <v>0</v>
      </c>
      <c r="AC295" s="38" t="e">
        <f>U295/AR295</f>
        <v>#DIV/0!</v>
      </c>
      <c r="AD295" s="38" t="e">
        <f t="shared" si="44"/>
        <v>#DIV/0!</v>
      </c>
      <c r="AE295" s="33">
        <v>45383</v>
      </c>
      <c r="AF295" s="33"/>
      <c r="AG295" s="33"/>
      <c r="AH295" s="33"/>
      <c r="AI295" s="33"/>
      <c r="AJ295" s="42"/>
      <c r="AK295" s="37"/>
      <c r="AL295" s="37"/>
      <c r="AM295" s="37"/>
      <c r="AN295" s="37"/>
      <c r="AO295" s="43"/>
      <c r="AP295" s="35"/>
      <c r="AQ295" s="35"/>
      <c r="AR295" s="44"/>
      <c r="AS295" s="37" t="s">
        <v>485</v>
      </c>
    </row>
    <row r="296" spans="1:45" ht="48" customHeight="1" x14ac:dyDescent="0.25">
      <c r="A296" s="32" t="s">
        <v>1879</v>
      </c>
      <c r="B296" s="56">
        <v>45322</v>
      </c>
      <c r="C296" s="37">
        <v>1688</v>
      </c>
      <c r="D296" s="35" t="s">
        <v>485</v>
      </c>
      <c r="E296" s="1" t="s">
        <v>1880</v>
      </c>
      <c r="F296" s="35" t="s">
        <v>485</v>
      </c>
      <c r="G296" s="35" t="s">
        <v>485</v>
      </c>
      <c r="H296" s="35" t="s">
        <v>485</v>
      </c>
      <c r="I296" s="45" t="s">
        <v>1881</v>
      </c>
      <c r="J296" s="57">
        <v>3496393.9</v>
      </c>
      <c r="K296" s="40">
        <f>((J296-M296)/J296)*100</f>
        <v>100</v>
      </c>
      <c r="L296" s="41">
        <f>J296-M296</f>
        <v>3496393.9</v>
      </c>
      <c r="M296" s="38"/>
      <c r="N296" s="41">
        <f>J296-O296</f>
        <v>3496393.9</v>
      </c>
      <c r="O296" s="38">
        <v>0</v>
      </c>
      <c r="P296" s="27">
        <f t="shared" si="40"/>
        <v>0</v>
      </c>
      <c r="Q296" s="27">
        <f t="shared" si="40"/>
        <v>0</v>
      </c>
      <c r="R296" s="27">
        <v>127.1</v>
      </c>
      <c r="S296" s="38">
        <f>Q296/U296</f>
        <v>0</v>
      </c>
      <c r="T296" s="38">
        <f>S296*AR296</f>
        <v>0</v>
      </c>
      <c r="U296" s="38">
        <f t="shared" si="43"/>
        <v>27509</v>
      </c>
      <c r="V296" s="38">
        <v>27509</v>
      </c>
      <c r="W296" s="38">
        <v>0</v>
      </c>
      <c r="X296" s="38">
        <v>0</v>
      </c>
      <c r="Y296" s="38"/>
      <c r="Z296" s="38">
        <f t="shared" si="41"/>
        <v>0</v>
      </c>
      <c r="AA296" s="38"/>
      <c r="AB296" s="38">
        <f t="shared" si="42"/>
        <v>0</v>
      </c>
      <c r="AC296" s="38" t="e">
        <f>U296/AR296</f>
        <v>#DIV/0!</v>
      </c>
      <c r="AD296" s="38" t="e">
        <f t="shared" si="44"/>
        <v>#DIV/0!</v>
      </c>
      <c r="AE296" s="33">
        <v>45383</v>
      </c>
      <c r="AF296" s="33"/>
      <c r="AG296" s="33"/>
      <c r="AH296" s="33"/>
      <c r="AI296" s="33"/>
      <c r="AJ296" s="42"/>
      <c r="AK296" s="37"/>
      <c r="AL296" s="37"/>
      <c r="AM296" s="37"/>
      <c r="AN296" s="37"/>
      <c r="AO296" s="43"/>
      <c r="AP296" s="35"/>
      <c r="AQ296" s="35"/>
      <c r="AR296" s="44"/>
      <c r="AS296" s="37" t="s">
        <v>485</v>
      </c>
    </row>
    <row r="297" spans="1:45" ht="48" customHeight="1" x14ac:dyDescent="0.25">
      <c r="A297" s="32" t="s">
        <v>1882</v>
      </c>
      <c r="B297" s="56">
        <v>45322</v>
      </c>
      <c r="C297" s="37">
        <v>1688</v>
      </c>
      <c r="D297" s="36" t="s">
        <v>485</v>
      </c>
      <c r="E297" s="1" t="s">
        <v>1883</v>
      </c>
      <c r="F297" s="33" t="s">
        <v>485</v>
      </c>
      <c r="G297" s="35" t="s">
        <v>485</v>
      </c>
      <c r="H297" s="37" t="s">
        <v>485</v>
      </c>
      <c r="I297" s="45" t="s">
        <v>110</v>
      </c>
      <c r="J297" s="57">
        <v>311730449.25</v>
      </c>
      <c r="K297" s="40">
        <f>((J297-M297)/J297)*100</f>
        <v>100</v>
      </c>
      <c r="L297" s="41">
        <f>J297-M297</f>
        <v>311730449.25</v>
      </c>
      <c r="M297" s="38"/>
      <c r="N297" s="41">
        <f>J297-O297</f>
        <v>311730449.25</v>
      </c>
      <c r="O297" s="38">
        <v>0</v>
      </c>
      <c r="P297" s="27">
        <f t="shared" si="40"/>
        <v>0</v>
      </c>
      <c r="Q297" s="27">
        <f t="shared" si="40"/>
        <v>0</v>
      </c>
      <c r="R297" s="27">
        <v>49.15</v>
      </c>
      <c r="S297" s="38">
        <f>Q297/U297</f>
        <v>0</v>
      </c>
      <c r="T297" s="38">
        <f>S297*AR297</f>
        <v>0</v>
      </c>
      <c r="U297" s="38">
        <f t="shared" si="43"/>
        <v>634695</v>
      </c>
      <c r="V297" s="38">
        <v>634695</v>
      </c>
      <c r="W297" s="38">
        <v>0</v>
      </c>
      <c r="X297" s="38">
        <v>0</v>
      </c>
      <c r="Y297" s="38"/>
      <c r="Z297" s="38">
        <f t="shared" si="41"/>
        <v>0</v>
      </c>
      <c r="AA297" s="38"/>
      <c r="AB297" s="38">
        <f t="shared" si="42"/>
        <v>0</v>
      </c>
      <c r="AC297" s="38" t="e">
        <f>U297/AR297</f>
        <v>#DIV/0!</v>
      </c>
      <c r="AD297" s="38" t="e">
        <f t="shared" si="44"/>
        <v>#DIV/0!</v>
      </c>
      <c r="AE297" s="33">
        <v>45641</v>
      </c>
      <c r="AF297" s="33"/>
      <c r="AG297" s="33"/>
      <c r="AH297" s="33"/>
      <c r="AI297" s="33"/>
      <c r="AJ297" s="42"/>
      <c r="AK297" s="37"/>
      <c r="AL297" s="37"/>
      <c r="AM297" s="37"/>
      <c r="AN297" s="37"/>
      <c r="AO297" s="43"/>
      <c r="AP297" s="35"/>
      <c r="AQ297" s="35"/>
      <c r="AR297" s="44"/>
      <c r="AS297" s="37" t="s">
        <v>485</v>
      </c>
    </row>
    <row r="298" spans="1:45" ht="48" customHeight="1" x14ac:dyDescent="0.25">
      <c r="A298" s="32" t="s">
        <v>1884</v>
      </c>
      <c r="B298" s="56">
        <v>45322</v>
      </c>
      <c r="C298" s="37" t="s">
        <v>486</v>
      </c>
      <c r="D298" s="35" t="s">
        <v>485</v>
      </c>
      <c r="E298" s="1" t="s">
        <v>1885</v>
      </c>
      <c r="F298" s="35" t="s">
        <v>485</v>
      </c>
      <c r="G298" s="35" t="s">
        <v>485</v>
      </c>
      <c r="H298" s="35" t="s">
        <v>485</v>
      </c>
      <c r="I298" s="59" t="s">
        <v>1311</v>
      </c>
      <c r="J298" s="57">
        <v>2935272</v>
      </c>
      <c r="K298" s="40">
        <f>((J298-M298)/J298)*100</f>
        <v>100</v>
      </c>
      <c r="L298" s="41">
        <f>J298-M298</f>
        <v>2935272</v>
      </c>
      <c r="M298" s="38"/>
      <c r="N298" s="41">
        <f>J298-O298</f>
        <v>2935272</v>
      </c>
      <c r="O298" s="38">
        <v>0</v>
      </c>
      <c r="P298" s="27">
        <f t="shared" si="40"/>
        <v>0</v>
      </c>
      <c r="Q298" s="27">
        <f t="shared" si="40"/>
        <v>0</v>
      </c>
      <c r="R298" s="27">
        <v>64.37</v>
      </c>
      <c r="S298" s="38">
        <f>Q298/U298</f>
        <v>0</v>
      </c>
      <c r="T298" s="38">
        <f>S298*AR298</f>
        <v>0</v>
      </c>
      <c r="U298" s="38">
        <f t="shared" si="43"/>
        <v>45600</v>
      </c>
      <c r="V298" s="38">
        <v>45600</v>
      </c>
      <c r="W298" s="38">
        <v>0</v>
      </c>
      <c r="X298" s="38">
        <v>0</v>
      </c>
      <c r="Y298" s="38"/>
      <c r="Z298" s="38">
        <f t="shared" si="41"/>
        <v>0</v>
      </c>
      <c r="AA298" s="38"/>
      <c r="AB298" s="38">
        <f t="shared" si="42"/>
        <v>0</v>
      </c>
      <c r="AC298" s="38" t="e">
        <f>U298/AR298</f>
        <v>#DIV/0!</v>
      </c>
      <c r="AD298" s="38" t="e">
        <f t="shared" si="44"/>
        <v>#DIV/0!</v>
      </c>
      <c r="AE298" s="33">
        <v>45505</v>
      </c>
      <c r="AF298" s="33"/>
      <c r="AG298" s="33"/>
      <c r="AH298" s="33"/>
      <c r="AI298" s="33"/>
      <c r="AJ298" s="42"/>
      <c r="AK298" s="37"/>
      <c r="AL298" s="37"/>
      <c r="AM298" s="37"/>
      <c r="AN298" s="37"/>
      <c r="AO298" s="43"/>
      <c r="AP298" s="35"/>
      <c r="AQ298" s="35"/>
      <c r="AR298" s="44"/>
      <c r="AS298" s="37" t="s">
        <v>485</v>
      </c>
    </row>
    <row r="299" spans="1:45" ht="48" customHeight="1" x14ac:dyDescent="0.25">
      <c r="A299" s="32" t="s">
        <v>1886</v>
      </c>
      <c r="B299" s="56">
        <v>45322</v>
      </c>
      <c r="C299" s="37" t="s">
        <v>486</v>
      </c>
      <c r="D299" s="36"/>
      <c r="E299" s="1" t="s">
        <v>1887</v>
      </c>
      <c r="F299" s="33">
        <v>45352</v>
      </c>
      <c r="G299" s="35" t="s">
        <v>1888</v>
      </c>
      <c r="H299" s="37" t="s">
        <v>291</v>
      </c>
      <c r="I299" s="58" t="s">
        <v>1889</v>
      </c>
      <c r="J299" s="57">
        <v>2261169228.5999999</v>
      </c>
      <c r="K299" s="40">
        <f>((J299-M299)/J299)*100</f>
        <v>0</v>
      </c>
      <c r="L299" s="41">
        <f>J299-M299</f>
        <v>0</v>
      </c>
      <c r="M299" s="57">
        <v>2261169228.5999999</v>
      </c>
      <c r="N299" s="41">
        <f>J299-O299</f>
        <v>0</v>
      </c>
      <c r="O299" s="57">
        <v>2261169228.5999999</v>
      </c>
      <c r="P299" s="27">
        <f t="shared" si="40"/>
        <v>2261169228.5999999</v>
      </c>
      <c r="Q299" s="27">
        <f t="shared" si="40"/>
        <v>2261169228.5999999</v>
      </c>
      <c r="R299" s="27">
        <v>206.94</v>
      </c>
      <c r="S299" s="38">
        <f>Q299/U299</f>
        <v>206.94</v>
      </c>
      <c r="T299" s="38">
        <f>S299*AR299</f>
        <v>12416.4</v>
      </c>
      <c r="U299" s="38">
        <f t="shared" si="43"/>
        <v>10926690</v>
      </c>
      <c r="V299" s="38">
        <v>10926690</v>
      </c>
      <c r="W299" s="38">
        <v>0</v>
      </c>
      <c r="X299" s="38">
        <v>0</v>
      </c>
      <c r="Y299" s="38">
        <v>0</v>
      </c>
      <c r="Z299" s="38">
        <f t="shared" si="41"/>
        <v>0</v>
      </c>
      <c r="AA299" s="38">
        <v>0</v>
      </c>
      <c r="AB299" s="38">
        <f t="shared" si="42"/>
        <v>0</v>
      </c>
      <c r="AC299" s="38">
        <f>U299/AR299</f>
        <v>182111.5</v>
      </c>
      <c r="AD299" s="38">
        <f t="shared" si="44"/>
        <v>182112</v>
      </c>
      <c r="AE299" s="33">
        <v>45383</v>
      </c>
      <c r="AF299" s="33"/>
      <c r="AG299" s="33"/>
      <c r="AH299" s="33">
        <v>45413</v>
      </c>
      <c r="AI299" s="33"/>
      <c r="AJ299" s="42"/>
      <c r="AK299" s="37" t="s">
        <v>1890</v>
      </c>
      <c r="AL299" s="37" t="s">
        <v>1891</v>
      </c>
      <c r="AM299" s="37" t="s">
        <v>1892</v>
      </c>
      <c r="AN299" s="37" t="s">
        <v>50</v>
      </c>
      <c r="AO299" s="43">
        <v>100</v>
      </c>
      <c r="AP299" s="35">
        <v>0</v>
      </c>
      <c r="AQ299" s="35" t="s">
        <v>441</v>
      </c>
      <c r="AR299" s="44">
        <v>60</v>
      </c>
      <c r="AS299" s="37" t="s">
        <v>52</v>
      </c>
    </row>
    <row r="300" spans="1:45" ht="48" customHeight="1" x14ac:dyDescent="0.25">
      <c r="A300" s="32" t="s">
        <v>1893</v>
      </c>
      <c r="B300" s="56">
        <v>45322</v>
      </c>
      <c r="C300" s="37">
        <v>545</v>
      </c>
      <c r="D300" s="36" t="s">
        <v>1894</v>
      </c>
      <c r="E300" s="1" t="s">
        <v>1895</v>
      </c>
      <c r="F300" s="33">
        <v>45348</v>
      </c>
      <c r="G300" s="35" t="s">
        <v>1896</v>
      </c>
      <c r="H300" s="37" t="s">
        <v>1897</v>
      </c>
      <c r="I300" s="59" t="s">
        <v>461</v>
      </c>
      <c r="J300" s="57">
        <v>19720324.800000001</v>
      </c>
      <c r="K300" s="40">
        <f>((J300-M300)/J300)*100</f>
        <v>0</v>
      </c>
      <c r="L300" s="41">
        <f>J300-M300</f>
        <v>0</v>
      </c>
      <c r="M300" s="57">
        <v>19720324.800000001</v>
      </c>
      <c r="N300" s="41">
        <f>J300-O300</f>
        <v>0</v>
      </c>
      <c r="O300" s="38">
        <v>19720324.800000001</v>
      </c>
      <c r="P300" s="27">
        <f t="shared" si="40"/>
        <v>19720324.800000001</v>
      </c>
      <c r="Q300" s="27">
        <f t="shared" si="40"/>
        <v>19720324.800000001</v>
      </c>
      <c r="R300" s="27">
        <v>6201.36</v>
      </c>
      <c r="S300" s="38">
        <f>Q300/U300</f>
        <v>6201.3600000000006</v>
      </c>
      <c r="T300" s="38">
        <f>S300*AR300</f>
        <v>372081.60000000003</v>
      </c>
      <c r="U300" s="38">
        <f t="shared" si="43"/>
        <v>3180</v>
      </c>
      <c r="V300" s="38">
        <v>3180</v>
      </c>
      <c r="W300" s="38">
        <v>0</v>
      </c>
      <c r="X300" s="38">
        <v>0</v>
      </c>
      <c r="Y300" s="38">
        <v>0</v>
      </c>
      <c r="Z300" s="38">
        <f t="shared" si="41"/>
        <v>0</v>
      </c>
      <c r="AA300" s="38">
        <v>0</v>
      </c>
      <c r="AB300" s="38">
        <f t="shared" si="42"/>
        <v>0</v>
      </c>
      <c r="AC300" s="38">
        <f>U300/AR300</f>
        <v>53</v>
      </c>
      <c r="AD300" s="38">
        <f t="shared" si="44"/>
        <v>53</v>
      </c>
      <c r="AE300" s="33">
        <v>45366</v>
      </c>
      <c r="AF300" s="33"/>
      <c r="AG300" s="33"/>
      <c r="AH300" s="33">
        <v>45397</v>
      </c>
      <c r="AI300" s="33"/>
      <c r="AJ300" s="42"/>
      <c r="AK300" s="37" t="s">
        <v>437</v>
      </c>
      <c r="AL300" s="37" t="s">
        <v>1898</v>
      </c>
      <c r="AM300" s="37" t="s">
        <v>439</v>
      </c>
      <c r="AN300" s="37" t="s">
        <v>440</v>
      </c>
      <c r="AO300" s="43">
        <v>0</v>
      </c>
      <c r="AP300" s="35">
        <v>100</v>
      </c>
      <c r="AQ300" s="35" t="s">
        <v>441</v>
      </c>
      <c r="AR300" s="44">
        <v>60</v>
      </c>
      <c r="AS300" s="37" t="s">
        <v>176</v>
      </c>
    </row>
    <row r="301" spans="1:45" ht="48" customHeight="1" x14ac:dyDescent="0.25">
      <c r="A301" s="32" t="s">
        <v>1899</v>
      </c>
      <c r="B301" s="56">
        <v>45322</v>
      </c>
      <c r="C301" s="37">
        <v>545</v>
      </c>
      <c r="D301" s="36" t="s">
        <v>1900</v>
      </c>
      <c r="E301" s="1" t="s">
        <v>1901</v>
      </c>
      <c r="F301" s="33">
        <v>45348</v>
      </c>
      <c r="G301" s="35" t="s">
        <v>1902</v>
      </c>
      <c r="H301" s="37" t="s">
        <v>1897</v>
      </c>
      <c r="I301" s="59" t="s">
        <v>461</v>
      </c>
      <c r="J301" s="57">
        <v>18231998.399999999</v>
      </c>
      <c r="K301" s="40">
        <f>((J301-M301)/J301)*100</f>
        <v>0</v>
      </c>
      <c r="L301" s="41">
        <f>J301-M301</f>
        <v>0</v>
      </c>
      <c r="M301" s="57">
        <v>18231998.399999999</v>
      </c>
      <c r="N301" s="41">
        <f>J301-O301</f>
        <v>0</v>
      </c>
      <c r="O301" s="38">
        <v>18231998.399999999</v>
      </c>
      <c r="P301" s="27">
        <f t="shared" si="40"/>
        <v>18231998.399999999</v>
      </c>
      <c r="Q301" s="27">
        <f t="shared" si="40"/>
        <v>18231998.399999999</v>
      </c>
      <c r="R301" s="27">
        <v>6201.36</v>
      </c>
      <c r="S301" s="38">
        <f>Q301/U301</f>
        <v>6201.36</v>
      </c>
      <c r="T301" s="38">
        <f>S301*AR301</f>
        <v>372081.6</v>
      </c>
      <c r="U301" s="38">
        <f t="shared" si="43"/>
        <v>2940</v>
      </c>
      <c r="V301" s="38">
        <v>2940</v>
      </c>
      <c r="W301" s="38">
        <v>0</v>
      </c>
      <c r="X301" s="38">
        <v>0</v>
      </c>
      <c r="Y301" s="38">
        <v>0</v>
      </c>
      <c r="Z301" s="38">
        <f t="shared" si="41"/>
        <v>0</v>
      </c>
      <c r="AA301" s="38">
        <v>0</v>
      </c>
      <c r="AB301" s="38">
        <f t="shared" si="42"/>
        <v>0</v>
      </c>
      <c r="AC301" s="38">
        <f>U301/AR301</f>
        <v>49</v>
      </c>
      <c r="AD301" s="38">
        <f t="shared" si="44"/>
        <v>49</v>
      </c>
      <c r="AE301" s="33">
        <v>45366</v>
      </c>
      <c r="AF301" s="33"/>
      <c r="AG301" s="33"/>
      <c r="AH301" s="33">
        <v>45397</v>
      </c>
      <c r="AI301" s="33"/>
      <c r="AJ301" s="42"/>
      <c r="AK301" s="37" t="s">
        <v>437</v>
      </c>
      <c r="AL301" s="37" t="s">
        <v>1898</v>
      </c>
      <c r="AM301" s="37" t="s">
        <v>439</v>
      </c>
      <c r="AN301" s="37" t="s">
        <v>440</v>
      </c>
      <c r="AO301" s="43">
        <v>0</v>
      </c>
      <c r="AP301" s="35">
        <v>100</v>
      </c>
      <c r="AQ301" s="35" t="s">
        <v>441</v>
      </c>
      <c r="AR301" s="44">
        <v>60</v>
      </c>
      <c r="AS301" s="37" t="s">
        <v>176</v>
      </c>
    </row>
    <row r="302" spans="1:45" ht="48" customHeight="1" x14ac:dyDescent="0.25">
      <c r="A302" s="32" t="s">
        <v>1903</v>
      </c>
      <c r="B302" s="56">
        <v>45322</v>
      </c>
      <c r="C302" s="37">
        <v>545</v>
      </c>
      <c r="D302" s="36" t="s">
        <v>1904</v>
      </c>
      <c r="E302" s="1" t="s">
        <v>1905</v>
      </c>
      <c r="F302" s="33">
        <v>45348</v>
      </c>
      <c r="G302" s="35" t="s">
        <v>1906</v>
      </c>
      <c r="H302" s="37" t="s">
        <v>1897</v>
      </c>
      <c r="I302" s="59" t="s">
        <v>461</v>
      </c>
      <c r="J302" s="57">
        <v>19720324.800000001</v>
      </c>
      <c r="K302" s="40">
        <f>((J302-M302)/J302)*100</f>
        <v>0</v>
      </c>
      <c r="L302" s="41">
        <f>J302-M302</f>
        <v>0</v>
      </c>
      <c r="M302" s="57">
        <v>19720324.800000001</v>
      </c>
      <c r="N302" s="41">
        <f>J302-O302</f>
        <v>0</v>
      </c>
      <c r="O302" s="38">
        <v>19720324.800000001</v>
      </c>
      <c r="P302" s="27">
        <f t="shared" si="40"/>
        <v>19720324.800000001</v>
      </c>
      <c r="Q302" s="27">
        <f t="shared" si="40"/>
        <v>19720324.800000001</v>
      </c>
      <c r="R302" s="27">
        <v>6201.36</v>
      </c>
      <c r="S302" s="38">
        <f>Q302/U302</f>
        <v>6201.3600000000006</v>
      </c>
      <c r="T302" s="38">
        <f>S302*AR302</f>
        <v>372081.60000000003</v>
      </c>
      <c r="U302" s="38">
        <f t="shared" si="43"/>
        <v>3180</v>
      </c>
      <c r="V302" s="38">
        <v>3180</v>
      </c>
      <c r="W302" s="38">
        <v>0</v>
      </c>
      <c r="X302" s="38">
        <v>0</v>
      </c>
      <c r="Y302" s="38">
        <v>0</v>
      </c>
      <c r="Z302" s="38">
        <f t="shared" si="41"/>
        <v>0</v>
      </c>
      <c r="AA302" s="38">
        <v>0</v>
      </c>
      <c r="AB302" s="38">
        <f t="shared" si="42"/>
        <v>0</v>
      </c>
      <c r="AC302" s="38">
        <f>U302/AR302</f>
        <v>53</v>
      </c>
      <c r="AD302" s="38">
        <f t="shared" si="44"/>
        <v>53</v>
      </c>
      <c r="AE302" s="33">
        <v>45366</v>
      </c>
      <c r="AF302" s="33"/>
      <c r="AG302" s="33"/>
      <c r="AH302" s="33">
        <v>45397</v>
      </c>
      <c r="AI302" s="33"/>
      <c r="AJ302" s="42"/>
      <c r="AK302" s="37" t="s">
        <v>437</v>
      </c>
      <c r="AL302" s="37" t="s">
        <v>1898</v>
      </c>
      <c r="AM302" s="37" t="s">
        <v>439</v>
      </c>
      <c r="AN302" s="37" t="s">
        <v>440</v>
      </c>
      <c r="AO302" s="43">
        <v>0</v>
      </c>
      <c r="AP302" s="35">
        <v>100</v>
      </c>
      <c r="AQ302" s="35" t="s">
        <v>441</v>
      </c>
      <c r="AR302" s="44">
        <v>60</v>
      </c>
      <c r="AS302" s="37" t="s">
        <v>176</v>
      </c>
    </row>
    <row r="303" spans="1:45" ht="48" customHeight="1" x14ac:dyDescent="0.25">
      <c r="A303" s="32" t="s">
        <v>1907</v>
      </c>
      <c r="B303" s="56">
        <v>45322</v>
      </c>
      <c r="C303" s="37">
        <v>545</v>
      </c>
      <c r="D303" s="36" t="s">
        <v>1908</v>
      </c>
      <c r="E303" s="1" t="s">
        <v>1909</v>
      </c>
      <c r="F303" s="33">
        <v>45348</v>
      </c>
      <c r="G303" s="35" t="s">
        <v>1910</v>
      </c>
      <c r="H303" s="37" t="s">
        <v>1897</v>
      </c>
      <c r="I303" s="59" t="s">
        <v>461</v>
      </c>
      <c r="J303" s="57">
        <v>19348243.199999999</v>
      </c>
      <c r="K303" s="40">
        <f>((J303-M303)/J303)*100</f>
        <v>0</v>
      </c>
      <c r="L303" s="41">
        <f>J303-M303</f>
        <v>0</v>
      </c>
      <c r="M303" s="57">
        <v>19348243.199999999</v>
      </c>
      <c r="N303" s="41">
        <f>J303-O303</f>
        <v>0</v>
      </c>
      <c r="O303" s="38">
        <v>19348243.199999999</v>
      </c>
      <c r="P303" s="27">
        <f t="shared" si="40"/>
        <v>19348243.199999999</v>
      </c>
      <c r="Q303" s="27">
        <f t="shared" si="40"/>
        <v>19348243.199999999</v>
      </c>
      <c r="R303" s="27">
        <v>6201.36</v>
      </c>
      <c r="S303" s="38">
        <f>Q303/U303</f>
        <v>6201.36</v>
      </c>
      <c r="T303" s="38">
        <f>S303*AR303</f>
        <v>372081.6</v>
      </c>
      <c r="U303" s="38">
        <f t="shared" si="43"/>
        <v>3120</v>
      </c>
      <c r="V303" s="38">
        <v>3120</v>
      </c>
      <c r="W303" s="38">
        <v>0</v>
      </c>
      <c r="X303" s="38">
        <v>0</v>
      </c>
      <c r="Y303" s="38">
        <v>0</v>
      </c>
      <c r="Z303" s="38">
        <f t="shared" si="41"/>
        <v>0</v>
      </c>
      <c r="AA303" s="38">
        <v>0</v>
      </c>
      <c r="AB303" s="38">
        <f t="shared" si="42"/>
        <v>0</v>
      </c>
      <c r="AC303" s="38">
        <f>U303/AR303</f>
        <v>52</v>
      </c>
      <c r="AD303" s="38">
        <f t="shared" si="44"/>
        <v>52</v>
      </c>
      <c r="AE303" s="33">
        <v>45366</v>
      </c>
      <c r="AF303" s="33"/>
      <c r="AG303" s="33"/>
      <c r="AH303" s="33">
        <v>45397</v>
      </c>
      <c r="AI303" s="33"/>
      <c r="AJ303" s="42"/>
      <c r="AK303" s="37" t="s">
        <v>437</v>
      </c>
      <c r="AL303" s="37" t="s">
        <v>1898</v>
      </c>
      <c r="AM303" s="37" t="s">
        <v>439</v>
      </c>
      <c r="AN303" s="37" t="s">
        <v>440</v>
      </c>
      <c r="AO303" s="43">
        <v>0</v>
      </c>
      <c r="AP303" s="35">
        <v>100</v>
      </c>
      <c r="AQ303" s="35" t="s">
        <v>441</v>
      </c>
      <c r="AR303" s="44">
        <v>60</v>
      </c>
      <c r="AS303" s="37" t="s">
        <v>176</v>
      </c>
    </row>
    <row r="304" spans="1:45" ht="48" customHeight="1" x14ac:dyDescent="0.25">
      <c r="A304" s="32" t="s">
        <v>1911</v>
      </c>
      <c r="B304" s="56">
        <v>45322</v>
      </c>
      <c r="C304" s="37">
        <v>545</v>
      </c>
      <c r="D304" s="36" t="s">
        <v>1912</v>
      </c>
      <c r="E304" s="1" t="s">
        <v>1913</v>
      </c>
      <c r="F304" s="33">
        <v>45348</v>
      </c>
      <c r="G304" s="35" t="s">
        <v>1914</v>
      </c>
      <c r="H304" s="37" t="s">
        <v>1897</v>
      </c>
      <c r="I304" s="59" t="s">
        <v>461</v>
      </c>
      <c r="J304" s="57">
        <v>19720324.800000001</v>
      </c>
      <c r="K304" s="40">
        <f>((J304-M304)/J304)*100</f>
        <v>0</v>
      </c>
      <c r="L304" s="41">
        <f>J304-M304</f>
        <v>0</v>
      </c>
      <c r="M304" s="57">
        <v>19720324.800000001</v>
      </c>
      <c r="N304" s="41">
        <f>J304-O304</f>
        <v>0</v>
      </c>
      <c r="O304" s="38">
        <v>19720324.800000001</v>
      </c>
      <c r="P304" s="27">
        <f t="shared" si="40"/>
        <v>19720324.800000001</v>
      </c>
      <c r="Q304" s="27">
        <f t="shared" si="40"/>
        <v>19720324.800000001</v>
      </c>
      <c r="R304" s="27">
        <v>6201.36</v>
      </c>
      <c r="S304" s="38">
        <f>Q304/U304</f>
        <v>6201.3600000000006</v>
      </c>
      <c r="T304" s="38">
        <f>S304*AR304</f>
        <v>372081.60000000003</v>
      </c>
      <c r="U304" s="38">
        <f t="shared" si="43"/>
        <v>3180</v>
      </c>
      <c r="V304" s="38">
        <v>3180</v>
      </c>
      <c r="W304" s="38">
        <v>0</v>
      </c>
      <c r="X304" s="38">
        <v>0</v>
      </c>
      <c r="Y304" s="38">
        <v>0</v>
      </c>
      <c r="Z304" s="38">
        <f t="shared" si="41"/>
        <v>0</v>
      </c>
      <c r="AA304" s="38">
        <v>0</v>
      </c>
      <c r="AB304" s="38">
        <f t="shared" si="42"/>
        <v>0</v>
      </c>
      <c r="AC304" s="38">
        <f>U304/AR304</f>
        <v>53</v>
      </c>
      <c r="AD304" s="38">
        <f t="shared" si="44"/>
        <v>53</v>
      </c>
      <c r="AE304" s="33">
        <v>45366</v>
      </c>
      <c r="AF304" s="33"/>
      <c r="AG304" s="33"/>
      <c r="AH304" s="33">
        <v>45397</v>
      </c>
      <c r="AI304" s="33"/>
      <c r="AJ304" s="42"/>
      <c r="AK304" s="37" t="s">
        <v>437</v>
      </c>
      <c r="AL304" s="37" t="s">
        <v>1898</v>
      </c>
      <c r="AM304" s="37" t="s">
        <v>439</v>
      </c>
      <c r="AN304" s="37" t="s">
        <v>440</v>
      </c>
      <c r="AO304" s="43">
        <v>0</v>
      </c>
      <c r="AP304" s="35">
        <v>100</v>
      </c>
      <c r="AQ304" s="35" t="s">
        <v>441</v>
      </c>
      <c r="AR304" s="44">
        <v>60</v>
      </c>
      <c r="AS304" s="37" t="s">
        <v>176</v>
      </c>
    </row>
    <row r="305" spans="1:45" ht="48" customHeight="1" x14ac:dyDescent="0.25">
      <c r="A305" s="32" t="s">
        <v>1915</v>
      </c>
      <c r="B305" s="56">
        <v>45322</v>
      </c>
      <c r="C305" s="37">
        <v>545</v>
      </c>
      <c r="D305" s="36" t="s">
        <v>1916</v>
      </c>
      <c r="E305" s="1" t="s">
        <v>1917</v>
      </c>
      <c r="F305" s="33">
        <v>45348</v>
      </c>
      <c r="G305" s="35" t="s">
        <v>1918</v>
      </c>
      <c r="H305" s="37" t="s">
        <v>1897</v>
      </c>
      <c r="I305" s="59" t="s">
        <v>461</v>
      </c>
      <c r="J305" s="57">
        <v>18604080</v>
      </c>
      <c r="K305" s="40">
        <f>((J305-M305)/J305)*100</f>
        <v>0</v>
      </c>
      <c r="L305" s="41">
        <f>J305-M305</f>
        <v>0</v>
      </c>
      <c r="M305" s="57">
        <v>18604080</v>
      </c>
      <c r="N305" s="41">
        <f>J305-O305</f>
        <v>0</v>
      </c>
      <c r="O305" s="38">
        <v>18604080</v>
      </c>
      <c r="P305" s="27">
        <v>20836569.600000001</v>
      </c>
      <c r="Q305" s="27">
        <f t="shared" ref="Q305:Q346" si="45">P305</f>
        <v>20836569.600000001</v>
      </c>
      <c r="R305" s="27">
        <v>6201.36</v>
      </c>
      <c r="S305" s="38">
        <f>Q305/U305</f>
        <v>6201.3600000000006</v>
      </c>
      <c r="T305" s="38">
        <f>S305*AR305</f>
        <v>372081.60000000003</v>
      </c>
      <c r="U305" s="38">
        <f t="shared" si="43"/>
        <v>3360</v>
      </c>
      <c r="V305" s="38">
        <f>3000+360</f>
        <v>3360</v>
      </c>
      <c r="W305" s="38">
        <v>0</v>
      </c>
      <c r="X305" s="38">
        <v>0</v>
      </c>
      <c r="Y305" s="38">
        <v>0</v>
      </c>
      <c r="Z305" s="38">
        <f t="shared" si="41"/>
        <v>0</v>
      </c>
      <c r="AA305" s="38">
        <v>0</v>
      </c>
      <c r="AB305" s="38">
        <f t="shared" si="42"/>
        <v>0</v>
      </c>
      <c r="AC305" s="38">
        <f>U305/AR305</f>
        <v>56</v>
      </c>
      <c r="AD305" s="38">
        <f t="shared" si="44"/>
        <v>56</v>
      </c>
      <c r="AE305" s="33">
        <v>45366</v>
      </c>
      <c r="AF305" s="33"/>
      <c r="AG305" s="33"/>
      <c r="AH305" s="33">
        <v>45397</v>
      </c>
      <c r="AI305" s="33"/>
      <c r="AJ305" s="42"/>
      <c r="AK305" s="37" t="s">
        <v>437</v>
      </c>
      <c r="AL305" s="37" t="s">
        <v>1898</v>
      </c>
      <c r="AM305" s="37" t="s">
        <v>439</v>
      </c>
      <c r="AN305" s="37" t="s">
        <v>440</v>
      </c>
      <c r="AO305" s="43">
        <v>0</v>
      </c>
      <c r="AP305" s="35">
        <v>100</v>
      </c>
      <c r="AQ305" s="35" t="s">
        <v>441</v>
      </c>
      <c r="AR305" s="44">
        <v>60</v>
      </c>
      <c r="AS305" s="37" t="s">
        <v>176</v>
      </c>
    </row>
    <row r="306" spans="1:45" ht="48" customHeight="1" x14ac:dyDescent="0.25">
      <c r="A306" s="32" t="s">
        <v>1919</v>
      </c>
      <c r="B306" s="56">
        <v>45322</v>
      </c>
      <c r="C306" s="37">
        <v>545</v>
      </c>
      <c r="D306" s="36" t="s">
        <v>1920</v>
      </c>
      <c r="E306" s="1" t="s">
        <v>1921</v>
      </c>
      <c r="F306" s="33">
        <v>45348</v>
      </c>
      <c r="G306" s="35" t="s">
        <v>1922</v>
      </c>
      <c r="H306" s="37" t="s">
        <v>1897</v>
      </c>
      <c r="I306" s="59" t="s">
        <v>461</v>
      </c>
      <c r="J306" s="57">
        <v>18231998.399999999</v>
      </c>
      <c r="K306" s="40">
        <f>((J306-M306)/J306)*100</f>
        <v>0</v>
      </c>
      <c r="L306" s="41">
        <f>J306-M306</f>
        <v>0</v>
      </c>
      <c r="M306" s="57">
        <v>18231998.399999999</v>
      </c>
      <c r="N306" s="41">
        <f>J306-O306</f>
        <v>0</v>
      </c>
      <c r="O306" s="38">
        <v>18231998.399999999</v>
      </c>
      <c r="P306" s="27">
        <f t="shared" ref="P306:P328" si="46">O306</f>
        <v>18231998.399999999</v>
      </c>
      <c r="Q306" s="27">
        <f t="shared" si="45"/>
        <v>18231998.399999999</v>
      </c>
      <c r="R306" s="27">
        <v>6201.36</v>
      </c>
      <c r="S306" s="38">
        <f>Q306/U306</f>
        <v>6201.36</v>
      </c>
      <c r="T306" s="38">
        <f>S306*AR306</f>
        <v>372081.6</v>
      </c>
      <c r="U306" s="38">
        <f t="shared" si="43"/>
        <v>2940</v>
      </c>
      <c r="V306" s="38">
        <v>2940</v>
      </c>
      <c r="W306" s="38">
        <v>0</v>
      </c>
      <c r="X306" s="38">
        <v>0</v>
      </c>
      <c r="Y306" s="38">
        <v>0</v>
      </c>
      <c r="Z306" s="38">
        <f t="shared" si="41"/>
        <v>0</v>
      </c>
      <c r="AA306" s="38">
        <v>0</v>
      </c>
      <c r="AB306" s="38">
        <f t="shared" si="42"/>
        <v>0</v>
      </c>
      <c r="AC306" s="38">
        <f>U306/AR306</f>
        <v>49</v>
      </c>
      <c r="AD306" s="38">
        <f t="shared" si="44"/>
        <v>49</v>
      </c>
      <c r="AE306" s="33">
        <v>45366</v>
      </c>
      <c r="AF306" s="33"/>
      <c r="AG306" s="33"/>
      <c r="AH306" s="33">
        <v>45397</v>
      </c>
      <c r="AI306" s="33"/>
      <c r="AJ306" s="42"/>
      <c r="AK306" s="37" t="s">
        <v>437</v>
      </c>
      <c r="AL306" s="37" t="s">
        <v>1898</v>
      </c>
      <c r="AM306" s="37" t="s">
        <v>439</v>
      </c>
      <c r="AN306" s="37" t="s">
        <v>440</v>
      </c>
      <c r="AO306" s="43">
        <v>0</v>
      </c>
      <c r="AP306" s="35">
        <v>100</v>
      </c>
      <c r="AQ306" s="35" t="s">
        <v>441</v>
      </c>
      <c r="AR306" s="44">
        <v>60</v>
      </c>
      <c r="AS306" s="37" t="s">
        <v>176</v>
      </c>
    </row>
    <row r="307" spans="1:45" ht="48" customHeight="1" x14ac:dyDescent="0.25">
      <c r="A307" s="32" t="s">
        <v>1923</v>
      </c>
      <c r="B307" s="56">
        <v>45323</v>
      </c>
      <c r="C307" s="37">
        <v>1416</v>
      </c>
      <c r="D307" s="36" t="s">
        <v>1924</v>
      </c>
      <c r="E307" s="1" t="s">
        <v>1925</v>
      </c>
      <c r="F307" s="33">
        <v>45348</v>
      </c>
      <c r="G307" s="35" t="s">
        <v>1926</v>
      </c>
      <c r="H307" s="37" t="s">
        <v>169</v>
      </c>
      <c r="I307" s="58" t="s">
        <v>1927</v>
      </c>
      <c r="J307" s="57">
        <v>491040</v>
      </c>
      <c r="K307" s="40">
        <f>((J307-M307)/J307)*100</f>
        <v>0</v>
      </c>
      <c r="L307" s="41">
        <f>J307-M307</f>
        <v>0</v>
      </c>
      <c r="M307" s="57">
        <v>491040</v>
      </c>
      <c r="N307" s="41">
        <f>J307-O307</f>
        <v>0</v>
      </c>
      <c r="O307" s="57">
        <v>491040</v>
      </c>
      <c r="P307" s="27">
        <f t="shared" si="46"/>
        <v>491040</v>
      </c>
      <c r="Q307" s="27">
        <f t="shared" si="45"/>
        <v>491040</v>
      </c>
      <c r="R307" s="27">
        <v>10.56</v>
      </c>
      <c r="S307" s="38">
        <f>Q307/U307</f>
        <v>10.56</v>
      </c>
      <c r="T307" s="38">
        <f>S307*AR307</f>
        <v>2640</v>
      </c>
      <c r="U307" s="38">
        <f t="shared" si="43"/>
        <v>46500</v>
      </c>
      <c r="V307" s="38">
        <f>10500+36000</f>
        <v>46500</v>
      </c>
      <c r="W307" s="38">
        <v>0</v>
      </c>
      <c r="X307" s="38">
        <v>0</v>
      </c>
      <c r="Y307" s="38">
        <v>10500</v>
      </c>
      <c r="Z307" s="38">
        <f t="shared" si="41"/>
        <v>110880</v>
      </c>
      <c r="AA307" s="38">
        <v>36000</v>
      </c>
      <c r="AB307" s="38">
        <f t="shared" si="42"/>
        <v>380160</v>
      </c>
      <c r="AC307" s="38">
        <f>U307/AR307</f>
        <v>186</v>
      </c>
      <c r="AD307" s="38">
        <f t="shared" si="44"/>
        <v>186</v>
      </c>
      <c r="AE307" s="33">
        <v>45366</v>
      </c>
      <c r="AF307" s="33"/>
      <c r="AG307" s="33"/>
      <c r="AH307" s="33">
        <v>45397</v>
      </c>
      <c r="AI307" s="33"/>
      <c r="AJ307" s="42"/>
      <c r="AK307" s="37" t="s">
        <v>757</v>
      </c>
      <c r="AL307" s="37" t="s">
        <v>1928</v>
      </c>
      <c r="AM307" s="37" t="s">
        <v>759</v>
      </c>
      <c r="AN307" s="37" t="s">
        <v>828</v>
      </c>
      <c r="AO307" s="43">
        <v>0</v>
      </c>
      <c r="AP307" s="35">
        <v>100</v>
      </c>
      <c r="AQ307" s="35" t="s">
        <v>175</v>
      </c>
      <c r="AR307" s="44">
        <v>250</v>
      </c>
      <c r="AS307" s="37" t="s">
        <v>176</v>
      </c>
    </row>
    <row r="308" spans="1:45" ht="48" customHeight="1" x14ac:dyDescent="0.25">
      <c r="A308" s="32" t="s">
        <v>1929</v>
      </c>
      <c r="B308" s="56">
        <v>45323</v>
      </c>
      <c r="C308" s="37">
        <v>1416</v>
      </c>
      <c r="D308" s="36" t="s">
        <v>1930</v>
      </c>
      <c r="E308" s="1" t="s">
        <v>1931</v>
      </c>
      <c r="F308" s="33">
        <v>45348</v>
      </c>
      <c r="G308" s="35" t="s">
        <v>1932</v>
      </c>
      <c r="H308" s="37" t="s">
        <v>219</v>
      </c>
      <c r="I308" s="58" t="s">
        <v>1933</v>
      </c>
      <c r="J308" s="57">
        <v>94198500</v>
      </c>
      <c r="K308" s="40">
        <f>((J308-M308)/J308)*100</f>
        <v>3</v>
      </c>
      <c r="L308" s="41">
        <f>J308-M308</f>
        <v>2825955</v>
      </c>
      <c r="M308" s="38">
        <v>91372545</v>
      </c>
      <c r="N308" s="41">
        <f>J308-O308</f>
        <v>2825955</v>
      </c>
      <c r="O308" s="38">
        <v>91372545</v>
      </c>
      <c r="P308" s="27">
        <f t="shared" si="46"/>
        <v>91372545</v>
      </c>
      <c r="Q308" s="27">
        <f t="shared" si="45"/>
        <v>91372545</v>
      </c>
      <c r="R308" s="27">
        <v>7.26</v>
      </c>
      <c r="S308" s="38">
        <f>Q308/U308</f>
        <v>7.0422000000000002</v>
      </c>
      <c r="T308" s="38">
        <f>S308*AR308</f>
        <v>3521.1</v>
      </c>
      <c r="U308" s="38">
        <f t="shared" si="43"/>
        <v>12975000</v>
      </c>
      <c r="V308" s="38">
        <v>10800000</v>
      </c>
      <c r="W308" s="38">
        <v>2175000</v>
      </c>
      <c r="X308" s="38">
        <v>0</v>
      </c>
      <c r="Y308" s="38">
        <v>0</v>
      </c>
      <c r="Z308" s="38">
        <f t="shared" si="41"/>
        <v>0</v>
      </c>
      <c r="AA308" s="38">
        <v>12975000</v>
      </c>
      <c r="AB308" s="38">
        <f t="shared" si="42"/>
        <v>91372545</v>
      </c>
      <c r="AC308" s="38">
        <f>U308/AR308</f>
        <v>25950</v>
      </c>
      <c r="AD308" s="38">
        <f t="shared" si="44"/>
        <v>25950</v>
      </c>
      <c r="AE308" s="33">
        <v>45366</v>
      </c>
      <c r="AF308" s="33">
        <v>45432</v>
      </c>
      <c r="AG308" s="33"/>
      <c r="AH308" s="33">
        <v>45397</v>
      </c>
      <c r="AI308" s="33">
        <v>45463</v>
      </c>
      <c r="AJ308" s="42"/>
      <c r="AK308" s="37" t="s">
        <v>1934</v>
      </c>
      <c r="AL308" s="37" t="s">
        <v>1935</v>
      </c>
      <c r="AM308" s="37" t="s">
        <v>1936</v>
      </c>
      <c r="AN308" s="37" t="s">
        <v>50</v>
      </c>
      <c r="AO308" s="43">
        <v>100</v>
      </c>
      <c r="AP308" s="35">
        <v>0</v>
      </c>
      <c r="AQ308" s="35" t="s">
        <v>175</v>
      </c>
      <c r="AR308" s="44">
        <v>500</v>
      </c>
      <c r="AS308" s="37" t="s">
        <v>52</v>
      </c>
    </row>
    <row r="309" spans="1:45" ht="48" customHeight="1" x14ac:dyDescent="0.25">
      <c r="A309" s="32" t="s">
        <v>1937</v>
      </c>
      <c r="B309" s="56">
        <v>45323</v>
      </c>
      <c r="C309" s="37" t="s">
        <v>486</v>
      </c>
      <c r="D309" s="36"/>
      <c r="E309" s="1" t="s">
        <v>1938</v>
      </c>
      <c r="F309" s="33">
        <v>45352</v>
      </c>
      <c r="G309" s="35" t="s">
        <v>1939</v>
      </c>
      <c r="H309" s="37" t="s">
        <v>219</v>
      </c>
      <c r="I309" s="59" t="s">
        <v>1940</v>
      </c>
      <c r="J309" s="57">
        <v>2453204734.1999998</v>
      </c>
      <c r="K309" s="40">
        <f>((J309-M309)/J309)*100</f>
        <v>0</v>
      </c>
      <c r="L309" s="41">
        <f>J309-M309</f>
        <v>0</v>
      </c>
      <c r="M309" s="38">
        <v>2453204734.1999998</v>
      </c>
      <c r="N309" s="41">
        <f>J309-O309</f>
        <v>0</v>
      </c>
      <c r="O309" s="38">
        <v>2453204734.1999998</v>
      </c>
      <c r="P309" s="27">
        <f t="shared" si="46"/>
        <v>2453204734.1999998</v>
      </c>
      <c r="Q309" s="27">
        <f t="shared" si="45"/>
        <v>2453204734.1999998</v>
      </c>
      <c r="R309" s="27">
        <v>183.31</v>
      </c>
      <c r="S309" s="38">
        <f>Q309/U309</f>
        <v>183.30999999999997</v>
      </c>
      <c r="T309" s="38">
        <f>S309*AR309</f>
        <v>5499.2999999999993</v>
      </c>
      <c r="U309" s="38">
        <f t="shared" si="43"/>
        <v>13382820</v>
      </c>
      <c r="V309" s="38">
        <v>13382820</v>
      </c>
      <c r="W309" s="38">
        <v>0</v>
      </c>
      <c r="X309" s="38">
        <v>0</v>
      </c>
      <c r="Y309" s="38">
        <v>0</v>
      </c>
      <c r="Z309" s="38">
        <f t="shared" si="41"/>
        <v>0</v>
      </c>
      <c r="AA309" s="38">
        <v>0</v>
      </c>
      <c r="AB309" s="38">
        <f t="shared" si="42"/>
        <v>0</v>
      </c>
      <c r="AC309" s="38">
        <f>U309/AR309</f>
        <v>446094</v>
      </c>
      <c r="AD309" s="38">
        <f t="shared" si="44"/>
        <v>446094</v>
      </c>
      <c r="AE309" s="33">
        <v>45397</v>
      </c>
      <c r="AF309" s="33"/>
      <c r="AG309" s="33"/>
      <c r="AH309" s="33">
        <v>45427</v>
      </c>
      <c r="AI309" s="33"/>
      <c r="AJ309" s="42"/>
      <c r="AK309" s="37" t="s">
        <v>1941</v>
      </c>
      <c r="AL309" s="37" t="s">
        <v>1942</v>
      </c>
      <c r="AM309" s="37" t="s">
        <v>1943</v>
      </c>
      <c r="AN309" s="37" t="s">
        <v>50</v>
      </c>
      <c r="AO309" s="43">
        <v>100</v>
      </c>
      <c r="AP309" s="35">
        <v>0</v>
      </c>
      <c r="AQ309" s="35" t="s">
        <v>441</v>
      </c>
      <c r="AR309" s="44">
        <v>30</v>
      </c>
      <c r="AS309" s="37" t="s">
        <v>52</v>
      </c>
    </row>
    <row r="310" spans="1:45" ht="48" customHeight="1" x14ac:dyDescent="0.25">
      <c r="A310" s="32" t="s">
        <v>1944</v>
      </c>
      <c r="B310" s="56">
        <v>45323</v>
      </c>
      <c r="C310" s="37">
        <v>1416</v>
      </c>
      <c r="D310" s="36"/>
      <c r="E310" s="1" t="s">
        <v>1945</v>
      </c>
      <c r="F310" s="33">
        <v>45352</v>
      </c>
      <c r="G310" s="35" t="s">
        <v>1946</v>
      </c>
      <c r="H310" s="37" t="s">
        <v>169</v>
      </c>
      <c r="I310" s="58" t="s">
        <v>942</v>
      </c>
      <c r="J310" s="57">
        <v>1349562136</v>
      </c>
      <c r="K310" s="40">
        <f>((J310-M310)/J310)*100</f>
        <v>0</v>
      </c>
      <c r="L310" s="41">
        <f>J310-M310</f>
        <v>0</v>
      </c>
      <c r="M310" s="57">
        <v>1349562136</v>
      </c>
      <c r="N310" s="41">
        <f>J310-O310</f>
        <v>0</v>
      </c>
      <c r="O310" s="57">
        <v>1349562136</v>
      </c>
      <c r="P310" s="27">
        <f t="shared" si="46"/>
        <v>1349562136</v>
      </c>
      <c r="Q310" s="27">
        <f t="shared" si="45"/>
        <v>1349562136</v>
      </c>
      <c r="R310" s="27">
        <v>25.33</v>
      </c>
      <c r="S310" s="38">
        <f>Q310/U310</f>
        <v>25.33</v>
      </c>
      <c r="T310" s="38">
        <f>S310*AR310</f>
        <v>20264</v>
      </c>
      <c r="U310" s="38">
        <f t="shared" si="43"/>
        <v>53279200</v>
      </c>
      <c r="V310" s="38">
        <f>37443200+15836000</f>
        <v>53279200</v>
      </c>
      <c r="W310" s="38">
        <v>0</v>
      </c>
      <c r="X310" s="38">
        <v>0</v>
      </c>
      <c r="Y310" s="38">
        <v>37443200</v>
      </c>
      <c r="Z310" s="38">
        <f t="shared" si="41"/>
        <v>948436255.99999988</v>
      </c>
      <c r="AA310" s="38">
        <v>15836000</v>
      </c>
      <c r="AB310" s="38">
        <f t="shared" si="42"/>
        <v>401125880</v>
      </c>
      <c r="AC310" s="38">
        <f>U310/AR310</f>
        <v>66599</v>
      </c>
      <c r="AD310" s="38">
        <f t="shared" si="44"/>
        <v>66599</v>
      </c>
      <c r="AE310" s="33">
        <v>45383</v>
      </c>
      <c r="AF310" s="33"/>
      <c r="AG310" s="33"/>
      <c r="AH310" s="33">
        <v>45413</v>
      </c>
      <c r="AI310" s="33"/>
      <c r="AJ310" s="42"/>
      <c r="AK310" s="37" t="s">
        <v>1947</v>
      </c>
      <c r="AL310" s="37" t="s">
        <v>1948</v>
      </c>
      <c r="AM310" s="37" t="s">
        <v>1949</v>
      </c>
      <c r="AN310" s="37" t="s">
        <v>828</v>
      </c>
      <c r="AO310" s="43">
        <v>0</v>
      </c>
      <c r="AP310" s="35">
        <v>100</v>
      </c>
      <c r="AQ310" s="35" t="s">
        <v>175</v>
      </c>
      <c r="AR310" s="44">
        <v>800</v>
      </c>
      <c r="AS310" s="37" t="s">
        <v>52</v>
      </c>
    </row>
    <row r="311" spans="1:45" ht="48" customHeight="1" x14ac:dyDescent="0.25">
      <c r="A311" s="32" t="s">
        <v>1950</v>
      </c>
      <c r="B311" s="56">
        <v>45323</v>
      </c>
      <c r="C311" s="37">
        <v>1416</v>
      </c>
      <c r="D311" s="36"/>
      <c r="E311" s="1" t="s">
        <v>1951</v>
      </c>
      <c r="F311" s="33">
        <v>45363</v>
      </c>
      <c r="G311" s="35" t="s">
        <v>1952</v>
      </c>
      <c r="H311" s="37" t="s">
        <v>169</v>
      </c>
      <c r="I311" s="58" t="s">
        <v>1953</v>
      </c>
      <c r="J311" s="57">
        <v>3107256738.3000002</v>
      </c>
      <c r="K311" s="40">
        <f>((J311-M311)/J311)*100</f>
        <v>0</v>
      </c>
      <c r="L311" s="41">
        <f>J311-M311</f>
        <v>0</v>
      </c>
      <c r="M311" s="57">
        <v>3107256738.3000002</v>
      </c>
      <c r="N311" s="41">
        <f>J311-O311</f>
        <v>0</v>
      </c>
      <c r="O311" s="57">
        <v>3107256738.3000002</v>
      </c>
      <c r="P311" s="27">
        <v>3435912561.5100002</v>
      </c>
      <c r="Q311" s="27">
        <f t="shared" si="45"/>
        <v>3435912561.5100002</v>
      </c>
      <c r="R311" s="27">
        <v>63582.09</v>
      </c>
      <c r="S311" s="38">
        <f>Q311/U311</f>
        <v>63582.090000000004</v>
      </c>
      <c r="T311" s="38">
        <f>S311*AR311</f>
        <v>190746.27000000002</v>
      </c>
      <c r="U311" s="38">
        <f t="shared" si="43"/>
        <v>54039</v>
      </c>
      <c r="V311" s="38">
        <f>9126+1374</f>
        <v>10500</v>
      </c>
      <c r="W311" s="38">
        <f>33375+4995+5169</f>
        <v>43539</v>
      </c>
      <c r="X311" s="38">
        <v>0</v>
      </c>
      <c r="Y311" s="38">
        <v>39477</v>
      </c>
      <c r="Z311" s="38">
        <f t="shared" si="41"/>
        <v>2510030166.9300003</v>
      </c>
      <c r="AA311" s="38">
        <v>14562</v>
      </c>
      <c r="AB311" s="38">
        <f t="shared" si="42"/>
        <v>925882394.58000004</v>
      </c>
      <c r="AC311" s="38">
        <f>U311/AR311</f>
        <v>18013</v>
      </c>
      <c r="AD311" s="38">
        <f t="shared" si="44"/>
        <v>18013</v>
      </c>
      <c r="AE311" s="33">
        <v>45412</v>
      </c>
      <c r="AF311" s="33">
        <v>45504</v>
      </c>
      <c r="AG311" s="33"/>
      <c r="AH311" s="33">
        <v>45444</v>
      </c>
      <c r="AI311" s="33">
        <v>45536</v>
      </c>
      <c r="AJ311" s="42"/>
      <c r="AK311" s="37" t="s">
        <v>1954</v>
      </c>
      <c r="AL311" s="37" t="s">
        <v>1955</v>
      </c>
      <c r="AM311" s="37" t="s">
        <v>1956</v>
      </c>
      <c r="AN311" s="37" t="s">
        <v>174</v>
      </c>
      <c r="AO311" s="43">
        <v>0</v>
      </c>
      <c r="AP311" s="35">
        <v>100</v>
      </c>
      <c r="AQ311" s="35" t="s">
        <v>164</v>
      </c>
      <c r="AR311" s="44">
        <v>3</v>
      </c>
      <c r="AS311" s="37" t="s">
        <v>52</v>
      </c>
    </row>
    <row r="312" spans="1:45" ht="48" customHeight="1" x14ac:dyDescent="0.25">
      <c r="A312" s="32" t="s">
        <v>1957</v>
      </c>
      <c r="B312" s="56">
        <v>45323</v>
      </c>
      <c r="C312" s="37">
        <v>545</v>
      </c>
      <c r="D312" s="36"/>
      <c r="E312" s="1" t="s">
        <v>1958</v>
      </c>
      <c r="F312" s="33">
        <v>45348</v>
      </c>
      <c r="G312" s="35" t="s">
        <v>1959</v>
      </c>
      <c r="H312" s="37" t="s">
        <v>169</v>
      </c>
      <c r="I312" s="58" t="s">
        <v>1960</v>
      </c>
      <c r="J312" s="57">
        <v>120806571.59999999</v>
      </c>
      <c r="K312" s="40">
        <f>((J312-M312)/J312)*100</f>
        <v>0</v>
      </c>
      <c r="L312" s="41">
        <f>J312-M312</f>
        <v>0</v>
      </c>
      <c r="M312" s="57">
        <v>120806571.59999999</v>
      </c>
      <c r="N312" s="41">
        <f>J312-O312</f>
        <v>0</v>
      </c>
      <c r="O312" s="38">
        <v>120806571.59999999</v>
      </c>
      <c r="P312" s="27">
        <f t="shared" si="46"/>
        <v>120806571.59999999</v>
      </c>
      <c r="Q312" s="27">
        <f t="shared" si="45"/>
        <v>120806571.59999999</v>
      </c>
      <c r="R312" s="27">
        <v>25813.37</v>
      </c>
      <c r="S312" s="38">
        <f>Q312/U312</f>
        <v>25813.37</v>
      </c>
      <c r="T312" s="38">
        <f>S312*AR312</f>
        <v>3097604.4</v>
      </c>
      <c r="U312" s="38">
        <f t="shared" si="43"/>
        <v>4680</v>
      </c>
      <c r="V312" s="38">
        <v>4680</v>
      </c>
      <c r="W312" s="38">
        <v>0</v>
      </c>
      <c r="X312" s="38">
        <v>0</v>
      </c>
      <c r="Y312" s="38">
        <v>0</v>
      </c>
      <c r="Z312" s="38">
        <f t="shared" si="41"/>
        <v>0</v>
      </c>
      <c r="AA312" s="38">
        <v>0</v>
      </c>
      <c r="AB312" s="38">
        <f t="shared" si="42"/>
        <v>0</v>
      </c>
      <c r="AC312" s="38">
        <f>U312/AR312</f>
        <v>39</v>
      </c>
      <c r="AD312" s="38">
        <f t="shared" si="44"/>
        <v>39</v>
      </c>
      <c r="AE312" s="33">
        <v>45366</v>
      </c>
      <c r="AF312" s="33"/>
      <c r="AG312" s="33"/>
      <c r="AH312" s="33">
        <v>45397</v>
      </c>
      <c r="AI312" s="33"/>
      <c r="AJ312" s="42"/>
      <c r="AK312" s="37" t="s">
        <v>394</v>
      </c>
      <c r="AL312" s="37" t="s">
        <v>475</v>
      </c>
      <c r="AM312" s="37" t="s">
        <v>396</v>
      </c>
      <c r="AN312" s="37" t="s">
        <v>397</v>
      </c>
      <c r="AO312" s="43">
        <v>0</v>
      </c>
      <c r="AP312" s="35">
        <v>100</v>
      </c>
      <c r="AQ312" s="35" t="s">
        <v>398</v>
      </c>
      <c r="AR312" s="44">
        <v>120</v>
      </c>
      <c r="AS312" s="37" t="s">
        <v>176</v>
      </c>
    </row>
    <row r="313" spans="1:45" ht="48" customHeight="1" x14ac:dyDescent="0.25">
      <c r="A313" s="32" t="s">
        <v>1961</v>
      </c>
      <c r="B313" s="56">
        <v>45323</v>
      </c>
      <c r="C313" s="37">
        <v>1416</v>
      </c>
      <c r="D313" s="36"/>
      <c r="E313" s="1" t="s">
        <v>1962</v>
      </c>
      <c r="F313" s="33">
        <v>45348</v>
      </c>
      <c r="G313" s="35" t="s">
        <v>1963</v>
      </c>
      <c r="H313" s="37" t="s">
        <v>169</v>
      </c>
      <c r="I313" s="58" t="s">
        <v>1933</v>
      </c>
      <c r="J313" s="57">
        <v>116475810</v>
      </c>
      <c r="K313" s="40">
        <f>((J313-M313)/J313)*100</f>
        <v>0</v>
      </c>
      <c r="L313" s="41">
        <f>J313-M313</f>
        <v>0</v>
      </c>
      <c r="M313" s="57">
        <v>116475810</v>
      </c>
      <c r="N313" s="41">
        <f>J313-O313</f>
        <v>0</v>
      </c>
      <c r="O313" s="57">
        <v>116475810</v>
      </c>
      <c r="P313" s="27">
        <f t="shared" si="46"/>
        <v>116475810</v>
      </c>
      <c r="Q313" s="27">
        <f t="shared" si="45"/>
        <v>116475810</v>
      </c>
      <c r="R313" s="27">
        <v>7.26</v>
      </c>
      <c r="S313" s="38">
        <f>Q313/U313</f>
        <v>7.26</v>
      </c>
      <c r="T313" s="38" t="e">
        <f>S313*AR313</f>
        <v>#VALUE!</v>
      </c>
      <c r="U313" s="38">
        <f t="shared" si="43"/>
        <v>16043500</v>
      </c>
      <c r="V313" s="38">
        <v>16043500</v>
      </c>
      <c r="W313" s="38">
        <v>0</v>
      </c>
      <c r="X313" s="38">
        <v>0</v>
      </c>
      <c r="Y313" s="38">
        <v>16043500</v>
      </c>
      <c r="Z313" s="38">
        <f t="shared" si="41"/>
        <v>116475810</v>
      </c>
      <c r="AA313" s="38">
        <v>0</v>
      </c>
      <c r="AB313" s="38">
        <f t="shared" si="42"/>
        <v>0</v>
      </c>
      <c r="AC313" s="38" t="e">
        <f>U313/AR313</f>
        <v>#VALUE!</v>
      </c>
      <c r="AD313" s="38" t="e">
        <f t="shared" si="44"/>
        <v>#VALUE!</v>
      </c>
      <c r="AE313" s="33">
        <v>45366</v>
      </c>
      <c r="AF313" s="33"/>
      <c r="AG313" s="33"/>
      <c r="AH313" s="33">
        <v>45397</v>
      </c>
      <c r="AI313" s="33"/>
      <c r="AJ313" s="42"/>
      <c r="AK313" s="37" t="s">
        <v>1964</v>
      </c>
      <c r="AL313" s="37" t="s">
        <v>1965</v>
      </c>
      <c r="AM313" s="37" t="s">
        <v>1966</v>
      </c>
      <c r="AN313" s="37" t="s">
        <v>768</v>
      </c>
      <c r="AO313" s="43">
        <v>0</v>
      </c>
      <c r="AP313" s="35">
        <v>100</v>
      </c>
      <c r="AQ313" s="35" t="s">
        <v>175</v>
      </c>
      <c r="AR313" s="48" t="s">
        <v>1967</v>
      </c>
      <c r="AS313" s="37" t="s">
        <v>52</v>
      </c>
    </row>
    <row r="314" spans="1:45" ht="48" customHeight="1" x14ac:dyDescent="0.25">
      <c r="A314" s="32" t="s">
        <v>1968</v>
      </c>
      <c r="B314" s="56">
        <v>45323</v>
      </c>
      <c r="C314" s="37">
        <v>1416</v>
      </c>
      <c r="D314" s="36"/>
      <c r="E314" s="1" t="s">
        <v>1969</v>
      </c>
      <c r="F314" s="33">
        <v>45348</v>
      </c>
      <c r="G314" s="35" t="s">
        <v>1970</v>
      </c>
      <c r="H314" s="37" t="s">
        <v>291</v>
      </c>
      <c r="I314" s="58" t="s">
        <v>1971</v>
      </c>
      <c r="J314" s="57">
        <v>18636961.5</v>
      </c>
      <c r="K314" s="40">
        <f>((J314-M314)/J314)*100</f>
        <v>0.52840158520475566</v>
      </c>
      <c r="L314" s="41">
        <f>J314-M314</f>
        <v>98478</v>
      </c>
      <c r="M314" s="38">
        <v>18538483.5</v>
      </c>
      <c r="N314" s="41">
        <f>J314-O314</f>
        <v>98478</v>
      </c>
      <c r="O314" s="38">
        <v>18538483.5</v>
      </c>
      <c r="P314" s="27">
        <f t="shared" si="46"/>
        <v>18538483.5</v>
      </c>
      <c r="Q314" s="27">
        <f t="shared" si="45"/>
        <v>18538483.5</v>
      </c>
      <c r="R314" s="27">
        <v>22.71</v>
      </c>
      <c r="S314" s="38">
        <f>Q314/U314</f>
        <v>22.59</v>
      </c>
      <c r="T314" s="38">
        <f>S314*AR314</f>
        <v>1129.5</v>
      </c>
      <c r="U314" s="38">
        <f t="shared" si="43"/>
        <v>820650</v>
      </c>
      <c r="V314" s="38">
        <f>33950+786700</f>
        <v>820650</v>
      </c>
      <c r="W314" s="38">
        <v>0</v>
      </c>
      <c r="X314" s="38">
        <v>0</v>
      </c>
      <c r="Y314" s="38">
        <v>33950</v>
      </c>
      <c r="Z314" s="38">
        <f t="shared" si="41"/>
        <v>766930.5</v>
      </c>
      <c r="AA314" s="38">
        <v>786700</v>
      </c>
      <c r="AB314" s="38">
        <f t="shared" si="42"/>
        <v>17771553</v>
      </c>
      <c r="AC314" s="38">
        <f>U314/AR314</f>
        <v>16413</v>
      </c>
      <c r="AD314" s="38">
        <f t="shared" si="44"/>
        <v>16413</v>
      </c>
      <c r="AE314" s="33">
        <v>45366</v>
      </c>
      <c r="AF314" s="33"/>
      <c r="AG314" s="33"/>
      <c r="AH314" s="33">
        <v>45397</v>
      </c>
      <c r="AI314" s="33"/>
      <c r="AJ314" s="42"/>
      <c r="AK314" s="37" t="s">
        <v>1972</v>
      </c>
      <c r="AL314" s="37" t="s">
        <v>1973</v>
      </c>
      <c r="AM314" s="37" t="s">
        <v>1974</v>
      </c>
      <c r="AN314" s="37" t="s">
        <v>50</v>
      </c>
      <c r="AO314" s="43">
        <v>100</v>
      </c>
      <c r="AP314" s="35">
        <v>0</v>
      </c>
      <c r="AQ314" s="35" t="s">
        <v>441</v>
      </c>
      <c r="AR314" s="44">
        <v>50</v>
      </c>
      <c r="AS314" s="37" t="s">
        <v>52</v>
      </c>
    </row>
    <row r="315" spans="1:45" ht="48" customHeight="1" x14ac:dyDescent="0.25">
      <c r="A315" s="32" t="s">
        <v>1975</v>
      </c>
      <c r="B315" s="56">
        <v>45323</v>
      </c>
      <c r="C315" s="37">
        <v>1416</v>
      </c>
      <c r="D315" s="36"/>
      <c r="E315" s="1" t="s">
        <v>1976</v>
      </c>
      <c r="F315" s="33">
        <v>45348</v>
      </c>
      <c r="G315" s="35" t="s">
        <v>1977</v>
      </c>
      <c r="H315" s="37" t="s">
        <v>219</v>
      </c>
      <c r="I315" s="58" t="s">
        <v>1978</v>
      </c>
      <c r="J315" s="57">
        <v>63183728.159999996</v>
      </c>
      <c r="K315" s="40">
        <f>((J315-M315)/J315)*100</f>
        <v>0</v>
      </c>
      <c r="L315" s="41">
        <f>J315-M315</f>
        <v>0</v>
      </c>
      <c r="M315" s="38">
        <v>63183728.159999996</v>
      </c>
      <c r="N315" s="41">
        <f>J315-O315</f>
        <v>0</v>
      </c>
      <c r="O315" s="38">
        <v>63183728.159999996</v>
      </c>
      <c r="P315" s="27">
        <f t="shared" si="46"/>
        <v>63183728.159999996</v>
      </c>
      <c r="Q315" s="27">
        <f t="shared" si="45"/>
        <v>63183728.159999996</v>
      </c>
      <c r="R315" s="27">
        <v>12792.3</v>
      </c>
      <c r="S315" s="38">
        <f>Q315/U315</f>
        <v>12792.3</v>
      </c>
      <c r="T315" s="38">
        <f>S315*AR315</f>
        <v>15350.759999999998</v>
      </c>
      <c r="U315" s="38">
        <f t="shared" si="43"/>
        <v>4939.2</v>
      </c>
      <c r="V315" s="38">
        <f>3705.6+1233.6</f>
        <v>4939.2</v>
      </c>
      <c r="W315" s="38">
        <v>0</v>
      </c>
      <c r="X315" s="38">
        <v>0</v>
      </c>
      <c r="Y315" s="38">
        <v>3705.6</v>
      </c>
      <c r="Z315" s="38">
        <f t="shared" si="41"/>
        <v>47403146.879999995</v>
      </c>
      <c r="AA315" s="38">
        <v>1233.5999999999999</v>
      </c>
      <c r="AB315" s="38">
        <f t="shared" si="42"/>
        <v>15780581.279999997</v>
      </c>
      <c r="AC315" s="38">
        <f>U315/AR315</f>
        <v>4116</v>
      </c>
      <c r="AD315" s="38">
        <f t="shared" si="44"/>
        <v>4116</v>
      </c>
      <c r="AE315" s="33">
        <v>45427</v>
      </c>
      <c r="AF315" s="33"/>
      <c r="AG315" s="33"/>
      <c r="AH315" s="33">
        <v>45458</v>
      </c>
      <c r="AI315" s="33"/>
      <c r="AJ315" s="42"/>
      <c r="AK315" s="37" t="s">
        <v>1979</v>
      </c>
      <c r="AL315" s="37" t="s">
        <v>1980</v>
      </c>
      <c r="AM315" s="37" t="s">
        <v>1981</v>
      </c>
      <c r="AN315" s="37" t="s">
        <v>50</v>
      </c>
      <c r="AO315" s="43">
        <v>100</v>
      </c>
      <c r="AP315" s="35">
        <v>0</v>
      </c>
      <c r="AQ315" s="35" t="s">
        <v>379</v>
      </c>
      <c r="AR315" s="49">
        <v>1.2</v>
      </c>
      <c r="AS315" s="37" t="s">
        <v>52</v>
      </c>
    </row>
    <row r="316" spans="1:45" ht="48" customHeight="1" x14ac:dyDescent="0.25">
      <c r="A316" s="32" t="s">
        <v>1982</v>
      </c>
      <c r="B316" s="56">
        <v>45323</v>
      </c>
      <c r="C316" s="37">
        <v>1416</v>
      </c>
      <c r="D316" s="36"/>
      <c r="E316" s="1" t="s">
        <v>1983</v>
      </c>
      <c r="F316" s="33">
        <v>45348</v>
      </c>
      <c r="G316" s="35" t="s">
        <v>1984</v>
      </c>
      <c r="H316" s="37" t="s">
        <v>219</v>
      </c>
      <c r="I316" s="58" t="s">
        <v>1985</v>
      </c>
      <c r="J316" s="57">
        <v>146587500</v>
      </c>
      <c r="K316" s="40">
        <f>((J316-M316)/J316)*100</f>
        <v>0</v>
      </c>
      <c r="L316" s="41">
        <f>J316-M316</f>
        <v>0</v>
      </c>
      <c r="M316" s="57">
        <v>146587500</v>
      </c>
      <c r="N316" s="41">
        <f>J316-O316</f>
        <v>0</v>
      </c>
      <c r="O316" s="57">
        <v>146587500</v>
      </c>
      <c r="P316" s="27">
        <f t="shared" si="46"/>
        <v>146587500</v>
      </c>
      <c r="Q316" s="27">
        <f t="shared" si="45"/>
        <v>146587500</v>
      </c>
      <c r="R316" s="27">
        <v>13.03</v>
      </c>
      <c r="S316" s="38">
        <f>Q316/U316</f>
        <v>13.03</v>
      </c>
      <c r="T316" s="38">
        <f>S316*AR316</f>
        <v>6515</v>
      </c>
      <c r="U316" s="38">
        <f t="shared" si="43"/>
        <v>11250000</v>
      </c>
      <c r="V316" s="38">
        <f>7194500+4055500</f>
        <v>11250000</v>
      </c>
      <c r="W316" s="38">
        <v>0</v>
      </c>
      <c r="X316" s="38">
        <v>0</v>
      </c>
      <c r="Y316" s="38">
        <v>7194500</v>
      </c>
      <c r="Z316" s="38">
        <f t="shared" si="41"/>
        <v>93744335</v>
      </c>
      <c r="AA316" s="38">
        <v>4055500</v>
      </c>
      <c r="AB316" s="38">
        <f t="shared" si="42"/>
        <v>52843165</v>
      </c>
      <c r="AC316" s="38">
        <f>U316/AR316</f>
        <v>22500</v>
      </c>
      <c r="AD316" s="38">
        <f t="shared" si="44"/>
        <v>22500</v>
      </c>
      <c r="AE316" s="33">
        <v>45382</v>
      </c>
      <c r="AF316" s="33"/>
      <c r="AG316" s="33"/>
      <c r="AH316" s="33">
        <v>45413</v>
      </c>
      <c r="AI316" s="33"/>
      <c r="AJ316" s="42"/>
      <c r="AK316" s="37" t="s">
        <v>1986</v>
      </c>
      <c r="AL316" s="37" t="s">
        <v>1987</v>
      </c>
      <c r="AM316" s="37" t="s">
        <v>1988</v>
      </c>
      <c r="AN316" s="37" t="s">
        <v>828</v>
      </c>
      <c r="AO316" s="43">
        <v>0</v>
      </c>
      <c r="AP316" s="35">
        <v>100</v>
      </c>
      <c r="AQ316" s="35" t="s">
        <v>175</v>
      </c>
      <c r="AR316" s="44">
        <v>500</v>
      </c>
      <c r="AS316" s="37" t="s">
        <v>52</v>
      </c>
    </row>
    <row r="317" spans="1:45" ht="48" customHeight="1" x14ac:dyDescent="0.25">
      <c r="A317" s="32" t="s">
        <v>1989</v>
      </c>
      <c r="B317" s="56">
        <v>45324</v>
      </c>
      <c r="C317" s="37" t="s">
        <v>548</v>
      </c>
      <c r="D317" s="36"/>
      <c r="E317" s="1" t="s">
        <v>1990</v>
      </c>
      <c r="F317" s="33">
        <v>45348</v>
      </c>
      <c r="G317" s="35" t="s">
        <v>1991</v>
      </c>
      <c r="H317" s="37" t="s">
        <v>138</v>
      </c>
      <c r="I317" s="58" t="s">
        <v>1992</v>
      </c>
      <c r="J317" s="57">
        <v>247826882.88</v>
      </c>
      <c r="K317" s="40">
        <f>((J317-M317)/J317)*100</f>
        <v>0</v>
      </c>
      <c r="L317" s="41">
        <f>J317-M317</f>
        <v>0</v>
      </c>
      <c r="M317" s="57">
        <v>247826882.88</v>
      </c>
      <c r="N317" s="41">
        <f>J317-O317</f>
        <v>0</v>
      </c>
      <c r="O317" s="57">
        <v>247826882.88</v>
      </c>
      <c r="P317" s="27">
        <f t="shared" si="46"/>
        <v>247826882.88</v>
      </c>
      <c r="Q317" s="27">
        <f t="shared" si="45"/>
        <v>247826882.88</v>
      </c>
      <c r="R317" s="27">
        <v>144.66</v>
      </c>
      <c r="S317" s="38">
        <f>Q317/U317</f>
        <v>144.66</v>
      </c>
      <c r="T317" s="38">
        <f>S317*AR317</f>
        <v>6943.68</v>
      </c>
      <c r="U317" s="38">
        <f t="shared" si="43"/>
        <v>1713168</v>
      </c>
      <c r="V317" s="38">
        <v>576000</v>
      </c>
      <c r="W317" s="38">
        <v>576000</v>
      </c>
      <c r="X317" s="38">
        <v>561168</v>
      </c>
      <c r="Y317" s="38">
        <v>0</v>
      </c>
      <c r="Z317" s="38">
        <f t="shared" si="41"/>
        <v>0</v>
      </c>
      <c r="AA317" s="38">
        <v>0</v>
      </c>
      <c r="AB317" s="38">
        <f t="shared" si="42"/>
        <v>0</v>
      </c>
      <c r="AC317" s="38">
        <f>U317/AR317</f>
        <v>35691</v>
      </c>
      <c r="AD317" s="38">
        <f t="shared" si="44"/>
        <v>35691</v>
      </c>
      <c r="AE317" s="33">
        <v>45383</v>
      </c>
      <c r="AF317" s="33">
        <v>45474</v>
      </c>
      <c r="AG317" s="33">
        <v>45550</v>
      </c>
      <c r="AH317" s="33">
        <v>45413</v>
      </c>
      <c r="AI317" s="33">
        <v>45505</v>
      </c>
      <c r="AJ317" s="42">
        <v>45580</v>
      </c>
      <c r="AK317" s="37" t="s">
        <v>1993</v>
      </c>
      <c r="AL317" s="37" t="s">
        <v>1994</v>
      </c>
      <c r="AM317" s="37" t="s">
        <v>1995</v>
      </c>
      <c r="AN317" s="37" t="s">
        <v>326</v>
      </c>
      <c r="AO317" s="43">
        <v>0</v>
      </c>
      <c r="AP317" s="35">
        <v>100</v>
      </c>
      <c r="AQ317" s="35" t="s">
        <v>441</v>
      </c>
      <c r="AR317" s="44">
        <v>48</v>
      </c>
      <c r="AS317" s="37" t="s">
        <v>380</v>
      </c>
    </row>
    <row r="318" spans="1:45" ht="48" customHeight="1" x14ac:dyDescent="0.25">
      <c r="A318" s="32" t="s">
        <v>1996</v>
      </c>
      <c r="B318" s="56">
        <v>45324</v>
      </c>
      <c r="C318" s="37" t="s">
        <v>548</v>
      </c>
      <c r="D318" s="36" t="s">
        <v>485</v>
      </c>
      <c r="E318" s="1" t="s">
        <v>1997</v>
      </c>
      <c r="F318" s="33" t="s">
        <v>485</v>
      </c>
      <c r="G318" s="35" t="s">
        <v>485</v>
      </c>
      <c r="H318" s="37" t="s">
        <v>485</v>
      </c>
      <c r="I318" s="58" t="s">
        <v>1998</v>
      </c>
      <c r="J318" s="57">
        <v>9795456</v>
      </c>
      <c r="K318" s="40">
        <f>((J318-M318)/J318)*100</f>
        <v>100</v>
      </c>
      <c r="L318" s="41">
        <f>J318-M318</f>
        <v>9795456</v>
      </c>
      <c r="M318" s="38"/>
      <c r="N318" s="41">
        <f>J318-O318</f>
        <v>9795456</v>
      </c>
      <c r="O318" s="38">
        <v>0</v>
      </c>
      <c r="P318" s="27">
        <f t="shared" si="46"/>
        <v>0</v>
      </c>
      <c r="Q318" s="27">
        <f t="shared" si="45"/>
        <v>0</v>
      </c>
      <c r="R318" s="27">
        <v>5.28</v>
      </c>
      <c r="S318" s="38">
        <f>Q318/U318</f>
        <v>0</v>
      </c>
      <c r="T318" s="38">
        <f>S318*AR318</f>
        <v>0</v>
      </c>
      <c r="U318" s="38">
        <f t="shared" si="43"/>
        <v>1855200</v>
      </c>
      <c r="V318" s="38">
        <v>1855200</v>
      </c>
      <c r="W318" s="38">
        <v>0</v>
      </c>
      <c r="X318" s="38">
        <v>0</v>
      </c>
      <c r="Y318" s="38"/>
      <c r="Z318" s="38">
        <f t="shared" si="41"/>
        <v>0</v>
      </c>
      <c r="AA318" s="38"/>
      <c r="AB318" s="38">
        <f t="shared" si="42"/>
        <v>0</v>
      </c>
      <c r="AC318" s="38" t="e">
        <f>U318/AR318</f>
        <v>#DIV/0!</v>
      </c>
      <c r="AD318" s="38" t="e">
        <f t="shared" si="44"/>
        <v>#DIV/0!</v>
      </c>
      <c r="AE318" s="33">
        <v>45383</v>
      </c>
      <c r="AF318" s="33"/>
      <c r="AG318" s="33"/>
      <c r="AH318" s="33"/>
      <c r="AI318" s="33"/>
      <c r="AJ318" s="42"/>
      <c r="AK318" s="37"/>
      <c r="AL318" s="37"/>
      <c r="AM318" s="37"/>
      <c r="AN318" s="37"/>
      <c r="AO318" s="43"/>
      <c r="AP318" s="35"/>
      <c r="AQ318" s="35"/>
      <c r="AR318" s="44"/>
      <c r="AS318" s="37" t="s">
        <v>485</v>
      </c>
    </row>
    <row r="319" spans="1:45" ht="48" customHeight="1" x14ac:dyDescent="0.25">
      <c r="A319" s="32" t="s">
        <v>1999</v>
      </c>
      <c r="B319" s="56">
        <v>45324</v>
      </c>
      <c r="C319" s="37" t="s">
        <v>548</v>
      </c>
      <c r="D319" s="36"/>
      <c r="E319" s="1" t="s">
        <v>2000</v>
      </c>
      <c r="F319" s="33">
        <v>45348</v>
      </c>
      <c r="G319" s="35" t="s">
        <v>2001</v>
      </c>
      <c r="H319" s="37" t="s">
        <v>291</v>
      </c>
      <c r="I319" s="59" t="s">
        <v>2002</v>
      </c>
      <c r="J319" s="57">
        <v>12375990</v>
      </c>
      <c r="K319" s="40">
        <f>((J319-M319)/J319)*100</f>
        <v>0</v>
      </c>
      <c r="L319" s="41">
        <f>J319-M319</f>
        <v>0</v>
      </c>
      <c r="M319" s="57">
        <v>12375990</v>
      </c>
      <c r="N319" s="41">
        <f>J319-O319</f>
        <v>0</v>
      </c>
      <c r="O319" s="57">
        <v>12375990</v>
      </c>
      <c r="P319" s="27">
        <f t="shared" si="46"/>
        <v>12375990</v>
      </c>
      <c r="Q319" s="27">
        <f t="shared" si="45"/>
        <v>12375990</v>
      </c>
      <c r="R319" s="27">
        <v>49.5</v>
      </c>
      <c r="S319" s="38">
        <f>Q319/U319</f>
        <v>49.5</v>
      </c>
      <c r="T319" s="38">
        <f>S319*AR319</f>
        <v>4950</v>
      </c>
      <c r="U319" s="38">
        <f t="shared" si="43"/>
        <v>250020</v>
      </c>
      <c r="V319" s="38">
        <v>250020</v>
      </c>
      <c r="W319" s="38">
        <v>0</v>
      </c>
      <c r="X319" s="38">
        <v>0</v>
      </c>
      <c r="Y319" s="38">
        <v>0</v>
      </c>
      <c r="Z319" s="38">
        <f t="shared" si="41"/>
        <v>0</v>
      </c>
      <c r="AA319" s="38">
        <v>0</v>
      </c>
      <c r="AB319" s="38">
        <f t="shared" si="42"/>
        <v>0</v>
      </c>
      <c r="AC319" s="38">
        <f>U319/AR319</f>
        <v>2500.1999999999998</v>
      </c>
      <c r="AD319" s="38">
        <f t="shared" si="44"/>
        <v>2501</v>
      </c>
      <c r="AE319" s="33">
        <v>45383</v>
      </c>
      <c r="AF319" s="33"/>
      <c r="AG319" s="33"/>
      <c r="AH319" s="33">
        <v>45413</v>
      </c>
      <c r="AI319" s="33"/>
      <c r="AJ319" s="42"/>
      <c r="AK319" s="37" t="s">
        <v>2003</v>
      </c>
      <c r="AL319" s="37" t="s">
        <v>2004</v>
      </c>
      <c r="AM319" s="37" t="s">
        <v>2005</v>
      </c>
      <c r="AN319" s="37" t="s">
        <v>50</v>
      </c>
      <c r="AO319" s="43">
        <v>100</v>
      </c>
      <c r="AP319" s="35">
        <v>0</v>
      </c>
      <c r="AQ319" s="35" t="s">
        <v>441</v>
      </c>
      <c r="AR319" s="44">
        <v>100</v>
      </c>
      <c r="AS319" s="37" t="s">
        <v>52</v>
      </c>
    </row>
    <row r="320" spans="1:45" ht="48" customHeight="1" x14ac:dyDescent="0.25">
      <c r="A320" s="32" t="s">
        <v>2006</v>
      </c>
      <c r="B320" s="56">
        <v>45324</v>
      </c>
      <c r="C320" s="37">
        <v>1416</v>
      </c>
      <c r="D320" s="36"/>
      <c r="E320" s="1" t="s">
        <v>2007</v>
      </c>
      <c r="F320" s="33">
        <v>45352</v>
      </c>
      <c r="G320" s="35" t="s">
        <v>2008</v>
      </c>
      <c r="H320" s="37" t="s">
        <v>219</v>
      </c>
      <c r="I320" s="58" t="s">
        <v>2009</v>
      </c>
      <c r="J320" s="57">
        <v>763941360</v>
      </c>
      <c r="K320" s="40">
        <f>((J320-M320)/J320)*100</f>
        <v>2.5</v>
      </c>
      <c r="L320" s="41">
        <f>J320-M320</f>
        <v>19098534</v>
      </c>
      <c r="M320" s="38">
        <v>744842826</v>
      </c>
      <c r="N320" s="41">
        <f>J320-O320</f>
        <v>19098534</v>
      </c>
      <c r="O320" s="38">
        <v>744842826</v>
      </c>
      <c r="P320" s="27">
        <f t="shared" si="46"/>
        <v>744842826</v>
      </c>
      <c r="Q320" s="27">
        <f t="shared" si="45"/>
        <v>744842826</v>
      </c>
      <c r="R320" s="27">
        <v>7.28</v>
      </c>
      <c r="S320" s="38">
        <f>Q320/U320</f>
        <v>7.0979999999999999</v>
      </c>
      <c r="T320" s="38">
        <f>S320*AR320</f>
        <v>7098</v>
      </c>
      <c r="U320" s="38">
        <f t="shared" si="43"/>
        <v>104937000</v>
      </c>
      <c r="V320" s="38">
        <v>73121000</v>
      </c>
      <c r="W320" s="38">
        <v>31816000</v>
      </c>
      <c r="X320" s="38">
        <v>0</v>
      </c>
      <c r="Y320" s="38">
        <v>0</v>
      </c>
      <c r="Z320" s="38">
        <f t="shared" si="41"/>
        <v>0</v>
      </c>
      <c r="AA320" s="38">
        <f>73121000+31816000</f>
        <v>104937000</v>
      </c>
      <c r="AB320" s="38">
        <f t="shared" si="42"/>
        <v>744842826</v>
      </c>
      <c r="AC320" s="38">
        <f>U320/AR320</f>
        <v>104937</v>
      </c>
      <c r="AD320" s="38">
        <f t="shared" si="44"/>
        <v>104937</v>
      </c>
      <c r="AE320" s="33">
        <v>45366</v>
      </c>
      <c r="AF320" s="33">
        <v>45432</v>
      </c>
      <c r="AG320" s="33"/>
      <c r="AH320" s="33">
        <v>45397</v>
      </c>
      <c r="AI320" s="33">
        <v>45463</v>
      </c>
      <c r="AJ320" s="42"/>
      <c r="AK320" s="37" t="s">
        <v>1934</v>
      </c>
      <c r="AL320" s="37" t="s">
        <v>2010</v>
      </c>
      <c r="AM320" s="37" t="s">
        <v>1936</v>
      </c>
      <c r="AN320" s="37" t="s">
        <v>50</v>
      </c>
      <c r="AO320" s="43">
        <v>100</v>
      </c>
      <c r="AP320" s="35">
        <v>0</v>
      </c>
      <c r="AQ320" s="35" t="s">
        <v>175</v>
      </c>
      <c r="AR320" s="44">
        <v>1000</v>
      </c>
      <c r="AS320" s="37" t="s">
        <v>52</v>
      </c>
    </row>
    <row r="321" spans="1:45" ht="48" customHeight="1" x14ac:dyDescent="0.25">
      <c r="A321" s="32" t="s">
        <v>2011</v>
      </c>
      <c r="B321" s="56">
        <v>45324</v>
      </c>
      <c r="C321" s="37">
        <v>1416</v>
      </c>
      <c r="D321" s="36" t="s">
        <v>485</v>
      </c>
      <c r="E321" s="1" t="s">
        <v>2012</v>
      </c>
      <c r="F321" s="33" t="s">
        <v>485</v>
      </c>
      <c r="G321" s="35" t="s">
        <v>485</v>
      </c>
      <c r="H321" s="37" t="s">
        <v>485</v>
      </c>
      <c r="I321" s="58" t="s">
        <v>2013</v>
      </c>
      <c r="J321" s="57">
        <v>169078328.09999999</v>
      </c>
      <c r="K321" s="40">
        <f>((J321-M321)/J321)*100</f>
        <v>100</v>
      </c>
      <c r="L321" s="41">
        <f>J321-M321</f>
        <v>169078328.09999999</v>
      </c>
      <c r="M321" s="38"/>
      <c r="N321" s="41">
        <f>J321-O321</f>
        <v>169078328.09999999</v>
      </c>
      <c r="O321" s="38">
        <v>0</v>
      </c>
      <c r="P321" s="27">
        <f t="shared" si="46"/>
        <v>0</v>
      </c>
      <c r="Q321" s="27">
        <f t="shared" si="45"/>
        <v>0</v>
      </c>
      <c r="R321" s="27">
        <v>3221.46</v>
      </c>
      <c r="S321" s="38">
        <f>Q321/U321</f>
        <v>0</v>
      </c>
      <c r="T321" s="38">
        <f>S321*AR321</f>
        <v>0</v>
      </c>
      <c r="U321" s="38">
        <f t="shared" si="43"/>
        <v>52485</v>
      </c>
      <c r="V321" s="38">
        <v>17665</v>
      </c>
      <c r="W321" s="38">
        <v>34820</v>
      </c>
      <c r="X321" s="38">
        <v>0</v>
      </c>
      <c r="Y321" s="38"/>
      <c r="Z321" s="38">
        <f t="shared" si="41"/>
        <v>0</v>
      </c>
      <c r="AA321" s="38">
        <v>0</v>
      </c>
      <c r="AB321" s="38">
        <f t="shared" si="42"/>
        <v>0</v>
      </c>
      <c r="AC321" s="38" t="e">
        <f>U321/AR321</f>
        <v>#DIV/0!</v>
      </c>
      <c r="AD321" s="38" t="e">
        <f t="shared" si="44"/>
        <v>#DIV/0!</v>
      </c>
      <c r="AE321" s="33">
        <v>45352</v>
      </c>
      <c r="AF321" s="33">
        <v>45444</v>
      </c>
      <c r="AG321" s="33"/>
      <c r="AH321" s="33"/>
      <c r="AI321" s="33"/>
      <c r="AJ321" s="42"/>
      <c r="AK321" s="37"/>
      <c r="AL321" s="37"/>
      <c r="AM321" s="37"/>
      <c r="AN321" s="37"/>
      <c r="AO321" s="43"/>
      <c r="AP321" s="35"/>
      <c r="AQ321" s="35"/>
      <c r="AR321" s="44"/>
      <c r="AS321" s="37" t="s">
        <v>485</v>
      </c>
    </row>
    <row r="322" spans="1:45" ht="63.75" customHeight="1" x14ac:dyDescent="0.25">
      <c r="A322" s="46" t="s">
        <v>2014</v>
      </c>
      <c r="B322" s="33">
        <v>45327</v>
      </c>
      <c r="C322" s="35">
        <v>1416</v>
      </c>
      <c r="D322" s="36"/>
      <c r="E322" s="1" t="s">
        <v>2015</v>
      </c>
      <c r="F322" s="33">
        <v>45352</v>
      </c>
      <c r="G322" s="35" t="s">
        <v>2016</v>
      </c>
      <c r="H322" s="37" t="s">
        <v>169</v>
      </c>
      <c r="I322" s="37" t="s">
        <v>764</v>
      </c>
      <c r="J322" s="38">
        <v>251473040</v>
      </c>
      <c r="K322" s="40">
        <f>((J322-M322)/J322)*100</f>
        <v>0</v>
      </c>
      <c r="L322" s="41">
        <f>J322-M322</f>
        <v>0</v>
      </c>
      <c r="M322" s="38">
        <v>251473040</v>
      </c>
      <c r="N322" s="41">
        <f>J322-O322</f>
        <v>0</v>
      </c>
      <c r="O322" s="38">
        <v>251473040</v>
      </c>
      <c r="P322" s="27">
        <f t="shared" si="46"/>
        <v>251473040</v>
      </c>
      <c r="Q322" s="27">
        <f t="shared" si="45"/>
        <v>251473040</v>
      </c>
      <c r="R322" s="27">
        <v>7.28</v>
      </c>
      <c r="S322" s="38">
        <f>Q322/U322</f>
        <v>7.28</v>
      </c>
      <c r="T322" s="38">
        <f>S322*AR322</f>
        <v>7280</v>
      </c>
      <c r="U322" s="38">
        <f t="shared" si="43"/>
        <v>34543000</v>
      </c>
      <c r="V322" s="38">
        <v>34543000</v>
      </c>
      <c r="W322" s="38">
        <v>0</v>
      </c>
      <c r="X322" s="38">
        <v>0</v>
      </c>
      <c r="Y322" s="38">
        <v>34543000</v>
      </c>
      <c r="Z322" s="38">
        <f t="shared" si="41"/>
        <v>251473040</v>
      </c>
      <c r="AA322" s="38">
        <v>0</v>
      </c>
      <c r="AB322" s="38">
        <f t="shared" si="42"/>
        <v>0</v>
      </c>
      <c r="AC322" s="38">
        <f>U322/AR322</f>
        <v>34543</v>
      </c>
      <c r="AD322" s="38">
        <f t="shared" si="44"/>
        <v>34543</v>
      </c>
      <c r="AE322" s="33">
        <v>45366</v>
      </c>
      <c r="AF322" s="33"/>
      <c r="AG322" s="33"/>
      <c r="AH322" s="33">
        <v>45397</v>
      </c>
      <c r="AI322" s="33"/>
      <c r="AJ322" s="42"/>
      <c r="AK322" s="37" t="s">
        <v>1964</v>
      </c>
      <c r="AL322" s="37" t="s">
        <v>2017</v>
      </c>
      <c r="AM322" s="37" t="s">
        <v>1966</v>
      </c>
      <c r="AN322" s="37" t="s">
        <v>768</v>
      </c>
      <c r="AO322" s="43">
        <v>0</v>
      </c>
      <c r="AP322" s="35">
        <v>100</v>
      </c>
      <c r="AQ322" s="35" t="s">
        <v>175</v>
      </c>
      <c r="AR322" s="44">
        <v>1000</v>
      </c>
      <c r="AS322" s="37" t="s">
        <v>52</v>
      </c>
    </row>
    <row r="323" spans="1:45" ht="36.75" customHeight="1" x14ac:dyDescent="0.25">
      <c r="A323" s="46" t="s">
        <v>2018</v>
      </c>
      <c r="B323" s="33">
        <v>45327</v>
      </c>
      <c r="C323" s="37" t="s">
        <v>548</v>
      </c>
      <c r="D323" s="36"/>
      <c r="E323" s="1" t="s">
        <v>2019</v>
      </c>
      <c r="F323" s="33">
        <v>45356</v>
      </c>
      <c r="G323" s="35" t="s">
        <v>2020</v>
      </c>
      <c r="H323" s="37" t="s">
        <v>219</v>
      </c>
      <c r="I323" s="37" t="s">
        <v>2021</v>
      </c>
      <c r="J323" s="38">
        <v>509832688</v>
      </c>
      <c r="K323" s="40">
        <f>((J323-M323)/J323)*100</f>
        <v>0</v>
      </c>
      <c r="L323" s="41">
        <f>J323-M323</f>
        <v>0</v>
      </c>
      <c r="M323" s="38">
        <v>509832688</v>
      </c>
      <c r="N323" s="41">
        <f>J323-O323</f>
        <v>0</v>
      </c>
      <c r="O323" s="38">
        <v>509832688</v>
      </c>
      <c r="P323" s="27">
        <f t="shared" si="46"/>
        <v>509832688</v>
      </c>
      <c r="Q323" s="27">
        <f t="shared" si="45"/>
        <v>509832688</v>
      </c>
      <c r="R323" s="27">
        <f>Q323/U323</f>
        <v>574.54999999999995</v>
      </c>
      <c r="S323" s="38">
        <f>Q323/U323</f>
        <v>574.54999999999995</v>
      </c>
      <c r="T323" s="38">
        <f>S323*AR323</f>
        <v>108015.4</v>
      </c>
      <c r="U323" s="38">
        <f t="shared" si="43"/>
        <v>887360</v>
      </c>
      <c r="V323" s="38">
        <v>887360</v>
      </c>
      <c r="W323" s="38">
        <v>0</v>
      </c>
      <c r="X323" s="38">
        <v>0</v>
      </c>
      <c r="Y323" s="38">
        <v>0</v>
      </c>
      <c r="Z323" s="38">
        <f t="shared" si="41"/>
        <v>0</v>
      </c>
      <c r="AA323" s="38">
        <v>0</v>
      </c>
      <c r="AB323" s="38">
        <f t="shared" si="42"/>
        <v>0</v>
      </c>
      <c r="AC323" s="38">
        <f>U323/AR323</f>
        <v>4720</v>
      </c>
      <c r="AD323" s="38">
        <f t="shared" si="44"/>
        <v>4720</v>
      </c>
      <c r="AE323" s="33">
        <v>45397</v>
      </c>
      <c r="AF323" s="33"/>
      <c r="AG323" s="33"/>
      <c r="AH323" s="33">
        <v>45427</v>
      </c>
      <c r="AI323" s="33"/>
      <c r="AJ323" s="42"/>
      <c r="AK323" s="37" t="s">
        <v>588</v>
      </c>
      <c r="AL323" s="37" t="s">
        <v>589</v>
      </c>
      <c r="AM323" s="37" t="s">
        <v>590</v>
      </c>
      <c r="AN323" s="37" t="s">
        <v>50</v>
      </c>
      <c r="AO323" s="43">
        <v>100</v>
      </c>
      <c r="AP323" s="35">
        <v>0</v>
      </c>
      <c r="AQ323" s="35" t="s">
        <v>441</v>
      </c>
      <c r="AR323" s="44">
        <v>188</v>
      </c>
      <c r="AS323" s="37" t="s">
        <v>52</v>
      </c>
    </row>
    <row r="324" spans="1:45" ht="107.25" customHeight="1" x14ac:dyDescent="0.25">
      <c r="A324" s="46" t="s">
        <v>2022</v>
      </c>
      <c r="B324" s="33">
        <v>45327</v>
      </c>
      <c r="C324" s="37" t="s">
        <v>548</v>
      </c>
      <c r="D324" s="36"/>
      <c r="E324" s="1" t="s">
        <v>2023</v>
      </c>
      <c r="F324" s="33">
        <v>45352</v>
      </c>
      <c r="G324" s="35" t="s">
        <v>2024</v>
      </c>
      <c r="H324" s="37" t="s">
        <v>291</v>
      </c>
      <c r="I324" s="37" t="s">
        <v>2025</v>
      </c>
      <c r="J324" s="38">
        <v>12153240</v>
      </c>
      <c r="K324" s="40">
        <f>((J324-M324)/J324)*100</f>
        <v>0</v>
      </c>
      <c r="L324" s="41">
        <f>J324-M324</f>
        <v>0</v>
      </c>
      <c r="M324" s="38">
        <v>12153240</v>
      </c>
      <c r="N324" s="41">
        <f>J324-O324</f>
        <v>0</v>
      </c>
      <c r="O324" s="38">
        <v>12153240</v>
      </c>
      <c r="P324" s="27">
        <f t="shared" si="46"/>
        <v>12153240</v>
      </c>
      <c r="Q324" s="27">
        <f t="shared" si="45"/>
        <v>12153240</v>
      </c>
      <c r="R324" s="27">
        <f>Q324/U324</f>
        <v>396</v>
      </c>
      <c r="S324" s="38">
        <f>Q324/U324</f>
        <v>396</v>
      </c>
      <c r="T324" s="38">
        <f>S324*AR324</f>
        <v>39600</v>
      </c>
      <c r="U324" s="38">
        <f t="shared" si="43"/>
        <v>30690</v>
      </c>
      <c r="V324" s="38">
        <v>30690</v>
      </c>
      <c r="W324" s="38">
        <v>0</v>
      </c>
      <c r="X324" s="38">
        <v>0</v>
      </c>
      <c r="Y324" s="38">
        <v>0</v>
      </c>
      <c r="Z324" s="38">
        <f t="shared" si="41"/>
        <v>0</v>
      </c>
      <c r="AA324" s="38">
        <v>0</v>
      </c>
      <c r="AB324" s="38">
        <f t="shared" si="42"/>
        <v>0</v>
      </c>
      <c r="AC324" s="38">
        <f>U324/AR324</f>
        <v>306.89999999999998</v>
      </c>
      <c r="AD324" s="38">
        <f t="shared" si="44"/>
        <v>307</v>
      </c>
      <c r="AE324" s="33">
        <v>45383</v>
      </c>
      <c r="AF324" s="33"/>
      <c r="AG324" s="33"/>
      <c r="AH324" s="33">
        <v>45413</v>
      </c>
      <c r="AI324" s="33"/>
      <c r="AJ324" s="42"/>
      <c r="AK324" s="37" t="s">
        <v>2026</v>
      </c>
      <c r="AL324" s="37" t="s">
        <v>2027</v>
      </c>
      <c r="AM324" s="37" t="s">
        <v>2028</v>
      </c>
      <c r="AN324" s="37" t="s">
        <v>50</v>
      </c>
      <c r="AO324" s="43">
        <v>100</v>
      </c>
      <c r="AP324" s="35">
        <v>0</v>
      </c>
      <c r="AQ324" s="35" t="s">
        <v>441</v>
      </c>
      <c r="AR324" s="44">
        <v>100</v>
      </c>
      <c r="AS324" s="37" t="s">
        <v>52</v>
      </c>
    </row>
    <row r="325" spans="1:45" ht="39" customHeight="1" x14ac:dyDescent="0.25">
      <c r="A325" s="32" t="s">
        <v>2029</v>
      </c>
      <c r="B325" s="56">
        <v>45327</v>
      </c>
      <c r="C325" s="37" t="s">
        <v>548</v>
      </c>
      <c r="D325" s="36"/>
      <c r="E325" s="1" t="s">
        <v>2030</v>
      </c>
      <c r="F325" s="33">
        <v>45352</v>
      </c>
      <c r="G325" s="35" t="s">
        <v>2031</v>
      </c>
      <c r="H325" s="37" t="s">
        <v>2032</v>
      </c>
      <c r="I325" s="59" t="s">
        <v>2033</v>
      </c>
      <c r="J325" s="57">
        <v>54510610</v>
      </c>
      <c r="K325" s="40">
        <f>((J325-M325)/J325)*100</f>
        <v>0</v>
      </c>
      <c r="L325" s="41">
        <f>J325-M325</f>
        <v>0</v>
      </c>
      <c r="M325" s="57">
        <v>54510610</v>
      </c>
      <c r="N325" s="41">
        <f>J325-O325</f>
        <v>0</v>
      </c>
      <c r="O325" s="38">
        <v>54510610</v>
      </c>
      <c r="P325" s="27">
        <f t="shared" si="46"/>
        <v>54510610</v>
      </c>
      <c r="Q325" s="27">
        <f t="shared" si="45"/>
        <v>54510610</v>
      </c>
      <c r="R325" s="27">
        <f>Q325/U325</f>
        <v>77</v>
      </c>
      <c r="S325" s="38">
        <f>Q325/U325</f>
        <v>77</v>
      </c>
      <c r="T325" s="38" t="e">
        <f>S325*AR325</f>
        <v>#VALUE!</v>
      </c>
      <c r="U325" s="38">
        <f t="shared" si="43"/>
        <v>707930</v>
      </c>
      <c r="V325" s="38">
        <v>707930</v>
      </c>
      <c r="W325" s="38">
        <v>0</v>
      </c>
      <c r="X325" s="38">
        <v>0</v>
      </c>
      <c r="Y325" s="38">
        <v>0</v>
      </c>
      <c r="Z325" s="38">
        <f t="shared" si="41"/>
        <v>0</v>
      </c>
      <c r="AA325" s="38">
        <v>0</v>
      </c>
      <c r="AB325" s="38">
        <f t="shared" si="42"/>
        <v>0</v>
      </c>
      <c r="AC325" s="38" t="e">
        <f>U325/AR325</f>
        <v>#VALUE!</v>
      </c>
      <c r="AD325" s="38" t="e">
        <f t="shared" si="44"/>
        <v>#VALUE!</v>
      </c>
      <c r="AE325" s="33">
        <v>45383</v>
      </c>
      <c r="AF325" s="33"/>
      <c r="AG325" s="33"/>
      <c r="AH325" s="33">
        <v>45413</v>
      </c>
      <c r="AI325" s="33"/>
      <c r="AJ325" s="42"/>
      <c r="AK325" s="37" t="s">
        <v>2034</v>
      </c>
      <c r="AL325" s="37" t="s">
        <v>2035</v>
      </c>
      <c r="AM325" s="37" t="s">
        <v>2036</v>
      </c>
      <c r="AN325" s="37" t="s">
        <v>50</v>
      </c>
      <c r="AO325" s="43">
        <v>100</v>
      </c>
      <c r="AP325" s="35">
        <v>0</v>
      </c>
      <c r="AQ325" s="35" t="s">
        <v>441</v>
      </c>
      <c r="AR325" s="48" t="s">
        <v>2037</v>
      </c>
      <c r="AS325" s="37" t="s">
        <v>52</v>
      </c>
    </row>
    <row r="326" spans="1:45" ht="39" customHeight="1" x14ac:dyDescent="0.25">
      <c r="A326" s="32" t="s">
        <v>2038</v>
      </c>
      <c r="B326" s="56">
        <v>45327</v>
      </c>
      <c r="C326" s="37">
        <v>1688</v>
      </c>
      <c r="D326" s="36"/>
      <c r="E326" s="1" t="s">
        <v>2039</v>
      </c>
      <c r="F326" s="33">
        <v>45352</v>
      </c>
      <c r="G326" s="35" t="s">
        <v>2040</v>
      </c>
      <c r="H326" s="37" t="s">
        <v>45</v>
      </c>
      <c r="I326" s="58" t="s">
        <v>2041</v>
      </c>
      <c r="J326" s="57">
        <v>514258.4</v>
      </c>
      <c r="K326" s="40">
        <f>((J326-M326)/J326)*100</f>
        <v>0</v>
      </c>
      <c r="L326" s="41">
        <f>J326-M326</f>
        <v>0</v>
      </c>
      <c r="M326" s="57">
        <v>514258.4</v>
      </c>
      <c r="N326" s="41">
        <f>J326-O326</f>
        <v>0</v>
      </c>
      <c r="O326" s="57">
        <v>514258.4</v>
      </c>
      <c r="P326" s="27">
        <f t="shared" si="46"/>
        <v>514258.4</v>
      </c>
      <c r="Q326" s="27">
        <f t="shared" si="45"/>
        <v>514258.4</v>
      </c>
      <c r="R326" s="27">
        <f>Q326/U326</f>
        <v>162.74</v>
      </c>
      <c r="S326" s="38">
        <f>Q326/U326</f>
        <v>162.74</v>
      </c>
      <c r="T326" s="38">
        <f>S326*AR326</f>
        <v>1627.4</v>
      </c>
      <c r="U326" s="38">
        <f t="shared" si="43"/>
        <v>3160</v>
      </c>
      <c r="V326" s="38">
        <v>3160</v>
      </c>
      <c r="W326" s="38">
        <v>0</v>
      </c>
      <c r="X326" s="38">
        <v>0</v>
      </c>
      <c r="Y326" s="38">
        <v>0</v>
      </c>
      <c r="Z326" s="38">
        <f t="shared" si="41"/>
        <v>0</v>
      </c>
      <c r="AA326" s="38">
        <v>0</v>
      </c>
      <c r="AB326" s="38">
        <f t="shared" si="42"/>
        <v>0</v>
      </c>
      <c r="AC326" s="38">
        <f>U326/AR326</f>
        <v>316</v>
      </c>
      <c r="AD326" s="38">
        <f t="shared" si="44"/>
        <v>316</v>
      </c>
      <c r="AE326" s="33">
        <v>45383</v>
      </c>
      <c r="AF326" s="33"/>
      <c r="AG326" s="33"/>
      <c r="AH326" s="33">
        <v>45413</v>
      </c>
      <c r="AI326" s="33"/>
      <c r="AJ326" s="42"/>
      <c r="AK326" s="37" t="s">
        <v>2042</v>
      </c>
      <c r="AL326" s="37" t="s">
        <v>78</v>
      </c>
      <c r="AM326" s="37" t="s">
        <v>2043</v>
      </c>
      <c r="AN326" s="37" t="s">
        <v>50</v>
      </c>
      <c r="AO326" s="43">
        <v>100</v>
      </c>
      <c r="AP326" s="35">
        <v>0</v>
      </c>
      <c r="AQ326" s="35" t="s">
        <v>51</v>
      </c>
      <c r="AR326" s="44">
        <v>10</v>
      </c>
      <c r="AS326" s="37" t="s">
        <v>52</v>
      </c>
    </row>
    <row r="327" spans="1:45" ht="39" customHeight="1" x14ac:dyDescent="0.25">
      <c r="A327" s="32" t="s">
        <v>2044</v>
      </c>
      <c r="B327" s="56">
        <v>45328</v>
      </c>
      <c r="C327" s="37" t="s">
        <v>548</v>
      </c>
      <c r="D327" s="36"/>
      <c r="E327" s="1" t="s">
        <v>2045</v>
      </c>
      <c r="F327" s="33">
        <v>45352</v>
      </c>
      <c r="G327" s="35" t="s">
        <v>2046</v>
      </c>
      <c r="H327" s="37" t="s">
        <v>291</v>
      </c>
      <c r="I327" s="58" t="s">
        <v>2047</v>
      </c>
      <c r="J327" s="57">
        <v>1729855.6</v>
      </c>
      <c r="K327" s="40">
        <f>((J327-M327)/J327)*100</f>
        <v>8.5809312638581048</v>
      </c>
      <c r="L327" s="41">
        <f>J327-M327</f>
        <v>148437.7200000002</v>
      </c>
      <c r="M327" s="38">
        <v>1581417.88</v>
      </c>
      <c r="N327" s="41">
        <f>J327-O327</f>
        <v>148437.7200000002</v>
      </c>
      <c r="O327" s="38">
        <v>1581417.88</v>
      </c>
      <c r="P327" s="27">
        <f t="shared" si="46"/>
        <v>1581417.88</v>
      </c>
      <c r="Q327" s="27">
        <f t="shared" si="45"/>
        <v>1581417.88</v>
      </c>
      <c r="R327" s="27">
        <f>Q327/U327</f>
        <v>164.92</v>
      </c>
      <c r="S327" s="38">
        <f>Q327/U327</f>
        <v>164.92</v>
      </c>
      <c r="T327" s="38">
        <f>S327*AR327</f>
        <v>82.46</v>
      </c>
      <c r="U327" s="38">
        <f t="shared" si="43"/>
        <v>9589</v>
      </c>
      <c r="V327" s="38">
        <v>9589</v>
      </c>
      <c r="W327" s="38">
        <v>0</v>
      </c>
      <c r="X327" s="38">
        <v>0</v>
      </c>
      <c r="Y327" s="38">
        <v>0</v>
      </c>
      <c r="Z327" s="38">
        <f t="shared" si="41"/>
        <v>0</v>
      </c>
      <c r="AA327" s="38">
        <v>0</v>
      </c>
      <c r="AB327" s="38">
        <f t="shared" si="42"/>
        <v>0</v>
      </c>
      <c r="AC327" s="38">
        <f>U327/AR327</f>
        <v>19178</v>
      </c>
      <c r="AD327" s="38">
        <f t="shared" si="44"/>
        <v>19178</v>
      </c>
      <c r="AE327" s="33">
        <v>45397</v>
      </c>
      <c r="AF327" s="33"/>
      <c r="AG327" s="33"/>
      <c r="AH327" s="33">
        <v>45427</v>
      </c>
      <c r="AI327" s="33"/>
      <c r="AJ327" s="42"/>
      <c r="AK327" s="37" t="s">
        <v>2048</v>
      </c>
      <c r="AL327" s="37" t="s">
        <v>2049</v>
      </c>
      <c r="AM327" s="37" t="s">
        <v>2050</v>
      </c>
      <c r="AN327" s="37" t="s">
        <v>50</v>
      </c>
      <c r="AO327" s="43">
        <v>100</v>
      </c>
      <c r="AP327" s="35">
        <v>0</v>
      </c>
      <c r="AQ327" s="35" t="s">
        <v>398</v>
      </c>
      <c r="AR327" s="49">
        <v>0.5</v>
      </c>
      <c r="AS327" s="37" t="s">
        <v>52</v>
      </c>
    </row>
    <row r="328" spans="1:45" ht="39" customHeight="1" x14ac:dyDescent="0.25">
      <c r="A328" s="32" t="s">
        <v>2051</v>
      </c>
      <c r="B328" s="56">
        <v>45328</v>
      </c>
      <c r="C328" s="37" t="s">
        <v>548</v>
      </c>
      <c r="D328" s="36"/>
      <c r="E328" s="1" t="s">
        <v>2052</v>
      </c>
      <c r="F328" s="33">
        <v>45352</v>
      </c>
      <c r="G328" s="35" t="s">
        <v>2053</v>
      </c>
      <c r="H328" s="37" t="s">
        <v>291</v>
      </c>
      <c r="I328" s="59" t="s">
        <v>2054</v>
      </c>
      <c r="J328" s="57">
        <v>145426006.90000001</v>
      </c>
      <c r="K328" s="40">
        <f>((J328-M328)/J328)*100</f>
        <v>0</v>
      </c>
      <c r="L328" s="41">
        <f>J328-M328</f>
        <v>0</v>
      </c>
      <c r="M328" s="57">
        <v>145426006.90000001</v>
      </c>
      <c r="N328" s="41">
        <f>J328-O328</f>
        <v>0</v>
      </c>
      <c r="O328" s="38">
        <v>145426006.90000001</v>
      </c>
      <c r="P328" s="27">
        <f t="shared" si="46"/>
        <v>145426006.90000001</v>
      </c>
      <c r="Q328" s="27">
        <f t="shared" si="45"/>
        <v>145426006.90000001</v>
      </c>
      <c r="R328" s="27">
        <f>Q328/U328</f>
        <v>83.570000000000007</v>
      </c>
      <c r="S328" s="38">
        <f>Q328/U328</f>
        <v>83.570000000000007</v>
      </c>
      <c r="T328" s="38">
        <f>S328*AR328</f>
        <v>8357</v>
      </c>
      <c r="U328" s="38">
        <f t="shared" si="43"/>
        <v>1740170</v>
      </c>
      <c r="V328" s="38">
        <v>1740170</v>
      </c>
      <c r="W328" s="38">
        <v>0</v>
      </c>
      <c r="X328" s="38">
        <v>0</v>
      </c>
      <c r="Y328" s="38">
        <v>0</v>
      </c>
      <c r="Z328" s="38">
        <f t="shared" si="41"/>
        <v>0</v>
      </c>
      <c r="AA328" s="38">
        <v>0</v>
      </c>
      <c r="AB328" s="38">
        <f t="shared" si="42"/>
        <v>0</v>
      </c>
      <c r="AC328" s="38">
        <f>U328/AR328</f>
        <v>17401.7</v>
      </c>
      <c r="AD328" s="38">
        <f t="shared" si="44"/>
        <v>17402</v>
      </c>
      <c r="AE328" s="33">
        <v>45397</v>
      </c>
      <c r="AF328" s="33"/>
      <c r="AG328" s="33"/>
      <c r="AH328" s="33">
        <v>45427</v>
      </c>
      <c r="AI328" s="33"/>
      <c r="AJ328" s="42"/>
      <c r="AK328" s="37" t="s">
        <v>2055</v>
      </c>
      <c r="AL328" s="37" t="s">
        <v>2056</v>
      </c>
      <c r="AM328" s="37" t="s">
        <v>2057</v>
      </c>
      <c r="AN328" s="37" t="s">
        <v>50</v>
      </c>
      <c r="AO328" s="43">
        <v>100</v>
      </c>
      <c r="AP328" s="35">
        <v>0</v>
      </c>
      <c r="AQ328" s="35" t="s">
        <v>441</v>
      </c>
      <c r="AR328" s="44">
        <v>100</v>
      </c>
      <c r="AS328" s="37" t="s">
        <v>52</v>
      </c>
    </row>
    <row r="329" spans="1:45" ht="39" customHeight="1" x14ac:dyDescent="0.25">
      <c r="A329" s="32" t="s">
        <v>2058</v>
      </c>
      <c r="B329" s="56">
        <v>45328</v>
      </c>
      <c r="C329" s="37" t="s">
        <v>548</v>
      </c>
      <c r="D329" s="36"/>
      <c r="E329" s="1" t="s">
        <v>2059</v>
      </c>
      <c r="F329" s="33">
        <v>45352</v>
      </c>
      <c r="G329" s="35" t="s">
        <v>2060</v>
      </c>
      <c r="H329" s="37" t="s">
        <v>2061</v>
      </c>
      <c r="I329" s="58" t="s">
        <v>2062</v>
      </c>
      <c r="J329" s="57">
        <v>1656207.3</v>
      </c>
      <c r="K329" s="40">
        <f>((J329-M329)/J329)*100</f>
        <v>23.001245073608843</v>
      </c>
      <c r="L329" s="41">
        <f>J329-M329</f>
        <v>380948.30000000005</v>
      </c>
      <c r="M329" s="38">
        <v>1275259</v>
      </c>
      <c r="N329" s="41">
        <f>J329-O329</f>
        <v>380948.30000000005</v>
      </c>
      <c r="O329" s="38">
        <v>1275259</v>
      </c>
      <c r="P329" s="27">
        <v>1275022.56</v>
      </c>
      <c r="Q329" s="27">
        <f t="shared" si="45"/>
        <v>1275022.56</v>
      </c>
      <c r="R329" s="27">
        <f>Q329/U329</f>
        <v>138.88</v>
      </c>
      <c r="S329" s="38">
        <f>Q329/U329</f>
        <v>138.88</v>
      </c>
      <c r="T329" s="38">
        <f>S329*AR329</f>
        <v>104.16</v>
      </c>
      <c r="U329" s="38">
        <f t="shared" si="43"/>
        <v>9180.75</v>
      </c>
      <c r="V329" s="38">
        <v>9180.75</v>
      </c>
      <c r="W329" s="38">
        <v>0</v>
      </c>
      <c r="X329" s="38">
        <v>0</v>
      </c>
      <c r="Y329" s="38">
        <v>0</v>
      </c>
      <c r="Z329" s="38">
        <f t="shared" si="41"/>
        <v>0</v>
      </c>
      <c r="AA329" s="38">
        <v>0</v>
      </c>
      <c r="AB329" s="38">
        <f t="shared" si="42"/>
        <v>0</v>
      </c>
      <c r="AC329" s="38">
        <f>U329/AR329</f>
        <v>12241</v>
      </c>
      <c r="AD329" s="38">
        <f t="shared" si="44"/>
        <v>12241</v>
      </c>
      <c r="AE329" s="33">
        <v>45397</v>
      </c>
      <c r="AF329" s="33"/>
      <c r="AG329" s="33"/>
      <c r="AH329" s="33">
        <v>45427</v>
      </c>
      <c r="AI329" s="33"/>
      <c r="AJ329" s="42"/>
      <c r="AK329" s="37" t="s">
        <v>2048</v>
      </c>
      <c r="AL329" s="37" t="s">
        <v>2063</v>
      </c>
      <c r="AM329" s="37" t="s">
        <v>2064</v>
      </c>
      <c r="AN329" s="37" t="s">
        <v>50</v>
      </c>
      <c r="AO329" s="43">
        <v>100</v>
      </c>
      <c r="AP329" s="35">
        <v>0</v>
      </c>
      <c r="AQ329" s="35" t="s">
        <v>398</v>
      </c>
      <c r="AR329" s="38">
        <v>0.75</v>
      </c>
      <c r="AS329" s="37" t="s">
        <v>52</v>
      </c>
    </row>
    <row r="330" spans="1:45" ht="39" customHeight="1" x14ac:dyDescent="0.25">
      <c r="A330" s="32" t="s">
        <v>2065</v>
      </c>
      <c r="B330" s="56">
        <v>45328</v>
      </c>
      <c r="C330" s="37" t="s">
        <v>2066</v>
      </c>
      <c r="D330" s="35" t="s">
        <v>485</v>
      </c>
      <c r="E330" s="1" t="s">
        <v>2067</v>
      </c>
      <c r="F330" s="35" t="s">
        <v>485</v>
      </c>
      <c r="G330" s="35" t="s">
        <v>485</v>
      </c>
      <c r="H330" s="35" t="s">
        <v>485</v>
      </c>
      <c r="I330" s="60" t="s">
        <v>2068</v>
      </c>
      <c r="J330" s="61">
        <v>9820.7999999999993</v>
      </c>
      <c r="K330" s="40">
        <f>((J330-M330)/J330)*100</f>
        <v>100</v>
      </c>
      <c r="L330" s="41">
        <f>J330-M330</f>
        <v>9820.7999999999993</v>
      </c>
      <c r="M330" s="38"/>
      <c r="N330" s="41">
        <f>J330-O330</f>
        <v>9820.7999999999993</v>
      </c>
      <c r="O330" s="38">
        <v>0</v>
      </c>
      <c r="P330" s="27">
        <f>O330</f>
        <v>0</v>
      </c>
      <c r="Q330" s="27">
        <f t="shared" si="45"/>
        <v>0</v>
      </c>
      <c r="R330" s="27" t="e">
        <f>Q330/U330</f>
        <v>#DIV/0!</v>
      </c>
      <c r="S330" s="38" t="e">
        <f>Q330/U330</f>
        <v>#DIV/0!</v>
      </c>
      <c r="T330" s="38" t="e">
        <f>S330*AR330</f>
        <v>#DIV/0!</v>
      </c>
      <c r="U330" s="38">
        <f t="shared" si="43"/>
        <v>0</v>
      </c>
      <c r="V330" s="38">
        <v>0</v>
      </c>
      <c r="W330" s="38">
        <v>0</v>
      </c>
      <c r="X330" s="38">
        <v>0</v>
      </c>
      <c r="Y330" s="38"/>
      <c r="Z330" s="38" t="e">
        <f t="shared" si="41"/>
        <v>#DIV/0!</v>
      </c>
      <c r="AA330" s="38"/>
      <c r="AB330" s="38" t="e">
        <f t="shared" si="42"/>
        <v>#DIV/0!</v>
      </c>
      <c r="AC330" s="38" t="e">
        <f>U330/AR330</f>
        <v>#DIV/0!</v>
      </c>
      <c r="AD330" s="38" t="e">
        <f t="shared" si="44"/>
        <v>#DIV/0!</v>
      </c>
      <c r="AE330" s="33">
        <v>45397</v>
      </c>
      <c r="AF330" s="33"/>
      <c r="AG330" s="33"/>
      <c r="AH330" s="33"/>
      <c r="AI330" s="33"/>
      <c r="AJ330" s="42"/>
      <c r="AK330" s="37"/>
      <c r="AL330" s="37"/>
      <c r="AM330" s="37"/>
      <c r="AN330" s="37"/>
      <c r="AO330" s="43"/>
      <c r="AP330" s="35"/>
      <c r="AQ330" s="35"/>
      <c r="AR330" s="44"/>
      <c r="AS330" s="37" t="s">
        <v>485</v>
      </c>
    </row>
    <row r="331" spans="1:45" ht="39" customHeight="1" x14ac:dyDescent="0.25">
      <c r="A331" s="32" t="s">
        <v>2069</v>
      </c>
      <c r="B331" s="56">
        <v>45328</v>
      </c>
      <c r="C331" s="37">
        <v>545</v>
      </c>
      <c r="D331" s="36"/>
      <c r="E331" s="1" t="s">
        <v>2070</v>
      </c>
      <c r="F331" s="33">
        <v>45352</v>
      </c>
      <c r="G331" s="35" t="s">
        <v>2071</v>
      </c>
      <c r="H331" s="37" t="s">
        <v>1897</v>
      </c>
      <c r="I331" s="58" t="s">
        <v>1376</v>
      </c>
      <c r="J331" s="57">
        <v>62321212.799999997</v>
      </c>
      <c r="K331" s="40">
        <f>((J331-M331)/J331)*100</f>
        <v>0</v>
      </c>
      <c r="L331" s="41">
        <f>J331-M331</f>
        <v>0</v>
      </c>
      <c r="M331" s="57">
        <v>62321212.799999997</v>
      </c>
      <c r="N331" s="41">
        <f>J331-O331</f>
        <v>0</v>
      </c>
      <c r="O331" s="38">
        <v>62321212.799999997</v>
      </c>
      <c r="P331" s="27">
        <v>60576238.799999997</v>
      </c>
      <c r="Q331" s="27">
        <f t="shared" si="45"/>
        <v>60576238.799999997</v>
      </c>
      <c r="R331" s="27">
        <f>Q331/U331</f>
        <v>240381.9</v>
      </c>
      <c r="S331" s="38">
        <f>Q331/U331</f>
        <v>240381.9</v>
      </c>
      <c r="T331" s="38">
        <f>S331*AR331</f>
        <v>2884582.8</v>
      </c>
      <c r="U331" s="38">
        <f t="shared" si="43"/>
        <v>252</v>
      </c>
      <c r="V331" s="38">
        <v>252</v>
      </c>
      <c r="W331" s="38">
        <v>0</v>
      </c>
      <c r="X331" s="38">
        <v>0</v>
      </c>
      <c r="Y331" s="38">
        <v>0</v>
      </c>
      <c r="Z331" s="38">
        <f t="shared" si="41"/>
        <v>0</v>
      </c>
      <c r="AA331" s="38">
        <v>0</v>
      </c>
      <c r="AB331" s="38">
        <f t="shared" si="42"/>
        <v>0</v>
      </c>
      <c r="AC331" s="38">
        <f>U331/AR331</f>
        <v>21</v>
      </c>
      <c r="AD331" s="38">
        <f t="shared" si="44"/>
        <v>21</v>
      </c>
      <c r="AE331" s="33">
        <v>45371</v>
      </c>
      <c r="AF331" s="33"/>
      <c r="AG331" s="33"/>
      <c r="AH331" s="33">
        <v>45402</v>
      </c>
      <c r="AI331" s="33"/>
      <c r="AJ331" s="42"/>
      <c r="AK331" s="37" t="s">
        <v>653</v>
      </c>
      <c r="AL331" s="37" t="s">
        <v>2072</v>
      </c>
      <c r="AM331" s="37" t="s">
        <v>655</v>
      </c>
      <c r="AN331" s="37" t="s">
        <v>143</v>
      </c>
      <c r="AO331" s="43">
        <v>0</v>
      </c>
      <c r="AP331" s="35">
        <v>100</v>
      </c>
      <c r="AQ331" s="35" t="s">
        <v>164</v>
      </c>
      <c r="AR331" s="44">
        <v>12</v>
      </c>
      <c r="AS331" s="37" t="s">
        <v>176</v>
      </c>
    </row>
    <row r="332" spans="1:45" ht="39" customHeight="1" x14ac:dyDescent="0.25">
      <c r="A332" s="32" t="s">
        <v>2073</v>
      </c>
      <c r="B332" s="56">
        <v>45329</v>
      </c>
      <c r="C332" s="37" t="s">
        <v>2074</v>
      </c>
      <c r="D332" s="35" t="s">
        <v>485</v>
      </c>
      <c r="E332" s="1" t="s">
        <v>2075</v>
      </c>
      <c r="F332" s="35" t="s">
        <v>485</v>
      </c>
      <c r="G332" s="35" t="s">
        <v>485</v>
      </c>
      <c r="H332" s="35" t="s">
        <v>485</v>
      </c>
      <c r="I332" s="58" t="s">
        <v>1992</v>
      </c>
      <c r="J332" s="57">
        <v>8860135.6799999997</v>
      </c>
      <c r="K332" s="40">
        <f>((J332-M332)/J332)*100</f>
        <v>100</v>
      </c>
      <c r="L332" s="41">
        <f>J332-M332</f>
        <v>8860135.6799999997</v>
      </c>
      <c r="M332" s="38"/>
      <c r="N332" s="41">
        <f>J332-O332</f>
        <v>8860135.6799999997</v>
      </c>
      <c r="O332" s="38">
        <v>0</v>
      </c>
      <c r="P332" s="27">
        <f t="shared" ref="P332:P346" si="47">O332</f>
        <v>0</v>
      </c>
      <c r="Q332" s="27">
        <f t="shared" si="45"/>
        <v>0</v>
      </c>
      <c r="R332" s="27" t="e">
        <f>Q332/U332</f>
        <v>#DIV/0!</v>
      </c>
      <c r="S332" s="38" t="e">
        <f>Q332/U332</f>
        <v>#DIV/0!</v>
      </c>
      <c r="T332" s="38" t="e">
        <f>S332*AR332</f>
        <v>#DIV/0!</v>
      </c>
      <c r="U332" s="38">
        <f t="shared" si="43"/>
        <v>0</v>
      </c>
      <c r="V332" s="38">
        <v>0</v>
      </c>
      <c r="W332" s="38">
        <v>0</v>
      </c>
      <c r="X332" s="38">
        <v>0</v>
      </c>
      <c r="Y332" s="38"/>
      <c r="Z332" s="38" t="e">
        <f t="shared" ref="Z332:Z395" si="48">Y332*S332</f>
        <v>#DIV/0!</v>
      </c>
      <c r="AA332" s="38"/>
      <c r="AB332" s="38" t="e">
        <f t="shared" ref="AB332:AB395" si="49">AA332*S332</f>
        <v>#DIV/0!</v>
      </c>
      <c r="AC332" s="38" t="e">
        <f>U332/AR332</f>
        <v>#DIV/0!</v>
      </c>
      <c r="AD332" s="38" t="e">
        <f t="shared" si="44"/>
        <v>#DIV/0!</v>
      </c>
      <c r="AE332" s="33">
        <v>45397</v>
      </c>
      <c r="AF332" s="33"/>
      <c r="AG332" s="33"/>
      <c r="AH332" s="33"/>
      <c r="AI332" s="33"/>
      <c r="AJ332" s="42"/>
      <c r="AK332" s="37"/>
      <c r="AL332" s="37"/>
      <c r="AM332" s="37"/>
      <c r="AN332" s="37"/>
      <c r="AO332" s="43"/>
      <c r="AP332" s="35"/>
      <c r="AQ332" s="35"/>
      <c r="AR332" s="44"/>
      <c r="AS332" s="37" t="s">
        <v>485</v>
      </c>
    </row>
    <row r="333" spans="1:45" ht="39" customHeight="1" x14ac:dyDescent="0.25">
      <c r="A333" s="32" t="s">
        <v>2076</v>
      </c>
      <c r="B333" s="56">
        <v>45329</v>
      </c>
      <c r="C333" s="37" t="s">
        <v>2066</v>
      </c>
      <c r="D333" s="36" t="s">
        <v>2077</v>
      </c>
      <c r="E333" s="1" t="s">
        <v>2078</v>
      </c>
      <c r="F333" s="33">
        <v>45341</v>
      </c>
      <c r="G333" s="35" t="s">
        <v>2079</v>
      </c>
      <c r="H333" s="54" t="s">
        <v>2080</v>
      </c>
      <c r="I333" s="58" t="s">
        <v>1615</v>
      </c>
      <c r="J333" s="57">
        <v>2434080</v>
      </c>
      <c r="K333" s="40">
        <f>((J333-M333)/J333)*100</f>
        <v>14.099783080260304</v>
      </c>
      <c r="L333" s="41">
        <f>J333-M333</f>
        <v>343200</v>
      </c>
      <c r="M333" s="38">
        <v>2090880</v>
      </c>
      <c r="N333" s="41">
        <f>J333-O333</f>
        <v>343200</v>
      </c>
      <c r="O333" s="38">
        <v>2090880</v>
      </c>
      <c r="P333" s="27">
        <f t="shared" si="47"/>
        <v>2090880</v>
      </c>
      <c r="Q333" s="27">
        <f t="shared" si="45"/>
        <v>2090880</v>
      </c>
      <c r="R333" s="27">
        <f>Q333/U333</f>
        <v>19.8</v>
      </c>
      <c r="S333" s="38">
        <f>Q333/U333</f>
        <v>19.8</v>
      </c>
      <c r="T333" s="38">
        <f>S333*AR333</f>
        <v>990</v>
      </c>
      <c r="U333" s="38">
        <f t="shared" si="43"/>
        <v>105600</v>
      </c>
      <c r="V333" s="38">
        <v>105600</v>
      </c>
      <c r="W333" s="38">
        <v>0</v>
      </c>
      <c r="X333" s="38">
        <v>0</v>
      </c>
      <c r="Y333" s="38">
        <v>0</v>
      </c>
      <c r="Z333" s="38">
        <f t="shared" si="48"/>
        <v>0</v>
      </c>
      <c r="AA333" s="38">
        <v>0</v>
      </c>
      <c r="AB333" s="38">
        <f t="shared" si="49"/>
        <v>0</v>
      </c>
      <c r="AC333" s="38">
        <f>U333/AR333</f>
        <v>2112</v>
      </c>
      <c r="AD333" s="38">
        <f t="shared" si="44"/>
        <v>2112</v>
      </c>
      <c r="AE333" s="33">
        <v>45397</v>
      </c>
      <c r="AF333" s="33"/>
      <c r="AG333" s="33"/>
      <c r="AH333" s="33">
        <v>45427</v>
      </c>
      <c r="AI333" s="33"/>
      <c r="AJ333" s="42"/>
      <c r="AK333" s="37" t="s">
        <v>2081</v>
      </c>
      <c r="AL333" s="37" t="s">
        <v>2082</v>
      </c>
      <c r="AM333" s="37" t="s">
        <v>2083</v>
      </c>
      <c r="AN333" s="37" t="s">
        <v>50</v>
      </c>
      <c r="AO333" s="43">
        <v>100</v>
      </c>
      <c r="AP333" s="35">
        <v>0</v>
      </c>
      <c r="AQ333" s="35" t="s">
        <v>441</v>
      </c>
      <c r="AR333" s="44">
        <v>50</v>
      </c>
      <c r="AS333" s="37" t="s">
        <v>52</v>
      </c>
    </row>
    <row r="334" spans="1:45" ht="39" customHeight="1" x14ac:dyDescent="0.25">
      <c r="A334" s="32" t="s">
        <v>2084</v>
      </c>
      <c r="B334" s="56">
        <v>45329</v>
      </c>
      <c r="C334" s="37" t="s">
        <v>2066</v>
      </c>
      <c r="D334" s="35" t="s">
        <v>485</v>
      </c>
      <c r="E334" s="1" t="s">
        <v>2085</v>
      </c>
      <c r="F334" s="35" t="s">
        <v>485</v>
      </c>
      <c r="G334" s="35" t="s">
        <v>485</v>
      </c>
      <c r="H334" s="35" t="s">
        <v>485</v>
      </c>
      <c r="I334" s="58" t="s">
        <v>1753</v>
      </c>
      <c r="J334" s="57">
        <v>4644</v>
      </c>
      <c r="K334" s="40">
        <f>((J334-M334)/J334)*100</f>
        <v>100</v>
      </c>
      <c r="L334" s="41">
        <f>J334-M334</f>
        <v>4644</v>
      </c>
      <c r="M334" s="38"/>
      <c r="N334" s="41">
        <f>J334-O334</f>
        <v>4644</v>
      </c>
      <c r="O334" s="38">
        <v>0</v>
      </c>
      <c r="P334" s="27">
        <f t="shared" si="47"/>
        <v>0</v>
      </c>
      <c r="Q334" s="27">
        <f t="shared" si="45"/>
        <v>0</v>
      </c>
      <c r="R334" s="27" t="e">
        <f>Q334/U334</f>
        <v>#DIV/0!</v>
      </c>
      <c r="S334" s="38" t="e">
        <f>Q334/U334</f>
        <v>#DIV/0!</v>
      </c>
      <c r="T334" s="38" t="e">
        <f>S334*AR334</f>
        <v>#DIV/0!</v>
      </c>
      <c r="U334" s="38">
        <f t="shared" si="43"/>
        <v>0</v>
      </c>
      <c r="V334" s="38">
        <v>0</v>
      </c>
      <c r="W334" s="38">
        <v>0</v>
      </c>
      <c r="X334" s="38">
        <v>0</v>
      </c>
      <c r="Y334" s="38"/>
      <c r="Z334" s="38" t="e">
        <f t="shared" si="48"/>
        <v>#DIV/0!</v>
      </c>
      <c r="AA334" s="38"/>
      <c r="AB334" s="38" t="e">
        <f t="shared" si="49"/>
        <v>#DIV/0!</v>
      </c>
      <c r="AC334" s="38" t="e">
        <f>U334/AR334</f>
        <v>#DIV/0!</v>
      </c>
      <c r="AD334" s="38" t="e">
        <f t="shared" si="44"/>
        <v>#DIV/0!</v>
      </c>
      <c r="AE334" s="33">
        <v>45397</v>
      </c>
      <c r="AF334" s="33"/>
      <c r="AG334" s="33"/>
      <c r="AH334" s="33"/>
      <c r="AI334" s="33"/>
      <c r="AJ334" s="42"/>
      <c r="AK334" s="37"/>
      <c r="AL334" s="37"/>
      <c r="AM334" s="37"/>
      <c r="AN334" s="37"/>
      <c r="AO334" s="43"/>
      <c r="AP334" s="35"/>
      <c r="AQ334" s="35"/>
      <c r="AR334" s="44"/>
      <c r="AS334" s="37"/>
    </row>
    <row r="335" spans="1:45" ht="39" customHeight="1" x14ac:dyDescent="0.25">
      <c r="A335" s="32" t="s">
        <v>2086</v>
      </c>
      <c r="B335" s="56">
        <v>45329</v>
      </c>
      <c r="C335" s="37" t="s">
        <v>2074</v>
      </c>
      <c r="D335" s="36" t="s">
        <v>2087</v>
      </c>
      <c r="E335" s="1" t="s">
        <v>2088</v>
      </c>
      <c r="F335" s="33">
        <v>45341</v>
      </c>
      <c r="G335" s="35" t="s">
        <v>2089</v>
      </c>
      <c r="H335" s="37" t="s">
        <v>1166</v>
      </c>
      <c r="I335" s="59" t="s">
        <v>2033</v>
      </c>
      <c r="J335" s="57">
        <v>3873870</v>
      </c>
      <c r="K335" s="40">
        <f>((J335-M335)/J335)*100</f>
        <v>0</v>
      </c>
      <c r="L335" s="41">
        <f>J335-M335</f>
        <v>0</v>
      </c>
      <c r="M335" s="57">
        <v>3873870</v>
      </c>
      <c r="N335" s="41">
        <f>J335-O335</f>
        <v>0</v>
      </c>
      <c r="O335" s="38">
        <v>3873870</v>
      </c>
      <c r="P335" s="27">
        <f t="shared" si="47"/>
        <v>3873870</v>
      </c>
      <c r="Q335" s="27">
        <f t="shared" si="45"/>
        <v>3873870</v>
      </c>
      <c r="R335" s="27">
        <f>Q335/U335</f>
        <v>77</v>
      </c>
      <c r="S335" s="38">
        <f>Q335/U335</f>
        <v>77</v>
      </c>
      <c r="T335" s="38">
        <f>S335*AR335</f>
        <v>7700</v>
      </c>
      <c r="U335" s="38">
        <f t="shared" si="43"/>
        <v>50310</v>
      </c>
      <c r="V335" s="38">
        <v>50310</v>
      </c>
      <c r="W335" s="38">
        <v>0</v>
      </c>
      <c r="X335" s="38">
        <v>0</v>
      </c>
      <c r="Y335" s="38">
        <v>0</v>
      </c>
      <c r="Z335" s="38">
        <f t="shared" si="48"/>
        <v>0</v>
      </c>
      <c r="AA335" s="38">
        <v>0</v>
      </c>
      <c r="AB335" s="38">
        <f t="shared" si="49"/>
        <v>0</v>
      </c>
      <c r="AC335" s="38">
        <f>U335/AR335</f>
        <v>503.1</v>
      </c>
      <c r="AD335" s="38">
        <f t="shared" si="44"/>
        <v>504</v>
      </c>
      <c r="AE335" s="33">
        <v>45397</v>
      </c>
      <c r="AF335" s="33"/>
      <c r="AG335" s="33"/>
      <c r="AH335" s="33">
        <v>45427</v>
      </c>
      <c r="AI335" s="33"/>
      <c r="AJ335" s="42"/>
      <c r="AK335" s="37" t="s">
        <v>2090</v>
      </c>
      <c r="AL335" s="37" t="s">
        <v>2091</v>
      </c>
      <c r="AM335" s="37" t="s">
        <v>2092</v>
      </c>
      <c r="AN335" s="37" t="s">
        <v>50</v>
      </c>
      <c r="AO335" s="43">
        <v>100</v>
      </c>
      <c r="AP335" s="35">
        <v>0</v>
      </c>
      <c r="AQ335" s="35" t="s">
        <v>441</v>
      </c>
      <c r="AR335" s="44">
        <v>100</v>
      </c>
      <c r="AS335" s="37" t="s">
        <v>176</v>
      </c>
    </row>
    <row r="336" spans="1:45" ht="39" customHeight="1" x14ac:dyDescent="0.25">
      <c r="A336" s="32" t="s">
        <v>2093</v>
      </c>
      <c r="B336" s="56">
        <v>45329</v>
      </c>
      <c r="C336" s="37" t="s">
        <v>2074</v>
      </c>
      <c r="D336" s="36" t="s">
        <v>2094</v>
      </c>
      <c r="E336" s="1" t="s">
        <v>2095</v>
      </c>
      <c r="F336" s="33">
        <v>45341</v>
      </c>
      <c r="G336" s="35" t="s">
        <v>2096</v>
      </c>
      <c r="H336" s="37" t="s">
        <v>1166</v>
      </c>
      <c r="I336" s="58" t="s">
        <v>2047</v>
      </c>
      <c r="J336" s="57">
        <v>18761.599999999999</v>
      </c>
      <c r="K336" s="40">
        <f>((J336-M336)/J336)*100</f>
        <v>0</v>
      </c>
      <c r="L336" s="41">
        <f>J336-M336</f>
        <v>0</v>
      </c>
      <c r="M336" s="38">
        <v>18761.599999999999</v>
      </c>
      <c r="N336" s="41">
        <f>J336-O336</f>
        <v>0</v>
      </c>
      <c r="O336" s="38">
        <v>18761.599999999999</v>
      </c>
      <c r="P336" s="27">
        <f t="shared" si="47"/>
        <v>18761.599999999999</v>
      </c>
      <c r="Q336" s="27">
        <f t="shared" si="45"/>
        <v>18761.599999999999</v>
      </c>
      <c r="R336" s="27">
        <f>Q336/U336</f>
        <v>180.39999999999998</v>
      </c>
      <c r="S336" s="38">
        <f>Q336/U336</f>
        <v>180.39999999999998</v>
      </c>
      <c r="T336" s="38">
        <f>S336*AR336</f>
        <v>90.199999999999989</v>
      </c>
      <c r="U336" s="38">
        <f t="shared" si="43"/>
        <v>104</v>
      </c>
      <c r="V336" s="38">
        <v>104</v>
      </c>
      <c r="W336" s="38">
        <v>0</v>
      </c>
      <c r="X336" s="38">
        <v>0</v>
      </c>
      <c r="Y336" s="38">
        <v>0</v>
      </c>
      <c r="Z336" s="38">
        <f t="shared" si="48"/>
        <v>0</v>
      </c>
      <c r="AA336" s="38">
        <v>0</v>
      </c>
      <c r="AB336" s="38">
        <f t="shared" si="49"/>
        <v>0</v>
      </c>
      <c r="AC336" s="38">
        <f>U336/AR336</f>
        <v>208</v>
      </c>
      <c r="AD336" s="38">
        <f t="shared" si="44"/>
        <v>208</v>
      </c>
      <c r="AE336" s="33">
        <v>45397</v>
      </c>
      <c r="AF336" s="33"/>
      <c r="AG336" s="33"/>
      <c r="AH336" s="33">
        <v>45427</v>
      </c>
      <c r="AI336" s="33"/>
      <c r="AJ336" s="42"/>
      <c r="AK336" s="37" t="s">
        <v>2048</v>
      </c>
      <c r="AL336" s="37" t="s">
        <v>2049</v>
      </c>
      <c r="AM336" s="37" t="s">
        <v>2050</v>
      </c>
      <c r="AN336" s="37" t="s">
        <v>50</v>
      </c>
      <c r="AO336" s="43">
        <v>100</v>
      </c>
      <c r="AP336" s="35">
        <v>0</v>
      </c>
      <c r="AQ336" s="35" t="s">
        <v>398</v>
      </c>
      <c r="AR336" s="49">
        <v>0.5</v>
      </c>
      <c r="AS336" s="37" t="s">
        <v>176</v>
      </c>
    </row>
    <row r="337" spans="1:45" ht="39" customHeight="1" x14ac:dyDescent="0.25">
      <c r="A337" s="32" t="s">
        <v>2097</v>
      </c>
      <c r="B337" s="56">
        <v>45329</v>
      </c>
      <c r="C337" s="37" t="s">
        <v>2066</v>
      </c>
      <c r="D337" s="35" t="s">
        <v>485</v>
      </c>
      <c r="E337" s="1" t="s">
        <v>2098</v>
      </c>
      <c r="F337" s="35" t="s">
        <v>485</v>
      </c>
      <c r="G337" s="35" t="s">
        <v>485</v>
      </c>
      <c r="H337" s="35" t="s">
        <v>485</v>
      </c>
      <c r="I337" s="59" t="s">
        <v>545</v>
      </c>
      <c r="J337" s="57">
        <v>18191.7</v>
      </c>
      <c r="K337" s="40">
        <f>((J337-M337)/J337)*100</f>
        <v>100</v>
      </c>
      <c r="L337" s="41">
        <f>J337-M337</f>
        <v>18191.7</v>
      </c>
      <c r="M337" s="38"/>
      <c r="N337" s="41">
        <f>J337-O337</f>
        <v>18191.7</v>
      </c>
      <c r="O337" s="38">
        <v>0</v>
      </c>
      <c r="P337" s="27">
        <f t="shared" si="47"/>
        <v>0</v>
      </c>
      <c r="Q337" s="27">
        <f t="shared" si="45"/>
        <v>0</v>
      </c>
      <c r="R337" s="27" t="e">
        <f>Q337/U337</f>
        <v>#DIV/0!</v>
      </c>
      <c r="S337" s="38" t="e">
        <f>Q337/U337</f>
        <v>#DIV/0!</v>
      </c>
      <c r="T337" s="38" t="e">
        <f>S337*AR337</f>
        <v>#DIV/0!</v>
      </c>
      <c r="U337" s="38">
        <f t="shared" si="43"/>
        <v>0</v>
      </c>
      <c r="V337" s="38">
        <v>0</v>
      </c>
      <c r="W337" s="38">
        <v>0</v>
      </c>
      <c r="X337" s="38">
        <v>0</v>
      </c>
      <c r="Y337" s="38"/>
      <c r="Z337" s="38" t="e">
        <f t="shared" si="48"/>
        <v>#DIV/0!</v>
      </c>
      <c r="AA337" s="38"/>
      <c r="AB337" s="38" t="e">
        <f t="shared" si="49"/>
        <v>#DIV/0!</v>
      </c>
      <c r="AC337" s="38" t="e">
        <f>U337/AR337</f>
        <v>#DIV/0!</v>
      </c>
      <c r="AD337" s="38" t="e">
        <f t="shared" si="44"/>
        <v>#DIV/0!</v>
      </c>
      <c r="AE337" s="33">
        <v>45397</v>
      </c>
      <c r="AF337" s="33"/>
      <c r="AG337" s="33"/>
      <c r="AH337" s="33"/>
      <c r="AI337" s="33"/>
      <c r="AJ337" s="42"/>
      <c r="AK337" s="37"/>
      <c r="AL337" s="37"/>
      <c r="AM337" s="37"/>
      <c r="AN337" s="37"/>
      <c r="AO337" s="43"/>
      <c r="AP337" s="35"/>
      <c r="AQ337" s="35"/>
      <c r="AR337" s="44"/>
      <c r="AS337" s="37" t="s">
        <v>485</v>
      </c>
    </row>
    <row r="338" spans="1:45" ht="39" customHeight="1" x14ac:dyDescent="0.25">
      <c r="A338" s="32" t="s">
        <v>2099</v>
      </c>
      <c r="B338" s="56">
        <v>45329</v>
      </c>
      <c r="C338" s="37" t="s">
        <v>2074</v>
      </c>
      <c r="D338" s="35" t="s">
        <v>485</v>
      </c>
      <c r="E338" s="1" t="s">
        <v>2100</v>
      </c>
      <c r="F338" s="35" t="s">
        <v>485</v>
      </c>
      <c r="G338" s="35" t="s">
        <v>485</v>
      </c>
      <c r="H338" s="35" t="s">
        <v>485</v>
      </c>
      <c r="I338" s="58" t="s">
        <v>2101</v>
      </c>
      <c r="J338" s="57">
        <v>336050</v>
      </c>
      <c r="K338" s="40">
        <f>((J338-M338)/J338)*100</f>
        <v>100</v>
      </c>
      <c r="L338" s="41">
        <f>J338-M338</f>
        <v>336050</v>
      </c>
      <c r="M338" s="38"/>
      <c r="N338" s="41">
        <f>J338-O338</f>
        <v>336050</v>
      </c>
      <c r="O338" s="38">
        <v>0</v>
      </c>
      <c r="P338" s="27">
        <f t="shared" si="47"/>
        <v>0</v>
      </c>
      <c r="Q338" s="27">
        <f t="shared" si="45"/>
        <v>0</v>
      </c>
      <c r="R338" s="27" t="e">
        <f>Q338/U338</f>
        <v>#DIV/0!</v>
      </c>
      <c r="S338" s="38" t="e">
        <f>Q338/U338</f>
        <v>#DIV/0!</v>
      </c>
      <c r="T338" s="38" t="e">
        <f>S338*AR338</f>
        <v>#DIV/0!</v>
      </c>
      <c r="U338" s="38">
        <f t="shared" si="43"/>
        <v>0</v>
      </c>
      <c r="V338" s="38">
        <v>0</v>
      </c>
      <c r="W338" s="38">
        <v>0</v>
      </c>
      <c r="X338" s="38">
        <v>0</v>
      </c>
      <c r="Y338" s="38"/>
      <c r="Z338" s="38" t="e">
        <f t="shared" si="48"/>
        <v>#DIV/0!</v>
      </c>
      <c r="AA338" s="38"/>
      <c r="AB338" s="38" t="e">
        <f t="shared" si="49"/>
        <v>#DIV/0!</v>
      </c>
      <c r="AC338" s="38" t="e">
        <f>U338/AR338</f>
        <v>#DIV/0!</v>
      </c>
      <c r="AD338" s="38" t="e">
        <f t="shared" si="44"/>
        <v>#DIV/0!</v>
      </c>
      <c r="AE338" s="33">
        <v>45397</v>
      </c>
      <c r="AF338" s="33"/>
      <c r="AG338" s="33"/>
      <c r="AH338" s="33"/>
      <c r="AI338" s="33"/>
      <c r="AJ338" s="42"/>
      <c r="AK338" s="37"/>
      <c r="AL338" s="37"/>
      <c r="AM338" s="37"/>
      <c r="AN338" s="37"/>
      <c r="AO338" s="43"/>
      <c r="AP338" s="35"/>
      <c r="AQ338" s="35"/>
      <c r="AR338" s="44"/>
      <c r="AS338" s="37" t="s">
        <v>485</v>
      </c>
    </row>
    <row r="339" spans="1:45" ht="39" customHeight="1" x14ac:dyDescent="0.25">
      <c r="A339" s="32" t="s">
        <v>2102</v>
      </c>
      <c r="B339" s="56">
        <v>45329</v>
      </c>
      <c r="C339" s="37" t="s">
        <v>2066</v>
      </c>
      <c r="D339" s="35" t="s">
        <v>485</v>
      </c>
      <c r="E339" s="1" t="s">
        <v>2103</v>
      </c>
      <c r="F339" s="35" t="s">
        <v>485</v>
      </c>
      <c r="G339" s="35" t="s">
        <v>485</v>
      </c>
      <c r="H339" s="35" t="s">
        <v>485</v>
      </c>
      <c r="I339" s="58" t="s">
        <v>1662</v>
      </c>
      <c r="J339" s="57">
        <v>80173.8</v>
      </c>
      <c r="K339" s="40">
        <f>((J339-M339)/J339)*100</f>
        <v>100</v>
      </c>
      <c r="L339" s="41">
        <f>J339-M339</f>
        <v>80173.8</v>
      </c>
      <c r="M339" s="38"/>
      <c r="N339" s="41">
        <f>J339-O339</f>
        <v>80173.8</v>
      </c>
      <c r="O339" s="38">
        <v>0</v>
      </c>
      <c r="P339" s="27">
        <f t="shared" si="47"/>
        <v>0</v>
      </c>
      <c r="Q339" s="27">
        <f t="shared" si="45"/>
        <v>0</v>
      </c>
      <c r="R339" s="27" t="e">
        <f>Q339/U339</f>
        <v>#DIV/0!</v>
      </c>
      <c r="S339" s="38" t="e">
        <f>Q339/U339</f>
        <v>#DIV/0!</v>
      </c>
      <c r="T339" s="38" t="e">
        <f>S339*AR339</f>
        <v>#DIV/0!</v>
      </c>
      <c r="U339" s="38">
        <f t="shared" si="43"/>
        <v>0</v>
      </c>
      <c r="V339" s="38">
        <v>0</v>
      </c>
      <c r="W339" s="38">
        <v>0</v>
      </c>
      <c r="X339" s="38">
        <v>0</v>
      </c>
      <c r="Y339" s="38"/>
      <c r="Z339" s="38" t="e">
        <f t="shared" si="48"/>
        <v>#DIV/0!</v>
      </c>
      <c r="AA339" s="38"/>
      <c r="AB339" s="38" t="e">
        <f t="shared" si="49"/>
        <v>#DIV/0!</v>
      </c>
      <c r="AC339" s="38" t="e">
        <f>U339/AR339</f>
        <v>#DIV/0!</v>
      </c>
      <c r="AD339" s="38" t="e">
        <f t="shared" si="44"/>
        <v>#DIV/0!</v>
      </c>
      <c r="AE339" s="33">
        <v>45444</v>
      </c>
      <c r="AF339" s="33"/>
      <c r="AG339" s="33"/>
      <c r="AH339" s="33"/>
      <c r="AI339" s="33"/>
      <c r="AJ339" s="42"/>
      <c r="AK339" s="37"/>
      <c r="AL339" s="37"/>
      <c r="AM339" s="37"/>
      <c r="AN339" s="37"/>
      <c r="AO339" s="43"/>
      <c r="AP339" s="35"/>
      <c r="AQ339" s="35"/>
      <c r="AR339" s="44"/>
      <c r="AS339" s="37" t="s">
        <v>485</v>
      </c>
    </row>
    <row r="340" spans="1:45" ht="39" customHeight="1" x14ac:dyDescent="0.25">
      <c r="A340" s="32" t="s">
        <v>2104</v>
      </c>
      <c r="B340" s="56">
        <v>45329</v>
      </c>
      <c r="C340" s="37" t="s">
        <v>2066</v>
      </c>
      <c r="D340" s="35" t="s">
        <v>485</v>
      </c>
      <c r="E340" s="1" t="s">
        <v>2105</v>
      </c>
      <c r="F340" s="35" t="s">
        <v>485</v>
      </c>
      <c r="G340" s="35" t="s">
        <v>485</v>
      </c>
      <c r="H340" s="35" t="s">
        <v>485</v>
      </c>
      <c r="I340" s="58" t="s">
        <v>1670</v>
      </c>
      <c r="J340" s="57">
        <v>4143700</v>
      </c>
      <c r="K340" s="40">
        <f>((J340-M340)/J340)*100</f>
        <v>100</v>
      </c>
      <c r="L340" s="41">
        <f>J340-M340</f>
        <v>4143700</v>
      </c>
      <c r="M340" s="38"/>
      <c r="N340" s="41">
        <f>J340-O340</f>
        <v>4143700</v>
      </c>
      <c r="O340" s="38">
        <v>0</v>
      </c>
      <c r="P340" s="27">
        <f t="shared" si="47"/>
        <v>0</v>
      </c>
      <c r="Q340" s="27">
        <f t="shared" si="45"/>
        <v>0</v>
      </c>
      <c r="R340" s="27" t="e">
        <f>Q340/U340</f>
        <v>#DIV/0!</v>
      </c>
      <c r="S340" s="38" t="e">
        <f>Q340/U340</f>
        <v>#DIV/0!</v>
      </c>
      <c r="T340" s="38" t="e">
        <f>S340*AR340</f>
        <v>#DIV/0!</v>
      </c>
      <c r="U340" s="38">
        <f t="shared" si="43"/>
        <v>0</v>
      </c>
      <c r="V340" s="38">
        <v>0</v>
      </c>
      <c r="W340" s="38">
        <v>0</v>
      </c>
      <c r="X340" s="38">
        <v>0</v>
      </c>
      <c r="Y340" s="38"/>
      <c r="Z340" s="38" t="e">
        <f t="shared" si="48"/>
        <v>#DIV/0!</v>
      </c>
      <c r="AA340" s="38"/>
      <c r="AB340" s="38" t="e">
        <f t="shared" si="49"/>
        <v>#DIV/0!</v>
      </c>
      <c r="AC340" s="38" t="e">
        <f>U340/AR340</f>
        <v>#DIV/0!</v>
      </c>
      <c r="AD340" s="38" t="e">
        <f t="shared" si="44"/>
        <v>#DIV/0!</v>
      </c>
      <c r="AE340" s="33">
        <v>45474</v>
      </c>
      <c r="AF340" s="33"/>
      <c r="AG340" s="33"/>
      <c r="AH340" s="33"/>
      <c r="AI340" s="33"/>
      <c r="AJ340" s="42"/>
      <c r="AK340" s="37"/>
      <c r="AL340" s="37"/>
      <c r="AM340" s="37"/>
      <c r="AN340" s="37"/>
      <c r="AO340" s="43"/>
      <c r="AP340" s="35"/>
      <c r="AQ340" s="35"/>
      <c r="AR340" s="44"/>
      <c r="AS340" s="37" t="s">
        <v>485</v>
      </c>
    </row>
    <row r="341" spans="1:45" ht="39" customHeight="1" x14ac:dyDescent="0.25">
      <c r="A341" s="32" t="s">
        <v>2106</v>
      </c>
      <c r="B341" s="56">
        <v>45330</v>
      </c>
      <c r="C341" s="37" t="s">
        <v>2074</v>
      </c>
      <c r="D341" s="36" t="s">
        <v>2107</v>
      </c>
      <c r="E341" s="1" t="s">
        <v>2108</v>
      </c>
      <c r="F341" s="33">
        <v>45342</v>
      </c>
      <c r="G341" s="35" t="s">
        <v>2109</v>
      </c>
      <c r="H341" s="37" t="s">
        <v>1166</v>
      </c>
      <c r="I341" s="58" t="s">
        <v>2110</v>
      </c>
      <c r="J341" s="57">
        <v>363739.7</v>
      </c>
      <c r="K341" s="40">
        <f>((J341-M341)/J341)*100</f>
        <v>0</v>
      </c>
      <c r="L341" s="41">
        <f>J341-M341</f>
        <v>0</v>
      </c>
      <c r="M341" s="38">
        <v>363739.7</v>
      </c>
      <c r="N341" s="41">
        <f>J341-O341</f>
        <v>0</v>
      </c>
      <c r="O341" s="38">
        <v>363739.7</v>
      </c>
      <c r="P341" s="27">
        <f t="shared" si="47"/>
        <v>363739.7</v>
      </c>
      <c r="Q341" s="27">
        <f t="shared" si="45"/>
        <v>363739.7</v>
      </c>
      <c r="R341" s="27">
        <f>Q341/U341</f>
        <v>32.39</v>
      </c>
      <c r="S341" s="38">
        <f>Q341/U341</f>
        <v>32.39</v>
      </c>
      <c r="T341" s="38">
        <f>S341*AR341</f>
        <v>226.73000000000002</v>
      </c>
      <c r="U341" s="38">
        <f t="shared" si="43"/>
        <v>11230</v>
      </c>
      <c r="V341" s="38">
        <v>11230</v>
      </c>
      <c r="W341" s="38">
        <v>0</v>
      </c>
      <c r="X341" s="38">
        <v>0</v>
      </c>
      <c r="Y341" s="38">
        <v>0</v>
      </c>
      <c r="Z341" s="38">
        <f t="shared" si="48"/>
        <v>0</v>
      </c>
      <c r="AA341" s="38">
        <v>0</v>
      </c>
      <c r="AB341" s="38">
        <f t="shared" si="49"/>
        <v>0</v>
      </c>
      <c r="AC341" s="38">
        <f>U341/AR341</f>
        <v>1604.2857142857142</v>
      </c>
      <c r="AD341" s="38">
        <f t="shared" si="44"/>
        <v>1605</v>
      </c>
      <c r="AE341" s="33">
        <v>45397</v>
      </c>
      <c r="AF341" s="33"/>
      <c r="AG341" s="33"/>
      <c r="AH341" s="33">
        <v>45427</v>
      </c>
      <c r="AI341" s="33"/>
      <c r="AJ341" s="42"/>
      <c r="AK341" s="37" t="s">
        <v>2111</v>
      </c>
      <c r="AL341" s="37" t="s">
        <v>2112</v>
      </c>
      <c r="AM341" s="37" t="s">
        <v>2113</v>
      </c>
      <c r="AN341" s="37" t="s">
        <v>50</v>
      </c>
      <c r="AO341" s="43">
        <v>100</v>
      </c>
      <c r="AP341" s="35">
        <v>0</v>
      </c>
      <c r="AQ341" s="35" t="s">
        <v>441</v>
      </c>
      <c r="AR341" s="44">
        <v>7</v>
      </c>
      <c r="AS341" s="37" t="s">
        <v>52</v>
      </c>
    </row>
    <row r="342" spans="1:45" ht="39" customHeight="1" x14ac:dyDescent="0.25">
      <c r="A342" s="32" t="s">
        <v>2114</v>
      </c>
      <c r="B342" s="56">
        <v>45330</v>
      </c>
      <c r="C342" s="37" t="s">
        <v>2074</v>
      </c>
      <c r="D342" s="36" t="s">
        <v>2115</v>
      </c>
      <c r="E342" s="1" t="s">
        <v>2116</v>
      </c>
      <c r="F342" s="33">
        <v>45342</v>
      </c>
      <c r="G342" s="35" t="s">
        <v>2117</v>
      </c>
      <c r="H342" s="37" t="s">
        <v>1166</v>
      </c>
      <c r="I342" s="59" t="s">
        <v>2002</v>
      </c>
      <c r="J342" s="57">
        <v>133650</v>
      </c>
      <c r="K342" s="40">
        <f>((J342-M342)/J342)*100</f>
        <v>0</v>
      </c>
      <c r="L342" s="41">
        <f>J342-M342</f>
        <v>0</v>
      </c>
      <c r="M342" s="57">
        <v>133650</v>
      </c>
      <c r="N342" s="41">
        <f>J342-O342</f>
        <v>0</v>
      </c>
      <c r="O342" s="38">
        <v>133650</v>
      </c>
      <c r="P342" s="27">
        <f t="shared" si="47"/>
        <v>133650</v>
      </c>
      <c r="Q342" s="27">
        <f t="shared" si="45"/>
        <v>133650</v>
      </c>
      <c r="R342" s="27">
        <f>Q342/U342</f>
        <v>49.5</v>
      </c>
      <c r="S342" s="38">
        <f>Q342/U342</f>
        <v>49.5</v>
      </c>
      <c r="T342" s="38">
        <f>S342*AR342</f>
        <v>4950</v>
      </c>
      <c r="U342" s="38">
        <f t="shared" si="43"/>
        <v>2700</v>
      </c>
      <c r="V342" s="38">
        <v>2700</v>
      </c>
      <c r="W342" s="38">
        <v>0</v>
      </c>
      <c r="X342" s="38">
        <v>0</v>
      </c>
      <c r="Y342" s="38">
        <v>0</v>
      </c>
      <c r="Z342" s="38">
        <f t="shared" si="48"/>
        <v>0</v>
      </c>
      <c r="AA342" s="38">
        <v>0</v>
      </c>
      <c r="AB342" s="38">
        <f t="shared" si="49"/>
        <v>0</v>
      </c>
      <c r="AC342" s="38">
        <f>U342/AR342</f>
        <v>27</v>
      </c>
      <c r="AD342" s="38">
        <f t="shared" si="44"/>
        <v>27</v>
      </c>
      <c r="AE342" s="33">
        <v>45397</v>
      </c>
      <c r="AF342" s="33"/>
      <c r="AG342" s="33"/>
      <c r="AH342" s="33">
        <v>45427</v>
      </c>
      <c r="AI342" s="33"/>
      <c r="AJ342" s="42"/>
      <c r="AK342" s="37" t="s">
        <v>2118</v>
      </c>
      <c r="AL342" s="37" t="s">
        <v>2119</v>
      </c>
      <c r="AM342" s="37" t="s">
        <v>2120</v>
      </c>
      <c r="AN342" s="37" t="s">
        <v>50</v>
      </c>
      <c r="AO342" s="43">
        <v>100</v>
      </c>
      <c r="AP342" s="35">
        <v>0</v>
      </c>
      <c r="AQ342" s="35" t="s">
        <v>441</v>
      </c>
      <c r="AR342" s="44">
        <v>100</v>
      </c>
      <c r="AS342" s="37" t="s">
        <v>176</v>
      </c>
    </row>
    <row r="343" spans="1:45" ht="39" customHeight="1" x14ac:dyDescent="0.25">
      <c r="A343" s="32" t="s">
        <v>2121</v>
      </c>
      <c r="B343" s="56">
        <v>45330</v>
      </c>
      <c r="C343" s="37" t="s">
        <v>2066</v>
      </c>
      <c r="D343" s="35" t="s">
        <v>485</v>
      </c>
      <c r="E343" s="1" t="s">
        <v>2122</v>
      </c>
      <c r="F343" s="35" t="s">
        <v>485</v>
      </c>
      <c r="G343" s="35" t="s">
        <v>485</v>
      </c>
      <c r="H343" s="35" t="s">
        <v>485</v>
      </c>
      <c r="I343" s="58" t="s">
        <v>508</v>
      </c>
      <c r="J343" s="57">
        <v>10444.200000000001</v>
      </c>
      <c r="K343" s="40">
        <f>((J343-M343)/J343)*100</f>
        <v>100</v>
      </c>
      <c r="L343" s="41">
        <f>J343-M343</f>
        <v>10444.200000000001</v>
      </c>
      <c r="M343" s="38"/>
      <c r="N343" s="41">
        <f>J343-O343</f>
        <v>10444.200000000001</v>
      </c>
      <c r="O343" s="38">
        <v>0</v>
      </c>
      <c r="P343" s="27">
        <f t="shared" si="47"/>
        <v>0</v>
      </c>
      <c r="Q343" s="27">
        <f t="shared" si="45"/>
        <v>0</v>
      </c>
      <c r="R343" s="27" t="e">
        <f>Q343/U343</f>
        <v>#DIV/0!</v>
      </c>
      <c r="S343" s="38" t="e">
        <f>Q343/U343</f>
        <v>#DIV/0!</v>
      </c>
      <c r="T343" s="38" t="e">
        <f>S343*AR343</f>
        <v>#DIV/0!</v>
      </c>
      <c r="U343" s="38">
        <f t="shared" si="43"/>
        <v>0</v>
      </c>
      <c r="V343" s="38">
        <v>0</v>
      </c>
      <c r="W343" s="38">
        <v>0</v>
      </c>
      <c r="X343" s="38">
        <v>0</v>
      </c>
      <c r="Y343" s="38"/>
      <c r="Z343" s="38" t="e">
        <f t="shared" si="48"/>
        <v>#DIV/0!</v>
      </c>
      <c r="AA343" s="38"/>
      <c r="AB343" s="38" t="e">
        <f t="shared" si="49"/>
        <v>#DIV/0!</v>
      </c>
      <c r="AC343" s="38" t="e">
        <f>U343/AR343</f>
        <v>#DIV/0!</v>
      </c>
      <c r="AD343" s="38" t="e">
        <f t="shared" si="44"/>
        <v>#DIV/0!</v>
      </c>
      <c r="AE343" s="33">
        <v>45397</v>
      </c>
      <c r="AF343" s="33"/>
      <c r="AG343" s="33"/>
      <c r="AH343" s="33"/>
      <c r="AI343" s="33"/>
      <c r="AJ343" s="42"/>
      <c r="AK343" s="37"/>
      <c r="AL343" s="37"/>
      <c r="AM343" s="37"/>
      <c r="AN343" s="37"/>
      <c r="AO343" s="43"/>
      <c r="AP343" s="35"/>
      <c r="AQ343" s="35"/>
      <c r="AR343" s="44"/>
      <c r="AS343" s="37"/>
    </row>
    <row r="344" spans="1:45" ht="39" customHeight="1" x14ac:dyDescent="0.25">
      <c r="A344" s="32" t="s">
        <v>2123</v>
      </c>
      <c r="B344" s="56">
        <v>45330</v>
      </c>
      <c r="C344" s="37" t="s">
        <v>548</v>
      </c>
      <c r="D344" s="36"/>
      <c r="E344" s="1" t="s">
        <v>2124</v>
      </c>
      <c r="F344" s="33">
        <v>45352</v>
      </c>
      <c r="G344" s="35" t="s">
        <v>2125</v>
      </c>
      <c r="H344" s="37" t="s">
        <v>1847</v>
      </c>
      <c r="I344" s="34" t="s">
        <v>551</v>
      </c>
      <c r="J344" s="57">
        <v>24734665.559999999</v>
      </c>
      <c r="K344" s="40">
        <f>((J344-M344)/J344)*100</f>
        <v>0</v>
      </c>
      <c r="L344" s="41">
        <f>J344-M344</f>
        <v>0</v>
      </c>
      <c r="M344" s="57">
        <v>24734665.559999999</v>
      </c>
      <c r="N344" s="41">
        <f>J344-O344</f>
        <v>0</v>
      </c>
      <c r="O344" s="38">
        <v>24734665.559999999</v>
      </c>
      <c r="P344" s="27">
        <f t="shared" si="47"/>
        <v>24734665.559999999</v>
      </c>
      <c r="Q344" s="27">
        <f t="shared" si="45"/>
        <v>24734665.559999999</v>
      </c>
      <c r="R344" s="27">
        <f>Q344/U344</f>
        <v>574.53</v>
      </c>
      <c r="S344" s="38">
        <f>Q344/U344</f>
        <v>574.53</v>
      </c>
      <c r="T344" s="38">
        <f>S344*AR344</f>
        <v>108011.64</v>
      </c>
      <c r="U344" s="38">
        <f t="shared" si="43"/>
        <v>43052</v>
      </c>
      <c r="V344" s="38">
        <v>43052</v>
      </c>
      <c r="W344" s="38">
        <v>0</v>
      </c>
      <c r="X344" s="38">
        <v>0</v>
      </c>
      <c r="Y344" s="38">
        <v>0</v>
      </c>
      <c r="Z344" s="38">
        <f t="shared" si="48"/>
        <v>0</v>
      </c>
      <c r="AA344" s="38">
        <v>0</v>
      </c>
      <c r="AB344" s="38">
        <f t="shared" si="49"/>
        <v>0</v>
      </c>
      <c r="AC344" s="38">
        <f>U344/AR344</f>
        <v>229</v>
      </c>
      <c r="AD344" s="38">
        <f t="shared" si="44"/>
        <v>229</v>
      </c>
      <c r="AE344" s="33">
        <v>45397</v>
      </c>
      <c r="AF344" s="33"/>
      <c r="AG344" s="33"/>
      <c r="AH344" s="33">
        <v>45427</v>
      </c>
      <c r="AI344" s="33"/>
      <c r="AJ344" s="42"/>
      <c r="AK344" s="37" t="s">
        <v>588</v>
      </c>
      <c r="AL344" s="37" t="s">
        <v>589</v>
      </c>
      <c r="AM344" s="37" t="s">
        <v>590</v>
      </c>
      <c r="AN344" s="37" t="s">
        <v>50</v>
      </c>
      <c r="AO344" s="43">
        <v>100</v>
      </c>
      <c r="AP344" s="35">
        <v>0</v>
      </c>
      <c r="AQ344" s="35" t="s">
        <v>441</v>
      </c>
      <c r="AR344" s="44">
        <v>188</v>
      </c>
      <c r="AS344" s="37" t="s">
        <v>52</v>
      </c>
    </row>
    <row r="345" spans="1:45" ht="39" customHeight="1" x14ac:dyDescent="0.25">
      <c r="A345" s="32" t="s">
        <v>2126</v>
      </c>
      <c r="B345" s="56">
        <v>45330</v>
      </c>
      <c r="C345" s="37" t="s">
        <v>2066</v>
      </c>
      <c r="D345" s="35" t="s">
        <v>485</v>
      </c>
      <c r="E345" s="1" t="s">
        <v>2127</v>
      </c>
      <c r="F345" s="35" t="s">
        <v>485</v>
      </c>
      <c r="G345" s="35" t="s">
        <v>485</v>
      </c>
      <c r="H345" s="35" t="s">
        <v>485</v>
      </c>
      <c r="I345" s="59" t="s">
        <v>1784</v>
      </c>
      <c r="J345" s="57">
        <v>106913.4</v>
      </c>
      <c r="K345" s="40">
        <f>((J345-M345)/J345)*100</f>
        <v>100</v>
      </c>
      <c r="L345" s="41">
        <f>J345-M345</f>
        <v>106913.4</v>
      </c>
      <c r="M345" s="38"/>
      <c r="N345" s="41">
        <f>J345-O345</f>
        <v>106913.4</v>
      </c>
      <c r="O345" s="38">
        <v>0</v>
      </c>
      <c r="P345" s="27">
        <f t="shared" si="47"/>
        <v>0</v>
      </c>
      <c r="Q345" s="27">
        <f t="shared" si="45"/>
        <v>0</v>
      </c>
      <c r="R345" s="27" t="e">
        <f>Q345/U345</f>
        <v>#DIV/0!</v>
      </c>
      <c r="S345" s="38" t="e">
        <f>Q345/U345</f>
        <v>#DIV/0!</v>
      </c>
      <c r="T345" s="38" t="e">
        <f>S345*AR345</f>
        <v>#DIV/0!</v>
      </c>
      <c r="U345" s="38">
        <f t="shared" si="43"/>
        <v>0</v>
      </c>
      <c r="V345" s="38">
        <v>0</v>
      </c>
      <c r="W345" s="38">
        <v>0</v>
      </c>
      <c r="X345" s="38">
        <v>0</v>
      </c>
      <c r="Y345" s="38"/>
      <c r="Z345" s="38" t="e">
        <f t="shared" si="48"/>
        <v>#DIV/0!</v>
      </c>
      <c r="AA345" s="38"/>
      <c r="AB345" s="38" t="e">
        <f t="shared" si="49"/>
        <v>#DIV/0!</v>
      </c>
      <c r="AC345" s="38" t="e">
        <f>U345/AR345</f>
        <v>#DIV/0!</v>
      </c>
      <c r="AD345" s="38" t="e">
        <f t="shared" si="44"/>
        <v>#DIV/0!</v>
      </c>
      <c r="AE345" s="33">
        <v>45397</v>
      </c>
      <c r="AF345" s="33"/>
      <c r="AG345" s="33"/>
      <c r="AH345" s="33"/>
      <c r="AI345" s="33"/>
      <c r="AJ345" s="42"/>
      <c r="AK345" s="37"/>
      <c r="AL345" s="37"/>
      <c r="AM345" s="37"/>
      <c r="AN345" s="37"/>
      <c r="AO345" s="43"/>
      <c r="AP345" s="35"/>
      <c r="AQ345" s="35"/>
      <c r="AR345" s="44"/>
      <c r="AS345" s="37" t="s">
        <v>485</v>
      </c>
    </row>
    <row r="346" spans="1:45" ht="39" customHeight="1" x14ac:dyDescent="0.25">
      <c r="A346" s="32" t="s">
        <v>2128</v>
      </c>
      <c r="B346" s="56">
        <v>45330</v>
      </c>
      <c r="C346" s="37" t="s">
        <v>2066</v>
      </c>
      <c r="D346" s="35" t="s">
        <v>485</v>
      </c>
      <c r="E346" s="1" t="s">
        <v>2129</v>
      </c>
      <c r="F346" s="35" t="s">
        <v>485</v>
      </c>
      <c r="G346" s="35" t="s">
        <v>485</v>
      </c>
      <c r="H346" s="35" t="s">
        <v>485</v>
      </c>
      <c r="I346" s="58" t="s">
        <v>1725</v>
      </c>
      <c r="J346" s="57">
        <v>28586.400000000001</v>
      </c>
      <c r="K346" s="40">
        <f>((J346-M346)/J346)*100</f>
        <v>100</v>
      </c>
      <c r="L346" s="41">
        <f>J346-M346</f>
        <v>28586.400000000001</v>
      </c>
      <c r="M346" s="38"/>
      <c r="N346" s="41">
        <f>J346-O346</f>
        <v>28586.400000000001</v>
      </c>
      <c r="O346" s="38">
        <v>0</v>
      </c>
      <c r="P346" s="27">
        <f t="shared" si="47"/>
        <v>0</v>
      </c>
      <c r="Q346" s="27">
        <f t="shared" si="45"/>
        <v>0</v>
      </c>
      <c r="R346" s="27" t="e">
        <f>Q346/U346</f>
        <v>#DIV/0!</v>
      </c>
      <c r="S346" s="38" t="e">
        <f>Q346/U346</f>
        <v>#DIV/0!</v>
      </c>
      <c r="T346" s="38" t="e">
        <f>S346*AR346</f>
        <v>#DIV/0!</v>
      </c>
      <c r="U346" s="38">
        <f t="shared" ref="U346:U409" si="50">V346+W346+X346</f>
        <v>0</v>
      </c>
      <c r="V346" s="38">
        <v>0</v>
      </c>
      <c r="W346" s="38">
        <v>0</v>
      </c>
      <c r="X346" s="38">
        <v>0</v>
      </c>
      <c r="Y346" s="38"/>
      <c r="Z346" s="38" t="e">
        <f t="shared" si="48"/>
        <v>#DIV/0!</v>
      </c>
      <c r="AA346" s="38"/>
      <c r="AB346" s="38" t="e">
        <f t="shared" si="49"/>
        <v>#DIV/0!</v>
      </c>
      <c r="AC346" s="38" t="e">
        <f>U346/AR346</f>
        <v>#DIV/0!</v>
      </c>
      <c r="AD346" s="38" t="e">
        <f t="shared" si="44"/>
        <v>#DIV/0!</v>
      </c>
      <c r="AE346" s="33">
        <v>45397</v>
      </c>
      <c r="AF346" s="33"/>
      <c r="AG346" s="33"/>
      <c r="AH346" s="33"/>
      <c r="AI346" s="33"/>
      <c r="AJ346" s="42"/>
      <c r="AK346" s="37"/>
      <c r="AL346" s="37"/>
      <c r="AM346" s="37"/>
      <c r="AN346" s="37"/>
      <c r="AO346" s="43"/>
      <c r="AP346" s="35"/>
      <c r="AQ346" s="35"/>
      <c r="AR346" s="44"/>
      <c r="AS346" s="37" t="s">
        <v>485</v>
      </c>
    </row>
    <row r="347" spans="1:45" ht="39" customHeight="1" x14ac:dyDescent="0.25">
      <c r="A347" s="32" t="s">
        <v>2130</v>
      </c>
      <c r="B347" s="56">
        <v>45330</v>
      </c>
      <c r="C347" s="37" t="s">
        <v>548</v>
      </c>
      <c r="D347" s="36"/>
      <c r="E347" s="1" t="s">
        <v>2131</v>
      </c>
      <c r="F347" s="33">
        <v>45352</v>
      </c>
      <c r="G347" s="35" t="s">
        <v>2132</v>
      </c>
      <c r="H347" s="37" t="s">
        <v>2061</v>
      </c>
      <c r="I347" s="58" t="s">
        <v>2133</v>
      </c>
      <c r="J347" s="57">
        <v>20244060</v>
      </c>
      <c r="K347" s="40">
        <f>((J347-M347)/J347)*100</f>
        <v>29.00005730075884</v>
      </c>
      <c r="L347" s="41">
        <f>J347-M347</f>
        <v>5870789</v>
      </c>
      <c r="M347" s="38">
        <v>14373271</v>
      </c>
      <c r="N347" s="41">
        <f>J347-O347</f>
        <v>5870789</v>
      </c>
      <c r="O347" s="38">
        <v>14373271</v>
      </c>
      <c r="P347" s="27">
        <v>14372157.93</v>
      </c>
      <c r="Q347" s="27">
        <v>14372157.93</v>
      </c>
      <c r="R347" s="27">
        <f>Q347/U347</f>
        <v>127.78999999999999</v>
      </c>
      <c r="S347" s="38">
        <f>Q347/U347</f>
        <v>127.78999999999999</v>
      </c>
      <c r="T347" s="38">
        <f>S347*AR347</f>
        <v>127.78999999999999</v>
      </c>
      <c r="U347" s="38">
        <f t="shared" si="50"/>
        <v>112467</v>
      </c>
      <c r="V347" s="38">
        <v>112467</v>
      </c>
      <c r="W347" s="38">
        <v>0</v>
      </c>
      <c r="X347" s="38">
        <v>0</v>
      </c>
      <c r="Y347" s="38">
        <v>0</v>
      </c>
      <c r="Z347" s="38">
        <f t="shared" si="48"/>
        <v>0</v>
      </c>
      <c r="AA347" s="38">
        <v>0</v>
      </c>
      <c r="AB347" s="38">
        <f t="shared" si="49"/>
        <v>0</v>
      </c>
      <c r="AC347" s="38">
        <f>U347/AR347</f>
        <v>112467</v>
      </c>
      <c r="AD347" s="38">
        <f t="shared" si="44"/>
        <v>112467</v>
      </c>
      <c r="AE347" s="33">
        <v>45397</v>
      </c>
      <c r="AF347" s="33"/>
      <c r="AG347" s="33"/>
      <c r="AH347" s="33">
        <v>45427</v>
      </c>
      <c r="AI347" s="33"/>
      <c r="AJ347" s="42"/>
      <c r="AK347" s="37" t="s">
        <v>2048</v>
      </c>
      <c r="AL347" s="37" t="s">
        <v>2134</v>
      </c>
      <c r="AM347" s="37" t="s">
        <v>2135</v>
      </c>
      <c r="AN347" s="37" t="s">
        <v>50</v>
      </c>
      <c r="AO347" s="43">
        <v>100</v>
      </c>
      <c r="AP347" s="35">
        <v>0</v>
      </c>
      <c r="AQ347" s="35" t="s">
        <v>398</v>
      </c>
      <c r="AR347" s="44">
        <v>1</v>
      </c>
      <c r="AS347" s="37" t="s">
        <v>52</v>
      </c>
    </row>
    <row r="348" spans="1:45" ht="39" customHeight="1" x14ac:dyDescent="0.25">
      <c r="A348" s="32" t="s">
        <v>2136</v>
      </c>
      <c r="B348" s="56">
        <v>45330</v>
      </c>
      <c r="C348" s="37" t="s">
        <v>2066</v>
      </c>
      <c r="D348" s="35" t="s">
        <v>485</v>
      </c>
      <c r="E348" s="1" t="s">
        <v>2137</v>
      </c>
      <c r="F348" s="35" t="s">
        <v>485</v>
      </c>
      <c r="G348" s="35" t="s">
        <v>485</v>
      </c>
      <c r="H348" s="35" t="s">
        <v>485</v>
      </c>
      <c r="I348" s="58" t="s">
        <v>1763</v>
      </c>
      <c r="J348" s="57">
        <v>38544</v>
      </c>
      <c r="K348" s="40">
        <f>((J348-M348)/J348)*100</f>
        <v>100</v>
      </c>
      <c r="L348" s="41">
        <f>J348-M348</f>
        <v>38544</v>
      </c>
      <c r="M348" s="38"/>
      <c r="N348" s="41">
        <f>J348-O348</f>
        <v>38544</v>
      </c>
      <c r="O348" s="38">
        <v>0</v>
      </c>
      <c r="P348" s="27">
        <f t="shared" ref="P348:Q367" si="51">O348</f>
        <v>0</v>
      </c>
      <c r="Q348" s="27">
        <f t="shared" si="51"/>
        <v>0</v>
      </c>
      <c r="R348" s="27" t="e">
        <f>Q348/U348</f>
        <v>#DIV/0!</v>
      </c>
      <c r="S348" s="38" t="e">
        <f>Q348/U348</f>
        <v>#DIV/0!</v>
      </c>
      <c r="T348" s="38" t="e">
        <f>S348*AR348</f>
        <v>#DIV/0!</v>
      </c>
      <c r="U348" s="38">
        <f t="shared" si="50"/>
        <v>0</v>
      </c>
      <c r="V348" s="38">
        <v>0</v>
      </c>
      <c r="W348" s="38">
        <v>0</v>
      </c>
      <c r="X348" s="38">
        <v>0</v>
      </c>
      <c r="Y348" s="38"/>
      <c r="Z348" s="38" t="e">
        <f t="shared" si="48"/>
        <v>#DIV/0!</v>
      </c>
      <c r="AA348" s="38"/>
      <c r="AB348" s="38" t="e">
        <f t="shared" si="49"/>
        <v>#DIV/0!</v>
      </c>
      <c r="AC348" s="38" t="e">
        <f>U348/AR348</f>
        <v>#DIV/0!</v>
      </c>
      <c r="AD348" s="38" t="e">
        <f t="shared" si="44"/>
        <v>#DIV/0!</v>
      </c>
      <c r="AE348" s="33">
        <v>45397</v>
      </c>
      <c r="AF348" s="33"/>
      <c r="AG348" s="33"/>
      <c r="AH348" s="33"/>
      <c r="AI348" s="33"/>
      <c r="AJ348" s="42"/>
      <c r="AK348" s="37"/>
      <c r="AL348" s="37"/>
      <c r="AM348" s="37"/>
      <c r="AN348" s="37"/>
      <c r="AO348" s="43"/>
      <c r="AP348" s="35"/>
      <c r="AQ348" s="35"/>
      <c r="AR348" s="44"/>
      <c r="AS348" s="37" t="s">
        <v>485</v>
      </c>
    </row>
    <row r="349" spans="1:45" ht="39" customHeight="1" x14ac:dyDescent="0.25">
      <c r="A349" s="32" t="s">
        <v>2138</v>
      </c>
      <c r="B349" s="56">
        <v>45330</v>
      </c>
      <c r="C349" s="37" t="s">
        <v>2066</v>
      </c>
      <c r="D349" s="35" t="s">
        <v>485</v>
      </c>
      <c r="E349" s="1" t="s">
        <v>2139</v>
      </c>
      <c r="F349" s="35" t="s">
        <v>485</v>
      </c>
      <c r="G349" s="35" t="s">
        <v>485</v>
      </c>
      <c r="H349" s="35" t="s">
        <v>485</v>
      </c>
      <c r="I349" s="58" t="s">
        <v>1563</v>
      </c>
      <c r="J349" s="57">
        <v>23408</v>
      </c>
      <c r="K349" s="40">
        <f>((J349-M349)/J349)*100</f>
        <v>100</v>
      </c>
      <c r="L349" s="41">
        <f>J349-M349</f>
        <v>23408</v>
      </c>
      <c r="M349" s="38"/>
      <c r="N349" s="41">
        <f>J349-O349</f>
        <v>23408</v>
      </c>
      <c r="O349" s="38">
        <v>0</v>
      </c>
      <c r="P349" s="27">
        <f t="shared" si="51"/>
        <v>0</v>
      </c>
      <c r="Q349" s="27">
        <f t="shared" si="51"/>
        <v>0</v>
      </c>
      <c r="R349" s="27" t="e">
        <f>Q349/U349</f>
        <v>#DIV/0!</v>
      </c>
      <c r="S349" s="38" t="e">
        <f>Q349/U349</f>
        <v>#DIV/0!</v>
      </c>
      <c r="T349" s="38" t="e">
        <f>S349*AR349</f>
        <v>#DIV/0!</v>
      </c>
      <c r="U349" s="38">
        <f t="shared" si="50"/>
        <v>0</v>
      </c>
      <c r="V349" s="38">
        <v>0</v>
      </c>
      <c r="W349" s="38">
        <v>0</v>
      </c>
      <c r="X349" s="38">
        <v>0</v>
      </c>
      <c r="Y349" s="38"/>
      <c r="Z349" s="38" t="e">
        <f t="shared" si="48"/>
        <v>#DIV/0!</v>
      </c>
      <c r="AA349" s="38"/>
      <c r="AB349" s="38" t="e">
        <f t="shared" si="49"/>
        <v>#DIV/0!</v>
      </c>
      <c r="AC349" s="38" t="e">
        <f>U349/AR349</f>
        <v>#DIV/0!</v>
      </c>
      <c r="AD349" s="38" t="e">
        <f t="shared" si="44"/>
        <v>#DIV/0!</v>
      </c>
      <c r="AE349" s="33">
        <v>45397</v>
      </c>
      <c r="AF349" s="33"/>
      <c r="AG349" s="33"/>
      <c r="AH349" s="33"/>
      <c r="AI349" s="33"/>
      <c r="AJ349" s="42"/>
      <c r="AK349" s="37"/>
      <c r="AL349" s="37"/>
      <c r="AM349" s="37"/>
      <c r="AN349" s="37"/>
      <c r="AO349" s="43"/>
      <c r="AP349" s="35"/>
      <c r="AQ349" s="35"/>
      <c r="AR349" s="44"/>
      <c r="AS349" s="37" t="s">
        <v>485</v>
      </c>
    </row>
    <row r="350" spans="1:45" ht="39" customHeight="1" x14ac:dyDescent="0.25">
      <c r="A350" s="32" t="s">
        <v>2140</v>
      </c>
      <c r="B350" s="56">
        <v>45330</v>
      </c>
      <c r="C350" s="37" t="s">
        <v>2066</v>
      </c>
      <c r="D350" s="35" t="s">
        <v>485</v>
      </c>
      <c r="E350" s="1" t="s">
        <v>2141</v>
      </c>
      <c r="F350" s="35" t="s">
        <v>485</v>
      </c>
      <c r="G350" s="35" t="s">
        <v>485</v>
      </c>
      <c r="H350" s="35" t="s">
        <v>485</v>
      </c>
      <c r="I350" s="58" t="s">
        <v>1838</v>
      </c>
      <c r="J350" s="57">
        <v>36465</v>
      </c>
      <c r="K350" s="40">
        <f>((J350-M350)/J350)*100</f>
        <v>100</v>
      </c>
      <c r="L350" s="41">
        <f>J350-M350</f>
        <v>36465</v>
      </c>
      <c r="M350" s="38"/>
      <c r="N350" s="41">
        <f>J350-O350</f>
        <v>36465</v>
      </c>
      <c r="O350" s="38">
        <v>0</v>
      </c>
      <c r="P350" s="27">
        <f t="shared" si="51"/>
        <v>0</v>
      </c>
      <c r="Q350" s="27">
        <f t="shared" si="51"/>
        <v>0</v>
      </c>
      <c r="R350" s="27" t="e">
        <f>Q350/U350</f>
        <v>#DIV/0!</v>
      </c>
      <c r="S350" s="38" t="e">
        <f>Q350/U350</f>
        <v>#DIV/0!</v>
      </c>
      <c r="T350" s="38" t="e">
        <f>S350*AR350</f>
        <v>#DIV/0!</v>
      </c>
      <c r="U350" s="38">
        <f t="shared" si="50"/>
        <v>0</v>
      </c>
      <c r="V350" s="38">
        <v>0</v>
      </c>
      <c r="W350" s="38">
        <v>0</v>
      </c>
      <c r="X350" s="38">
        <v>0</v>
      </c>
      <c r="Y350" s="38"/>
      <c r="Z350" s="38" t="e">
        <f t="shared" si="48"/>
        <v>#DIV/0!</v>
      </c>
      <c r="AA350" s="38"/>
      <c r="AB350" s="38" t="e">
        <f t="shared" si="49"/>
        <v>#DIV/0!</v>
      </c>
      <c r="AC350" s="38" t="e">
        <f>U350/AR350</f>
        <v>#DIV/0!</v>
      </c>
      <c r="AD350" s="38" t="e">
        <f t="shared" si="44"/>
        <v>#DIV/0!</v>
      </c>
      <c r="AE350" s="33">
        <v>45397</v>
      </c>
      <c r="AF350" s="33"/>
      <c r="AG350" s="33"/>
      <c r="AH350" s="33"/>
      <c r="AI350" s="33"/>
      <c r="AJ350" s="42"/>
      <c r="AK350" s="37"/>
      <c r="AL350" s="37"/>
      <c r="AM350" s="37"/>
      <c r="AN350" s="37"/>
      <c r="AO350" s="43"/>
      <c r="AP350" s="35"/>
      <c r="AQ350" s="35"/>
      <c r="AR350" s="44"/>
      <c r="AS350" s="37" t="s">
        <v>485</v>
      </c>
    </row>
    <row r="351" spans="1:45" ht="41.25" customHeight="1" x14ac:dyDescent="0.25">
      <c r="A351" s="32" t="s">
        <v>2142</v>
      </c>
      <c r="B351" s="56">
        <v>45330</v>
      </c>
      <c r="C351" s="37" t="s">
        <v>2074</v>
      </c>
      <c r="D351" s="36" t="s">
        <v>2143</v>
      </c>
      <c r="E351" s="1" t="s">
        <v>2144</v>
      </c>
      <c r="F351" s="33">
        <v>45342</v>
      </c>
      <c r="G351" s="35" t="s">
        <v>2145</v>
      </c>
      <c r="H351" s="37" t="s">
        <v>1166</v>
      </c>
      <c r="I351" s="58" t="s">
        <v>2146</v>
      </c>
      <c r="J351" s="57">
        <v>198000</v>
      </c>
      <c r="K351" s="40">
        <f>((J351-M351)/J351)*100</f>
        <v>0</v>
      </c>
      <c r="L351" s="41">
        <f>J351-M351</f>
        <v>0</v>
      </c>
      <c r="M351" s="57">
        <v>198000</v>
      </c>
      <c r="N351" s="41">
        <f>J351-O351</f>
        <v>0</v>
      </c>
      <c r="O351" s="57">
        <v>198000</v>
      </c>
      <c r="P351" s="27">
        <f t="shared" si="51"/>
        <v>198000</v>
      </c>
      <c r="Q351" s="27">
        <f t="shared" si="51"/>
        <v>198000</v>
      </c>
      <c r="R351" s="27">
        <f>Q351/U351</f>
        <v>396</v>
      </c>
      <c r="S351" s="38">
        <f>Q351/U351</f>
        <v>396</v>
      </c>
      <c r="T351" s="38">
        <f>S351*AR351</f>
        <v>39600</v>
      </c>
      <c r="U351" s="38">
        <f t="shared" si="50"/>
        <v>500</v>
      </c>
      <c r="V351" s="38">
        <v>500</v>
      </c>
      <c r="W351" s="38">
        <v>0</v>
      </c>
      <c r="X351" s="38">
        <v>0</v>
      </c>
      <c r="Y351" s="38">
        <v>0</v>
      </c>
      <c r="Z351" s="38">
        <f t="shared" si="48"/>
        <v>0</v>
      </c>
      <c r="AA351" s="38">
        <v>0</v>
      </c>
      <c r="AB351" s="38">
        <f t="shared" si="49"/>
        <v>0</v>
      </c>
      <c r="AC351" s="38">
        <f>U351/AR351</f>
        <v>5</v>
      </c>
      <c r="AD351" s="38">
        <f t="shared" si="44"/>
        <v>5</v>
      </c>
      <c r="AE351" s="33">
        <v>45397</v>
      </c>
      <c r="AF351" s="33"/>
      <c r="AG351" s="33"/>
      <c r="AH351" s="33">
        <v>45427</v>
      </c>
      <c r="AI351" s="33"/>
      <c r="AJ351" s="42"/>
      <c r="AK351" s="37" t="s">
        <v>2026</v>
      </c>
      <c r="AL351" s="37" t="s">
        <v>2027</v>
      </c>
      <c r="AM351" s="37" t="s">
        <v>2028</v>
      </c>
      <c r="AN351" s="37" t="s">
        <v>50</v>
      </c>
      <c r="AO351" s="43">
        <v>100</v>
      </c>
      <c r="AP351" s="35">
        <v>0</v>
      </c>
      <c r="AQ351" s="35" t="s">
        <v>441</v>
      </c>
      <c r="AR351" s="44">
        <v>100</v>
      </c>
      <c r="AS351" s="37" t="s">
        <v>176</v>
      </c>
    </row>
    <row r="352" spans="1:45" ht="41.25" customHeight="1" x14ac:dyDescent="0.25">
      <c r="A352" s="36" t="s">
        <v>2147</v>
      </c>
      <c r="B352" s="33">
        <v>45331</v>
      </c>
      <c r="C352" s="37" t="s">
        <v>2074</v>
      </c>
      <c r="D352" s="36"/>
      <c r="E352" s="1" t="s">
        <v>2148</v>
      </c>
      <c r="F352" s="33">
        <v>45343</v>
      </c>
      <c r="G352" s="35" t="s">
        <v>2149</v>
      </c>
      <c r="H352" s="37" t="s">
        <v>1166</v>
      </c>
      <c r="I352" s="45" t="s">
        <v>2062</v>
      </c>
      <c r="J352" s="38">
        <v>148830</v>
      </c>
      <c r="K352" s="40">
        <f>((J352-M352)/J352)*100</f>
        <v>0</v>
      </c>
      <c r="L352" s="41">
        <f>J352-M352</f>
        <v>0</v>
      </c>
      <c r="M352" s="38">
        <v>148830</v>
      </c>
      <c r="N352" s="41">
        <f>J352-O352</f>
        <v>0</v>
      </c>
      <c r="O352" s="38">
        <v>148830</v>
      </c>
      <c r="P352" s="27">
        <f t="shared" si="51"/>
        <v>148830</v>
      </c>
      <c r="Q352" s="27">
        <f t="shared" si="51"/>
        <v>148830</v>
      </c>
      <c r="R352" s="27">
        <f>Q352/U352</f>
        <v>180.4</v>
      </c>
      <c r="S352" s="38">
        <f>Q352/U352</f>
        <v>180.4</v>
      </c>
      <c r="T352" s="38">
        <f>S352*AR352</f>
        <v>135.30000000000001</v>
      </c>
      <c r="U352" s="38">
        <f t="shared" si="50"/>
        <v>825</v>
      </c>
      <c r="V352" s="38">
        <v>825</v>
      </c>
      <c r="W352" s="38">
        <v>0</v>
      </c>
      <c r="X352" s="38">
        <v>0</v>
      </c>
      <c r="Y352" s="38">
        <v>0</v>
      </c>
      <c r="Z352" s="38">
        <f t="shared" si="48"/>
        <v>0</v>
      </c>
      <c r="AA352" s="38">
        <v>0</v>
      </c>
      <c r="AB352" s="38">
        <f t="shared" si="49"/>
        <v>0</v>
      </c>
      <c r="AC352" s="38">
        <f>U352/AR352</f>
        <v>1100</v>
      </c>
      <c r="AD352" s="38">
        <f t="shared" si="44"/>
        <v>1100</v>
      </c>
      <c r="AE352" s="33">
        <v>45397</v>
      </c>
      <c r="AF352" s="33"/>
      <c r="AG352" s="33"/>
      <c r="AH352" s="33">
        <v>45427</v>
      </c>
      <c r="AI352" s="33"/>
      <c r="AJ352" s="42"/>
      <c r="AK352" s="37" t="s">
        <v>2048</v>
      </c>
      <c r="AL352" s="37" t="s">
        <v>2063</v>
      </c>
      <c r="AM352" s="37" t="s">
        <v>2050</v>
      </c>
      <c r="AN352" s="37" t="s">
        <v>50</v>
      </c>
      <c r="AO352" s="43">
        <v>100</v>
      </c>
      <c r="AP352" s="35">
        <v>0</v>
      </c>
      <c r="AQ352" s="35" t="s">
        <v>398</v>
      </c>
      <c r="AR352" s="38">
        <v>0.75</v>
      </c>
      <c r="AS352" s="37" t="s">
        <v>176</v>
      </c>
    </row>
    <row r="353" spans="1:45" ht="41.25" customHeight="1" x14ac:dyDescent="0.25">
      <c r="A353" s="36" t="s">
        <v>2150</v>
      </c>
      <c r="B353" s="33">
        <v>45331</v>
      </c>
      <c r="C353" s="37" t="s">
        <v>2066</v>
      </c>
      <c r="D353" s="35" t="s">
        <v>485</v>
      </c>
      <c r="E353" s="1" t="s">
        <v>2151</v>
      </c>
      <c r="F353" s="35" t="s">
        <v>485</v>
      </c>
      <c r="G353" s="35" t="s">
        <v>485</v>
      </c>
      <c r="H353" s="35" t="s">
        <v>485</v>
      </c>
      <c r="I353" s="31" t="s">
        <v>1590</v>
      </c>
      <c r="J353" s="38">
        <v>48859.199999999997</v>
      </c>
      <c r="K353" s="40">
        <f>((J353-M353)/J353)*100</f>
        <v>100</v>
      </c>
      <c r="L353" s="41">
        <f>J353-M353</f>
        <v>48859.199999999997</v>
      </c>
      <c r="M353" s="38"/>
      <c r="N353" s="41">
        <f>J353-O353</f>
        <v>48859.199999999997</v>
      </c>
      <c r="O353" s="38">
        <v>0</v>
      </c>
      <c r="P353" s="27">
        <f t="shared" si="51"/>
        <v>0</v>
      </c>
      <c r="Q353" s="27">
        <f t="shared" si="51"/>
        <v>0</v>
      </c>
      <c r="R353" s="27" t="e">
        <f>Q353/U353</f>
        <v>#DIV/0!</v>
      </c>
      <c r="S353" s="38" t="e">
        <f>Q353/U353</f>
        <v>#DIV/0!</v>
      </c>
      <c r="T353" s="38" t="e">
        <f>S353*AR353</f>
        <v>#DIV/0!</v>
      </c>
      <c r="U353" s="38">
        <f t="shared" si="50"/>
        <v>0</v>
      </c>
      <c r="V353" s="38">
        <v>0</v>
      </c>
      <c r="W353" s="38">
        <v>0</v>
      </c>
      <c r="X353" s="38">
        <v>0</v>
      </c>
      <c r="Y353" s="38"/>
      <c r="Z353" s="38" t="e">
        <f t="shared" si="48"/>
        <v>#DIV/0!</v>
      </c>
      <c r="AA353" s="38"/>
      <c r="AB353" s="38" t="e">
        <f t="shared" si="49"/>
        <v>#DIV/0!</v>
      </c>
      <c r="AC353" s="38" t="e">
        <f>U353/AR353</f>
        <v>#DIV/0!</v>
      </c>
      <c r="AD353" s="38" t="e">
        <f t="shared" ref="AD353:AD416" si="52">_xlfn.CEILING.MATH(AC353)</f>
        <v>#DIV/0!</v>
      </c>
      <c r="AE353" s="33">
        <v>45397</v>
      </c>
      <c r="AF353" s="33"/>
      <c r="AG353" s="33"/>
      <c r="AH353" s="33"/>
      <c r="AI353" s="33"/>
      <c r="AJ353" s="42"/>
      <c r="AK353" s="37"/>
      <c r="AL353" s="37"/>
      <c r="AM353" s="37"/>
      <c r="AN353" s="37"/>
      <c r="AO353" s="43"/>
      <c r="AP353" s="35"/>
      <c r="AQ353" s="35"/>
      <c r="AR353" s="44"/>
      <c r="AS353" s="37" t="s">
        <v>485</v>
      </c>
    </row>
    <row r="354" spans="1:45" ht="41.25" customHeight="1" x14ac:dyDescent="0.25">
      <c r="A354" s="36" t="s">
        <v>2152</v>
      </c>
      <c r="B354" s="33">
        <v>45331</v>
      </c>
      <c r="C354" s="37" t="s">
        <v>2066</v>
      </c>
      <c r="D354" s="35" t="s">
        <v>485</v>
      </c>
      <c r="E354" s="1" t="s">
        <v>2153</v>
      </c>
      <c r="F354" s="35" t="s">
        <v>485</v>
      </c>
      <c r="G354" s="35" t="s">
        <v>485</v>
      </c>
      <c r="H354" s="35" t="s">
        <v>485</v>
      </c>
      <c r="I354" s="45" t="s">
        <v>2154</v>
      </c>
      <c r="J354" s="38">
        <v>10567.2</v>
      </c>
      <c r="K354" s="40">
        <f>((J354-M354)/J354)*100</f>
        <v>100</v>
      </c>
      <c r="L354" s="41">
        <f>J354-M354</f>
        <v>10567.2</v>
      </c>
      <c r="M354" s="38"/>
      <c r="N354" s="41">
        <f>J354-O354</f>
        <v>10567.2</v>
      </c>
      <c r="O354" s="38">
        <v>0</v>
      </c>
      <c r="P354" s="27">
        <f t="shared" si="51"/>
        <v>0</v>
      </c>
      <c r="Q354" s="27">
        <f t="shared" si="51"/>
        <v>0</v>
      </c>
      <c r="R354" s="27" t="e">
        <f>Q354/U354</f>
        <v>#DIV/0!</v>
      </c>
      <c r="S354" s="38" t="e">
        <f>Q354/U354</f>
        <v>#DIV/0!</v>
      </c>
      <c r="T354" s="38" t="e">
        <f>S354*AR354</f>
        <v>#DIV/0!</v>
      </c>
      <c r="U354" s="38">
        <f t="shared" si="50"/>
        <v>0</v>
      </c>
      <c r="V354" s="38">
        <v>0</v>
      </c>
      <c r="W354" s="38">
        <v>0</v>
      </c>
      <c r="X354" s="38">
        <v>0</v>
      </c>
      <c r="Y354" s="38"/>
      <c r="Z354" s="38" t="e">
        <f t="shared" si="48"/>
        <v>#DIV/0!</v>
      </c>
      <c r="AA354" s="38"/>
      <c r="AB354" s="38" t="e">
        <f t="shared" si="49"/>
        <v>#DIV/0!</v>
      </c>
      <c r="AC354" s="38" t="e">
        <f>U354/AR354</f>
        <v>#DIV/0!</v>
      </c>
      <c r="AD354" s="38" t="e">
        <f t="shared" si="52"/>
        <v>#DIV/0!</v>
      </c>
      <c r="AE354" s="33">
        <v>45397</v>
      </c>
      <c r="AF354" s="33"/>
      <c r="AG354" s="33"/>
      <c r="AH354" s="33"/>
      <c r="AI354" s="33"/>
      <c r="AJ354" s="42"/>
      <c r="AK354" s="37"/>
      <c r="AL354" s="37"/>
      <c r="AM354" s="37"/>
      <c r="AN354" s="37"/>
      <c r="AO354" s="43"/>
      <c r="AP354" s="35"/>
      <c r="AQ354" s="35"/>
      <c r="AR354" s="44"/>
      <c r="AS354" s="37" t="s">
        <v>485</v>
      </c>
    </row>
    <row r="355" spans="1:45" ht="41.25" customHeight="1" x14ac:dyDescent="0.25">
      <c r="A355" s="36" t="s">
        <v>2155</v>
      </c>
      <c r="B355" s="33">
        <v>45331</v>
      </c>
      <c r="C355" s="37" t="s">
        <v>2074</v>
      </c>
      <c r="D355" s="35" t="s">
        <v>485</v>
      </c>
      <c r="E355" s="1" t="s">
        <v>2156</v>
      </c>
      <c r="F355" s="35" t="s">
        <v>485</v>
      </c>
      <c r="G355" s="35" t="s">
        <v>485</v>
      </c>
      <c r="H355" s="35" t="s">
        <v>485</v>
      </c>
      <c r="I355" s="45" t="s">
        <v>2133</v>
      </c>
      <c r="J355" s="38">
        <v>524851.19999999995</v>
      </c>
      <c r="K355" s="40">
        <f>((J355-M355)/J355)*100</f>
        <v>100</v>
      </c>
      <c r="L355" s="41">
        <f>J355-M355</f>
        <v>524851.19999999995</v>
      </c>
      <c r="M355" s="38"/>
      <c r="N355" s="41">
        <f>J355-O355</f>
        <v>524851.19999999995</v>
      </c>
      <c r="O355" s="38">
        <v>0</v>
      </c>
      <c r="P355" s="27">
        <f t="shared" si="51"/>
        <v>0</v>
      </c>
      <c r="Q355" s="27">
        <f t="shared" si="51"/>
        <v>0</v>
      </c>
      <c r="R355" s="27" t="e">
        <f>Q355/U355</f>
        <v>#DIV/0!</v>
      </c>
      <c r="S355" s="38" t="e">
        <f>Q355/U355</f>
        <v>#DIV/0!</v>
      </c>
      <c r="T355" s="38" t="e">
        <f>S355*AR355</f>
        <v>#DIV/0!</v>
      </c>
      <c r="U355" s="38">
        <f t="shared" si="50"/>
        <v>0</v>
      </c>
      <c r="V355" s="38">
        <v>0</v>
      </c>
      <c r="W355" s="38">
        <v>0</v>
      </c>
      <c r="X355" s="38">
        <v>0</v>
      </c>
      <c r="Y355" s="38"/>
      <c r="Z355" s="38" t="e">
        <f t="shared" si="48"/>
        <v>#DIV/0!</v>
      </c>
      <c r="AA355" s="38"/>
      <c r="AB355" s="38" t="e">
        <f t="shared" si="49"/>
        <v>#DIV/0!</v>
      </c>
      <c r="AC355" s="38" t="e">
        <f>U355/AR355</f>
        <v>#DIV/0!</v>
      </c>
      <c r="AD355" s="38" t="e">
        <f t="shared" si="52"/>
        <v>#DIV/0!</v>
      </c>
      <c r="AE355" s="33">
        <v>45397</v>
      </c>
      <c r="AF355" s="33"/>
      <c r="AG355" s="33"/>
      <c r="AH355" s="33"/>
      <c r="AI355" s="33"/>
      <c r="AJ355" s="42"/>
      <c r="AK355" s="37"/>
      <c r="AL355" s="37"/>
      <c r="AM355" s="37"/>
      <c r="AN355" s="37"/>
      <c r="AO355" s="43"/>
      <c r="AP355" s="35"/>
      <c r="AQ355" s="35"/>
      <c r="AR355" s="44"/>
      <c r="AS355" s="37" t="s">
        <v>485</v>
      </c>
    </row>
    <row r="356" spans="1:45" ht="41.25" customHeight="1" x14ac:dyDescent="0.25">
      <c r="A356" s="36" t="s">
        <v>2157</v>
      </c>
      <c r="B356" s="33">
        <v>45331</v>
      </c>
      <c r="C356" s="37" t="s">
        <v>2066</v>
      </c>
      <c r="D356" s="35" t="s">
        <v>485</v>
      </c>
      <c r="E356" s="1" t="s">
        <v>2158</v>
      </c>
      <c r="F356" s="35" t="s">
        <v>485</v>
      </c>
      <c r="G356" s="35" t="s">
        <v>485</v>
      </c>
      <c r="H356" s="35" t="s">
        <v>485</v>
      </c>
      <c r="I356" s="31" t="s">
        <v>1598</v>
      </c>
      <c r="J356" s="38">
        <v>3240237</v>
      </c>
      <c r="K356" s="40">
        <f>((J356-M356)/J356)*100</f>
        <v>100</v>
      </c>
      <c r="L356" s="41">
        <f>J356-M356</f>
        <v>3240237</v>
      </c>
      <c r="M356" s="38"/>
      <c r="N356" s="41">
        <f>J356-O356</f>
        <v>3240237</v>
      </c>
      <c r="O356" s="38">
        <v>0</v>
      </c>
      <c r="P356" s="27">
        <f t="shared" si="51"/>
        <v>0</v>
      </c>
      <c r="Q356" s="27">
        <f t="shared" si="51"/>
        <v>0</v>
      </c>
      <c r="R356" s="27" t="e">
        <f>Q356/U356</f>
        <v>#DIV/0!</v>
      </c>
      <c r="S356" s="38" t="e">
        <f>Q356/U356</f>
        <v>#DIV/0!</v>
      </c>
      <c r="T356" s="38" t="e">
        <f>S356*AR356</f>
        <v>#DIV/0!</v>
      </c>
      <c r="U356" s="38">
        <f t="shared" si="50"/>
        <v>0</v>
      </c>
      <c r="V356" s="38">
        <v>0</v>
      </c>
      <c r="W356" s="38">
        <v>0</v>
      </c>
      <c r="X356" s="38">
        <v>0</v>
      </c>
      <c r="Y356" s="38"/>
      <c r="Z356" s="38" t="e">
        <f t="shared" si="48"/>
        <v>#DIV/0!</v>
      </c>
      <c r="AA356" s="38"/>
      <c r="AB356" s="38" t="e">
        <f t="shared" si="49"/>
        <v>#DIV/0!</v>
      </c>
      <c r="AC356" s="38" t="e">
        <f>U356/AR356</f>
        <v>#DIV/0!</v>
      </c>
      <c r="AD356" s="38" t="e">
        <f t="shared" si="52"/>
        <v>#DIV/0!</v>
      </c>
      <c r="AE356" s="33">
        <v>45397</v>
      </c>
      <c r="AF356" s="33"/>
      <c r="AG356" s="33"/>
      <c r="AH356" s="33"/>
      <c r="AI356" s="33"/>
      <c r="AJ356" s="42"/>
      <c r="AK356" s="37"/>
      <c r="AL356" s="37"/>
      <c r="AM356" s="37"/>
      <c r="AN356" s="37"/>
      <c r="AO356" s="43"/>
      <c r="AP356" s="35"/>
      <c r="AQ356" s="35"/>
      <c r="AR356" s="44"/>
      <c r="AS356" s="37" t="s">
        <v>485</v>
      </c>
    </row>
    <row r="357" spans="1:45" ht="41.25" customHeight="1" x14ac:dyDescent="0.25">
      <c r="A357" s="36" t="s">
        <v>2159</v>
      </c>
      <c r="B357" s="33">
        <v>45335</v>
      </c>
      <c r="C357" s="37">
        <v>545</v>
      </c>
      <c r="D357" s="35" t="s">
        <v>485</v>
      </c>
      <c r="E357" s="1" t="s">
        <v>2160</v>
      </c>
      <c r="F357" s="35" t="s">
        <v>485</v>
      </c>
      <c r="G357" s="35" t="s">
        <v>485</v>
      </c>
      <c r="H357" s="35" t="s">
        <v>485</v>
      </c>
      <c r="I357" s="31" t="s">
        <v>644</v>
      </c>
      <c r="J357" s="38">
        <v>11343735</v>
      </c>
      <c r="K357" s="40">
        <f>((J357-M357)/J357)*100</f>
        <v>100</v>
      </c>
      <c r="L357" s="41">
        <f>J357-M357</f>
        <v>11343735</v>
      </c>
      <c r="M357" s="38"/>
      <c r="N357" s="41">
        <f>J357-O357</f>
        <v>11343735</v>
      </c>
      <c r="O357" s="38">
        <v>0</v>
      </c>
      <c r="P357" s="27">
        <f t="shared" si="51"/>
        <v>0</v>
      </c>
      <c r="Q357" s="27">
        <f t="shared" si="51"/>
        <v>0</v>
      </c>
      <c r="R357" s="27" t="e">
        <f>Q357/U357</f>
        <v>#DIV/0!</v>
      </c>
      <c r="S357" s="38" t="e">
        <f>Q357/U357</f>
        <v>#DIV/0!</v>
      </c>
      <c r="T357" s="38" t="e">
        <f>S357*AR357</f>
        <v>#DIV/0!</v>
      </c>
      <c r="U357" s="38">
        <f t="shared" si="50"/>
        <v>0</v>
      </c>
      <c r="V357" s="38">
        <v>0</v>
      </c>
      <c r="W357" s="38">
        <v>0</v>
      </c>
      <c r="X357" s="38">
        <v>0</v>
      </c>
      <c r="Y357" s="38"/>
      <c r="Z357" s="38" t="e">
        <f t="shared" si="48"/>
        <v>#DIV/0!</v>
      </c>
      <c r="AA357" s="38"/>
      <c r="AB357" s="38" t="e">
        <f t="shared" si="49"/>
        <v>#DIV/0!</v>
      </c>
      <c r="AC357" s="38" t="e">
        <f>U357/AR357</f>
        <v>#DIV/0!</v>
      </c>
      <c r="AD357" s="38" t="e">
        <f t="shared" si="52"/>
        <v>#DIV/0!</v>
      </c>
      <c r="AE357" s="33">
        <v>45371</v>
      </c>
      <c r="AF357" s="33"/>
      <c r="AG357" s="33"/>
      <c r="AH357" s="33"/>
      <c r="AI357" s="33"/>
      <c r="AJ357" s="42"/>
      <c r="AK357" s="37"/>
      <c r="AL357" s="37"/>
      <c r="AM357" s="37"/>
      <c r="AN357" s="37"/>
      <c r="AO357" s="43"/>
      <c r="AP357" s="35"/>
      <c r="AQ357" s="35"/>
      <c r="AR357" s="44"/>
      <c r="AS357" s="37" t="s">
        <v>485</v>
      </c>
    </row>
    <row r="358" spans="1:45" ht="41.25" customHeight="1" x14ac:dyDescent="0.25">
      <c r="A358" s="36" t="s">
        <v>2161</v>
      </c>
      <c r="B358" s="33">
        <v>45335</v>
      </c>
      <c r="C358" s="37" t="s">
        <v>2066</v>
      </c>
      <c r="D358" s="35" t="s">
        <v>485</v>
      </c>
      <c r="E358" s="1" t="s">
        <v>2162</v>
      </c>
      <c r="F358" s="35" t="s">
        <v>485</v>
      </c>
      <c r="G358" s="35" t="s">
        <v>485</v>
      </c>
      <c r="H358" s="35" t="s">
        <v>485</v>
      </c>
      <c r="I358" s="31" t="s">
        <v>1311</v>
      </c>
      <c r="J358" s="38">
        <v>92692.800000000003</v>
      </c>
      <c r="K358" s="40">
        <f>((J358-M358)/J358)*100</f>
        <v>100</v>
      </c>
      <c r="L358" s="41">
        <f>J358-M358</f>
        <v>92692.800000000003</v>
      </c>
      <c r="M358" s="38"/>
      <c r="N358" s="41">
        <f>J358-O358</f>
        <v>92692.800000000003</v>
      </c>
      <c r="O358" s="38">
        <v>0</v>
      </c>
      <c r="P358" s="27">
        <f t="shared" si="51"/>
        <v>0</v>
      </c>
      <c r="Q358" s="27">
        <f t="shared" si="51"/>
        <v>0</v>
      </c>
      <c r="R358" s="27" t="e">
        <f>Q358/U358</f>
        <v>#DIV/0!</v>
      </c>
      <c r="S358" s="38" t="e">
        <f>Q358/U358</f>
        <v>#DIV/0!</v>
      </c>
      <c r="T358" s="38" t="e">
        <f>S358*AR358</f>
        <v>#DIV/0!</v>
      </c>
      <c r="U358" s="38">
        <f t="shared" si="50"/>
        <v>0</v>
      </c>
      <c r="V358" s="38">
        <v>0</v>
      </c>
      <c r="W358" s="38">
        <v>0</v>
      </c>
      <c r="X358" s="38">
        <v>0</v>
      </c>
      <c r="Y358" s="38"/>
      <c r="Z358" s="38" t="e">
        <f t="shared" si="48"/>
        <v>#DIV/0!</v>
      </c>
      <c r="AA358" s="38"/>
      <c r="AB358" s="38" t="e">
        <f t="shared" si="49"/>
        <v>#DIV/0!</v>
      </c>
      <c r="AC358" s="38" t="e">
        <f>U358/AR358</f>
        <v>#DIV/0!</v>
      </c>
      <c r="AD358" s="38" t="e">
        <f t="shared" si="52"/>
        <v>#DIV/0!</v>
      </c>
      <c r="AE358" s="33">
        <v>45505</v>
      </c>
      <c r="AF358" s="33"/>
      <c r="AG358" s="33"/>
      <c r="AH358" s="33"/>
      <c r="AI358" s="33"/>
      <c r="AJ358" s="42"/>
      <c r="AK358" s="37"/>
      <c r="AL358" s="37"/>
      <c r="AM358" s="37"/>
      <c r="AN358" s="37"/>
      <c r="AO358" s="43"/>
      <c r="AP358" s="35"/>
      <c r="AQ358" s="35"/>
      <c r="AR358" s="44"/>
      <c r="AS358" s="37" t="s">
        <v>485</v>
      </c>
    </row>
    <row r="359" spans="1:45" ht="41.25" customHeight="1" x14ac:dyDescent="0.25">
      <c r="A359" s="36" t="s">
        <v>2163</v>
      </c>
      <c r="B359" s="33">
        <v>45335</v>
      </c>
      <c r="C359" s="35" t="s">
        <v>486</v>
      </c>
      <c r="D359" s="35" t="s">
        <v>485</v>
      </c>
      <c r="E359" s="1" t="s">
        <v>2164</v>
      </c>
      <c r="F359" s="35" t="s">
        <v>485</v>
      </c>
      <c r="G359" s="35" t="s">
        <v>485</v>
      </c>
      <c r="H359" s="35" t="s">
        <v>485</v>
      </c>
      <c r="I359" s="45" t="s">
        <v>1676</v>
      </c>
      <c r="J359" s="38">
        <v>45744464.399999999</v>
      </c>
      <c r="K359" s="40">
        <f>((J359-M359)/J359)*100</f>
        <v>100</v>
      </c>
      <c r="L359" s="41">
        <f>J359-M359</f>
        <v>45744464.399999999</v>
      </c>
      <c r="M359" s="38"/>
      <c r="N359" s="41">
        <f>J359-O359</f>
        <v>45744464.399999999</v>
      </c>
      <c r="O359" s="38">
        <v>0</v>
      </c>
      <c r="P359" s="27">
        <f t="shared" si="51"/>
        <v>0</v>
      </c>
      <c r="Q359" s="27">
        <f t="shared" si="51"/>
        <v>0</v>
      </c>
      <c r="R359" s="27" t="e">
        <f>Q359/U359</f>
        <v>#DIV/0!</v>
      </c>
      <c r="S359" s="38" t="e">
        <f>Q359/U359</f>
        <v>#DIV/0!</v>
      </c>
      <c r="T359" s="38" t="e">
        <f>S359*AR359</f>
        <v>#DIV/0!</v>
      </c>
      <c r="U359" s="38">
        <f t="shared" si="50"/>
        <v>0</v>
      </c>
      <c r="V359" s="38">
        <v>0</v>
      </c>
      <c r="W359" s="38">
        <v>0</v>
      </c>
      <c r="X359" s="38">
        <v>0</v>
      </c>
      <c r="Y359" s="38"/>
      <c r="Z359" s="38" t="e">
        <f t="shared" si="48"/>
        <v>#DIV/0!</v>
      </c>
      <c r="AA359" s="38"/>
      <c r="AB359" s="38" t="e">
        <f t="shared" si="49"/>
        <v>#DIV/0!</v>
      </c>
      <c r="AC359" s="38" t="e">
        <f>U359/AR359</f>
        <v>#DIV/0!</v>
      </c>
      <c r="AD359" s="38" t="e">
        <f t="shared" si="52"/>
        <v>#DIV/0!</v>
      </c>
      <c r="AE359" s="33">
        <v>45397</v>
      </c>
      <c r="AF359" s="33"/>
      <c r="AG359" s="33"/>
      <c r="AH359" s="33"/>
      <c r="AI359" s="33"/>
      <c r="AJ359" s="42"/>
      <c r="AK359" s="37"/>
      <c r="AL359" s="37"/>
      <c r="AM359" s="37"/>
      <c r="AN359" s="37"/>
      <c r="AO359" s="43"/>
      <c r="AP359" s="35"/>
      <c r="AQ359" s="35"/>
      <c r="AR359" s="44"/>
      <c r="AS359" s="37" t="s">
        <v>485</v>
      </c>
    </row>
    <row r="360" spans="1:45" ht="41.25" customHeight="1" x14ac:dyDescent="0.25">
      <c r="A360" s="36" t="s">
        <v>2165</v>
      </c>
      <c r="B360" s="33">
        <v>45335</v>
      </c>
      <c r="C360" s="35" t="s">
        <v>486</v>
      </c>
      <c r="D360" s="36"/>
      <c r="E360" s="1" t="s">
        <v>2166</v>
      </c>
      <c r="F360" s="33">
        <v>45355</v>
      </c>
      <c r="G360" s="35" t="s">
        <v>2167</v>
      </c>
      <c r="H360" s="37" t="s">
        <v>1166</v>
      </c>
      <c r="I360" s="45" t="s">
        <v>1889</v>
      </c>
      <c r="J360" s="38">
        <v>48392919</v>
      </c>
      <c r="K360" s="40">
        <f>((J360-M360)/J360)*100</f>
        <v>0</v>
      </c>
      <c r="L360" s="41">
        <f>J360-M360</f>
        <v>0</v>
      </c>
      <c r="M360" s="38">
        <v>48392919</v>
      </c>
      <c r="N360" s="41">
        <f>J360-O360</f>
        <v>0</v>
      </c>
      <c r="O360" s="38">
        <v>48392919</v>
      </c>
      <c r="P360" s="27">
        <f t="shared" si="51"/>
        <v>48392919</v>
      </c>
      <c r="Q360" s="27">
        <f t="shared" si="51"/>
        <v>48392919</v>
      </c>
      <c r="R360" s="27">
        <f>Q360/U360</f>
        <v>206.94</v>
      </c>
      <c r="S360" s="38">
        <f>Q360/U360</f>
        <v>206.94</v>
      </c>
      <c r="T360" s="38">
        <f>S360*AR360</f>
        <v>12416.4</v>
      </c>
      <c r="U360" s="38">
        <f t="shared" si="50"/>
        <v>233850</v>
      </c>
      <c r="V360" s="38">
        <v>233850</v>
      </c>
      <c r="W360" s="38">
        <v>0</v>
      </c>
      <c r="X360" s="38">
        <v>0</v>
      </c>
      <c r="Y360" s="38">
        <v>0</v>
      </c>
      <c r="Z360" s="38">
        <f t="shared" si="48"/>
        <v>0</v>
      </c>
      <c r="AA360" s="38">
        <v>0</v>
      </c>
      <c r="AB360" s="38">
        <f t="shared" si="49"/>
        <v>0</v>
      </c>
      <c r="AC360" s="38">
        <f>U360/AR360</f>
        <v>3897.5</v>
      </c>
      <c r="AD360" s="38">
        <f t="shared" si="52"/>
        <v>3898</v>
      </c>
      <c r="AE360" s="33">
        <v>45397</v>
      </c>
      <c r="AF360" s="33"/>
      <c r="AG360" s="33"/>
      <c r="AH360" s="33">
        <v>45427</v>
      </c>
      <c r="AI360" s="33"/>
      <c r="AJ360" s="42"/>
      <c r="AK360" s="37" t="s">
        <v>2168</v>
      </c>
      <c r="AL360" s="37" t="s">
        <v>2169</v>
      </c>
      <c r="AM360" s="37" t="s">
        <v>2170</v>
      </c>
      <c r="AN360" s="37" t="s">
        <v>50</v>
      </c>
      <c r="AO360" s="43">
        <v>100</v>
      </c>
      <c r="AP360" s="35">
        <v>0</v>
      </c>
      <c r="AQ360" s="35" t="s">
        <v>441</v>
      </c>
      <c r="AR360" s="44">
        <v>60</v>
      </c>
      <c r="AS360" s="37" t="s">
        <v>176</v>
      </c>
    </row>
    <row r="361" spans="1:45" ht="41.25" customHeight="1" x14ac:dyDescent="0.25">
      <c r="A361" s="36" t="s">
        <v>2171</v>
      </c>
      <c r="B361" s="33">
        <v>45335</v>
      </c>
      <c r="C361" s="35" t="s">
        <v>486</v>
      </c>
      <c r="D361" s="36" t="s">
        <v>485</v>
      </c>
      <c r="E361" s="1" t="s">
        <v>2172</v>
      </c>
      <c r="F361" s="36" t="s">
        <v>485</v>
      </c>
      <c r="G361" s="36" t="s">
        <v>485</v>
      </c>
      <c r="H361" s="36" t="s">
        <v>485</v>
      </c>
      <c r="I361" s="45" t="s">
        <v>1641</v>
      </c>
      <c r="J361" s="38">
        <v>126853650</v>
      </c>
      <c r="K361" s="40">
        <f>((J361-M361)/J361)*100</f>
        <v>100</v>
      </c>
      <c r="L361" s="41">
        <f>J361-M361</f>
        <v>126853650</v>
      </c>
      <c r="M361" s="38"/>
      <c r="N361" s="41">
        <f>J361-O361</f>
        <v>126853650</v>
      </c>
      <c r="O361" s="38">
        <v>0</v>
      </c>
      <c r="P361" s="27">
        <f t="shared" si="51"/>
        <v>0</v>
      </c>
      <c r="Q361" s="27">
        <f t="shared" si="51"/>
        <v>0</v>
      </c>
      <c r="R361" s="27" t="e">
        <f>Q361/U361</f>
        <v>#DIV/0!</v>
      </c>
      <c r="S361" s="38" t="e">
        <f>Q361/U361</f>
        <v>#DIV/0!</v>
      </c>
      <c r="T361" s="38" t="e">
        <f>S361*AR361</f>
        <v>#DIV/0!</v>
      </c>
      <c r="U361" s="38">
        <f t="shared" si="50"/>
        <v>0</v>
      </c>
      <c r="V361" s="38">
        <v>0</v>
      </c>
      <c r="W361" s="38">
        <v>0</v>
      </c>
      <c r="X361" s="38">
        <v>0</v>
      </c>
      <c r="Y361" s="38"/>
      <c r="Z361" s="38" t="e">
        <f t="shared" si="48"/>
        <v>#DIV/0!</v>
      </c>
      <c r="AA361" s="38"/>
      <c r="AB361" s="38" t="e">
        <f t="shared" si="49"/>
        <v>#DIV/0!</v>
      </c>
      <c r="AC361" s="38" t="e">
        <f>U361/AR361</f>
        <v>#DIV/0!</v>
      </c>
      <c r="AD361" s="38" t="e">
        <f t="shared" si="52"/>
        <v>#DIV/0!</v>
      </c>
      <c r="AE361" s="33">
        <v>45397</v>
      </c>
      <c r="AF361" s="33"/>
      <c r="AG361" s="33"/>
      <c r="AH361" s="33"/>
      <c r="AI361" s="33"/>
      <c r="AJ361" s="42"/>
      <c r="AK361" s="37"/>
      <c r="AL361" s="37"/>
      <c r="AM361" s="37"/>
      <c r="AN361" s="37"/>
      <c r="AO361" s="43"/>
      <c r="AP361" s="35"/>
      <c r="AQ361" s="35"/>
      <c r="AR361" s="44"/>
      <c r="AS361" s="37" t="s">
        <v>485</v>
      </c>
    </row>
    <row r="362" spans="1:45" ht="41.25" customHeight="1" x14ac:dyDescent="0.25">
      <c r="A362" s="36" t="s">
        <v>2173</v>
      </c>
      <c r="B362" s="33">
        <v>45335</v>
      </c>
      <c r="C362" s="35" t="s">
        <v>486</v>
      </c>
      <c r="D362" s="36"/>
      <c r="E362" s="1" t="s">
        <v>2174</v>
      </c>
      <c r="F362" s="33">
        <v>45355</v>
      </c>
      <c r="G362" s="35" t="s">
        <v>2175</v>
      </c>
      <c r="H362" s="37" t="s">
        <v>2176</v>
      </c>
      <c r="I362" s="45" t="s">
        <v>1409</v>
      </c>
      <c r="J362" s="38">
        <v>42046110</v>
      </c>
      <c r="K362" s="40">
        <f>((J362-M362)/J362)*100</f>
        <v>0</v>
      </c>
      <c r="L362" s="41">
        <f>J362-M362</f>
        <v>0</v>
      </c>
      <c r="M362" s="38">
        <v>42046110</v>
      </c>
      <c r="N362" s="41">
        <f>J362-O362</f>
        <v>0</v>
      </c>
      <c r="O362" s="38">
        <v>42046110</v>
      </c>
      <c r="P362" s="27">
        <f t="shared" si="51"/>
        <v>42046110</v>
      </c>
      <c r="Q362" s="27">
        <f t="shared" si="51"/>
        <v>42046110</v>
      </c>
      <c r="R362" s="27">
        <f>Q362/U362</f>
        <v>201.66</v>
      </c>
      <c r="S362" s="38">
        <f>Q362/U362</f>
        <v>201.66</v>
      </c>
      <c r="T362" s="38">
        <f>S362*AR362</f>
        <v>6049.8</v>
      </c>
      <c r="U362" s="38">
        <f t="shared" si="50"/>
        <v>208500</v>
      </c>
      <c r="V362" s="38">
        <v>208500</v>
      </c>
      <c r="W362" s="38">
        <v>0</v>
      </c>
      <c r="X362" s="38">
        <v>0</v>
      </c>
      <c r="Y362" s="38">
        <v>0</v>
      </c>
      <c r="Z362" s="38">
        <f t="shared" si="48"/>
        <v>0</v>
      </c>
      <c r="AA362" s="38">
        <v>0</v>
      </c>
      <c r="AB362" s="38">
        <f t="shared" si="49"/>
        <v>0</v>
      </c>
      <c r="AC362" s="38">
        <f>U362/AR362</f>
        <v>6950</v>
      </c>
      <c r="AD362" s="38">
        <f t="shared" si="52"/>
        <v>6950</v>
      </c>
      <c r="AE362" s="33">
        <v>45397</v>
      </c>
      <c r="AF362" s="33"/>
      <c r="AG362" s="33"/>
      <c r="AH362" s="33">
        <v>45427</v>
      </c>
      <c r="AI362" s="33"/>
      <c r="AJ362" s="42"/>
      <c r="AK362" s="37" t="s">
        <v>2177</v>
      </c>
      <c r="AL362" s="37" t="s">
        <v>2178</v>
      </c>
      <c r="AM362" s="37" t="s">
        <v>2179</v>
      </c>
      <c r="AN362" s="37" t="s">
        <v>50</v>
      </c>
      <c r="AO362" s="43">
        <v>100</v>
      </c>
      <c r="AP362" s="35">
        <v>0</v>
      </c>
      <c r="AQ362" s="35" t="s">
        <v>441</v>
      </c>
      <c r="AR362" s="44">
        <v>30</v>
      </c>
      <c r="AS362" s="37" t="s">
        <v>52</v>
      </c>
    </row>
    <row r="363" spans="1:45" ht="41.25" customHeight="1" x14ac:dyDescent="0.25">
      <c r="A363" s="36" t="s">
        <v>2180</v>
      </c>
      <c r="B363" s="33">
        <v>45335</v>
      </c>
      <c r="C363" s="37" t="s">
        <v>2066</v>
      </c>
      <c r="D363" s="36" t="s">
        <v>485</v>
      </c>
      <c r="E363" s="1" t="s">
        <v>2181</v>
      </c>
      <c r="F363" s="36" t="s">
        <v>485</v>
      </c>
      <c r="G363" s="36" t="s">
        <v>485</v>
      </c>
      <c r="H363" s="36" t="s">
        <v>485</v>
      </c>
      <c r="I363" s="45" t="s">
        <v>1577</v>
      </c>
      <c r="J363" s="38">
        <v>4695840</v>
      </c>
      <c r="K363" s="40">
        <f>((J363-M363)/J363)*100</f>
        <v>100</v>
      </c>
      <c r="L363" s="41">
        <f>J363-M363</f>
        <v>4695840</v>
      </c>
      <c r="M363" s="38"/>
      <c r="N363" s="41">
        <f>J363-O363</f>
        <v>4695840</v>
      </c>
      <c r="O363" s="38">
        <v>0</v>
      </c>
      <c r="P363" s="27">
        <f t="shared" si="51"/>
        <v>0</v>
      </c>
      <c r="Q363" s="27">
        <f t="shared" si="51"/>
        <v>0</v>
      </c>
      <c r="R363" s="27" t="e">
        <f>Q363/U363</f>
        <v>#DIV/0!</v>
      </c>
      <c r="S363" s="38" t="e">
        <f>Q363/U363</f>
        <v>#DIV/0!</v>
      </c>
      <c r="T363" s="38" t="e">
        <f>S363*AR363</f>
        <v>#DIV/0!</v>
      </c>
      <c r="U363" s="38">
        <f t="shared" si="50"/>
        <v>0</v>
      </c>
      <c r="V363" s="38">
        <v>0</v>
      </c>
      <c r="W363" s="38">
        <v>0</v>
      </c>
      <c r="X363" s="38">
        <v>0</v>
      </c>
      <c r="Y363" s="38"/>
      <c r="Z363" s="38" t="e">
        <f t="shared" si="48"/>
        <v>#DIV/0!</v>
      </c>
      <c r="AA363" s="38"/>
      <c r="AB363" s="38" t="e">
        <f t="shared" si="49"/>
        <v>#DIV/0!</v>
      </c>
      <c r="AC363" s="38" t="e">
        <f>U363/AR363</f>
        <v>#DIV/0!</v>
      </c>
      <c r="AD363" s="38" t="e">
        <f t="shared" si="52"/>
        <v>#DIV/0!</v>
      </c>
      <c r="AE363" s="33">
        <v>45397</v>
      </c>
      <c r="AF363" s="33"/>
      <c r="AG363" s="33"/>
      <c r="AH363" s="33"/>
      <c r="AI363" s="33"/>
      <c r="AJ363" s="42"/>
      <c r="AK363" s="37"/>
      <c r="AL363" s="37"/>
      <c r="AM363" s="37"/>
      <c r="AN363" s="37"/>
      <c r="AO363" s="43"/>
      <c r="AP363" s="35"/>
      <c r="AQ363" s="35"/>
      <c r="AR363" s="44"/>
      <c r="AS363" s="37" t="s">
        <v>485</v>
      </c>
    </row>
    <row r="364" spans="1:45" ht="41.25" customHeight="1" x14ac:dyDescent="0.25">
      <c r="A364" s="36" t="s">
        <v>2182</v>
      </c>
      <c r="B364" s="33">
        <v>45335</v>
      </c>
      <c r="C364" s="35" t="s">
        <v>486</v>
      </c>
      <c r="D364" s="36"/>
      <c r="E364" s="1" t="s">
        <v>2183</v>
      </c>
      <c r="F364" s="33">
        <v>45370</v>
      </c>
      <c r="G364" s="35" t="s">
        <v>2184</v>
      </c>
      <c r="H364" s="37" t="s">
        <v>291</v>
      </c>
      <c r="I364" s="45" t="s">
        <v>508</v>
      </c>
      <c r="J364" s="38">
        <v>367438394.39999998</v>
      </c>
      <c r="K364" s="40">
        <f>((J364-M364)/J364)*100</f>
        <v>0</v>
      </c>
      <c r="L364" s="41">
        <f>J364-M364</f>
        <v>0</v>
      </c>
      <c r="M364" s="38">
        <v>367438394.39999998</v>
      </c>
      <c r="N364" s="41">
        <f>J364-O364</f>
        <v>0</v>
      </c>
      <c r="O364" s="38">
        <v>367438394.39999998</v>
      </c>
      <c r="P364" s="27">
        <f t="shared" si="51"/>
        <v>367438394.39999998</v>
      </c>
      <c r="Q364" s="27">
        <f t="shared" si="51"/>
        <v>367438394.39999998</v>
      </c>
      <c r="R364" s="27">
        <f>Q364/U364</f>
        <v>52.36</v>
      </c>
      <c r="S364" s="38">
        <f>Q364/U364</f>
        <v>52.36</v>
      </c>
      <c r="T364" s="38">
        <f>S364*AR364</f>
        <v>3141.6</v>
      </c>
      <c r="U364" s="38">
        <f t="shared" si="50"/>
        <v>7017540</v>
      </c>
      <c r="V364" s="38">
        <v>7017540</v>
      </c>
      <c r="W364" s="38">
        <v>0</v>
      </c>
      <c r="X364" s="38">
        <v>0</v>
      </c>
      <c r="Y364" s="38">
        <v>0</v>
      </c>
      <c r="Z364" s="38">
        <f t="shared" si="48"/>
        <v>0</v>
      </c>
      <c r="AA364" s="38">
        <v>0</v>
      </c>
      <c r="AB364" s="38">
        <f t="shared" si="49"/>
        <v>0</v>
      </c>
      <c r="AC364" s="38">
        <f>U364/AR364</f>
        <v>116959</v>
      </c>
      <c r="AD364" s="38">
        <f t="shared" si="52"/>
        <v>116959</v>
      </c>
      <c r="AE364" s="33">
        <v>45458</v>
      </c>
      <c r="AF364" s="33"/>
      <c r="AG364" s="33"/>
      <c r="AH364" s="33">
        <v>45488</v>
      </c>
      <c r="AI364" s="33"/>
      <c r="AJ364" s="42"/>
      <c r="AK364" s="37" t="s">
        <v>1718</v>
      </c>
      <c r="AL364" s="37" t="s">
        <v>2185</v>
      </c>
      <c r="AM364" s="37" t="s">
        <v>2186</v>
      </c>
      <c r="AN364" s="37" t="s">
        <v>50</v>
      </c>
      <c r="AO364" s="43">
        <v>100</v>
      </c>
      <c r="AP364" s="35">
        <v>0</v>
      </c>
      <c r="AQ364" s="35" t="s">
        <v>441</v>
      </c>
      <c r="AR364" s="44">
        <v>60</v>
      </c>
      <c r="AS364" s="37" t="s">
        <v>52</v>
      </c>
    </row>
    <row r="365" spans="1:45" ht="41.25" customHeight="1" x14ac:dyDescent="0.25">
      <c r="A365" s="36" t="s">
        <v>2187</v>
      </c>
      <c r="B365" s="33">
        <v>45335</v>
      </c>
      <c r="C365" s="37" t="s">
        <v>2066</v>
      </c>
      <c r="D365" s="36"/>
      <c r="E365" s="1" t="s">
        <v>2188</v>
      </c>
      <c r="F365" s="33">
        <v>45348</v>
      </c>
      <c r="G365" s="35" t="s">
        <v>2189</v>
      </c>
      <c r="H365" s="37" t="s">
        <v>1166</v>
      </c>
      <c r="I365" s="31" t="s">
        <v>1301</v>
      </c>
      <c r="J365" s="38">
        <v>399096</v>
      </c>
      <c r="K365" s="40">
        <f>((J365-M365)/J365)*100</f>
        <v>0</v>
      </c>
      <c r="L365" s="41">
        <f>J365-M365</f>
        <v>0</v>
      </c>
      <c r="M365" s="38">
        <v>399096</v>
      </c>
      <c r="N365" s="41">
        <f>J365-O365</f>
        <v>0</v>
      </c>
      <c r="O365" s="38">
        <v>399096</v>
      </c>
      <c r="P365" s="27">
        <f t="shared" si="51"/>
        <v>399096</v>
      </c>
      <c r="Q365" s="27">
        <f t="shared" si="51"/>
        <v>399096</v>
      </c>
      <c r="R365" s="27">
        <f>Q365/U365</f>
        <v>110.86</v>
      </c>
      <c r="S365" s="38">
        <f>Q365/U365</f>
        <v>110.86</v>
      </c>
      <c r="T365" s="38">
        <f>S365*AR365</f>
        <v>13303.2</v>
      </c>
      <c r="U365" s="38">
        <f t="shared" si="50"/>
        <v>3600</v>
      </c>
      <c r="V365" s="38">
        <v>3600</v>
      </c>
      <c r="W365" s="38">
        <v>0</v>
      </c>
      <c r="X365" s="38">
        <v>0</v>
      </c>
      <c r="Y365" s="38">
        <v>0</v>
      </c>
      <c r="Z365" s="38">
        <f t="shared" si="48"/>
        <v>0</v>
      </c>
      <c r="AA365" s="38">
        <v>0</v>
      </c>
      <c r="AB365" s="38">
        <f t="shared" si="49"/>
        <v>0</v>
      </c>
      <c r="AC365" s="38">
        <f>U365/AR365</f>
        <v>30</v>
      </c>
      <c r="AD365" s="38">
        <f t="shared" si="52"/>
        <v>30</v>
      </c>
      <c r="AE365" s="33">
        <v>45397</v>
      </c>
      <c r="AF365" s="33"/>
      <c r="AG365" s="33"/>
      <c r="AH365" s="33">
        <v>45427</v>
      </c>
      <c r="AI365" s="33"/>
      <c r="AJ365" s="42"/>
      <c r="AK365" s="37" t="s">
        <v>1302</v>
      </c>
      <c r="AL365" s="37" t="s">
        <v>1303</v>
      </c>
      <c r="AM365" s="37" t="s">
        <v>1304</v>
      </c>
      <c r="AN365" s="37" t="s">
        <v>50</v>
      </c>
      <c r="AO365" s="43">
        <v>100</v>
      </c>
      <c r="AP365" s="35">
        <v>0</v>
      </c>
      <c r="AQ365" s="35" t="s">
        <v>441</v>
      </c>
      <c r="AR365" s="44">
        <v>120</v>
      </c>
      <c r="AS365" s="37" t="s">
        <v>52</v>
      </c>
    </row>
    <row r="366" spans="1:45" ht="41.25" customHeight="1" x14ac:dyDescent="0.25">
      <c r="A366" s="36" t="s">
        <v>2190</v>
      </c>
      <c r="B366" s="33">
        <v>45335</v>
      </c>
      <c r="C366" s="35" t="s">
        <v>486</v>
      </c>
      <c r="D366" s="36" t="s">
        <v>485</v>
      </c>
      <c r="E366" s="1" t="s">
        <v>2191</v>
      </c>
      <c r="F366" s="36" t="s">
        <v>485</v>
      </c>
      <c r="G366" s="36" t="s">
        <v>485</v>
      </c>
      <c r="H366" s="36" t="s">
        <v>485</v>
      </c>
      <c r="I366" s="31" t="s">
        <v>1610</v>
      </c>
      <c r="J366" s="38">
        <v>65903003.700000003</v>
      </c>
      <c r="K366" s="40">
        <f>((J366-M366)/J366)*100</f>
        <v>100</v>
      </c>
      <c r="L366" s="41">
        <f>J366-M366</f>
        <v>65903003.700000003</v>
      </c>
      <c r="M366" s="38"/>
      <c r="N366" s="41">
        <f>J366-O366</f>
        <v>65903003.700000003</v>
      </c>
      <c r="O366" s="38">
        <v>0</v>
      </c>
      <c r="P366" s="27">
        <f t="shared" si="51"/>
        <v>0</v>
      </c>
      <c r="Q366" s="27">
        <f t="shared" si="51"/>
        <v>0</v>
      </c>
      <c r="R366" s="27" t="e">
        <f>Q366/U366</f>
        <v>#DIV/0!</v>
      </c>
      <c r="S366" s="38" t="e">
        <f>Q366/U366</f>
        <v>#DIV/0!</v>
      </c>
      <c r="T366" s="38" t="e">
        <f>S366*AR366</f>
        <v>#DIV/0!</v>
      </c>
      <c r="U366" s="38">
        <f t="shared" si="50"/>
        <v>0</v>
      </c>
      <c r="V366" s="38">
        <v>0</v>
      </c>
      <c r="W366" s="38">
        <v>0</v>
      </c>
      <c r="X366" s="38">
        <v>0</v>
      </c>
      <c r="Y366" s="38"/>
      <c r="Z366" s="38" t="e">
        <f t="shared" si="48"/>
        <v>#DIV/0!</v>
      </c>
      <c r="AA366" s="38"/>
      <c r="AB366" s="38" t="e">
        <f t="shared" si="49"/>
        <v>#DIV/0!</v>
      </c>
      <c r="AC366" s="38" t="e">
        <f>U366/AR366</f>
        <v>#DIV/0!</v>
      </c>
      <c r="AD366" s="38" t="e">
        <f t="shared" si="52"/>
        <v>#DIV/0!</v>
      </c>
      <c r="AE366" s="33">
        <v>45397</v>
      </c>
      <c r="AF366" s="33"/>
      <c r="AG366" s="33"/>
      <c r="AH366" s="33"/>
      <c r="AI366" s="33"/>
      <c r="AJ366" s="42"/>
      <c r="AK366" s="37"/>
      <c r="AL366" s="37"/>
      <c r="AM366" s="37"/>
      <c r="AN366" s="37"/>
      <c r="AO366" s="43"/>
      <c r="AP366" s="35"/>
      <c r="AQ366" s="35"/>
      <c r="AR366" s="44"/>
      <c r="AS366" s="37" t="s">
        <v>485</v>
      </c>
    </row>
    <row r="367" spans="1:45" ht="41.25" customHeight="1" x14ac:dyDescent="0.25">
      <c r="A367" s="36" t="s">
        <v>2192</v>
      </c>
      <c r="B367" s="33">
        <v>45337</v>
      </c>
      <c r="C367" s="35">
        <v>1416</v>
      </c>
      <c r="D367" s="36" t="s">
        <v>485</v>
      </c>
      <c r="E367" s="1" t="s">
        <v>2193</v>
      </c>
      <c r="F367" s="36" t="s">
        <v>485</v>
      </c>
      <c r="G367" s="36" t="s">
        <v>485</v>
      </c>
      <c r="H367" s="36" t="s">
        <v>485</v>
      </c>
      <c r="I367" s="45" t="s">
        <v>785</v>
      </c>
      <c r="J367" s="38">
        <v>661467276.47000003</v>
      </c>
      <c r="K367" s="40">
        <f>((J367-M367)/J367)*100</f>
        <v>100</v>
      </c>
      <c r="L367" s="41">
        <f>J367-M367</f>
        <v>661467276.47000003</v>
      </c>
      <c r="M367" s="38"/>
      <c r="N367" s="41">
        <f>J367-O367</f>
        <v>661467276.47000003</v>
      </c>
      <c r="O367" s="38">
        <v>0</v>
      </c>
      <c r="P367" s="27">
        <f t="shared" si="51"/>
        <v>0</v>
      </c>
      <c r="Q367" s="27">
        <f t="shared" si="51"/>
        <v>0</v>
      </c>
      <c r="R367" s="27" t="e">
        <f>Q367/U367</f>
        <v>#DIV/0!</v>
      </c>
      <c r="S367" s="38" t="e">
        <f>Q367/U367</f>
        <v>#DIV/0!</v>
      </c>
      <c r="T367" s="38" t="e">
        <f>S367*AR367</f>
        <v>#DIV/0!</v>
      </c>
      <c r="U367" s="38">
        <f t="shared" si="50"/>
        <v>0</v>
      </c>
      <c r="V367" s="38">
        <v>0</v>
      </c>
      <c r="W367" s="38">
        <v>0</v>
      </c>
      <c r="X367" s="38">
        <v>0</v>
      </c>
      <c r="Y367" s="38"/>
      <c r="Z367" s="38" t="e">
        <f t="shared" si="48"/>
        <v>#DIV/0!</v>
      </c>
      <c r="AA367" s="38"/>
      <c r="AB367" s="38" t="e">
        <f t="shared" si="49"/>
        <v>#DIV/0!</v>
      </c>
      <c r="AC367" s="38" t="e">
        <f>U367/AR367</f>
        <v>#DIV/0!</v>
      </c>
      <c r="AD367" s="38" t="e">
        <f t="shared" si="52"/>
        <v>#DIV/0!</v>
      </c>
      <c r="AE367" s="33">
        <v>45474</v>
      </c>
      <c r="AF367" s="33"/>
      <c r="AG367" s="33"/>
      <c r="AH367" s="33"/>
      <c r="AI367" s="33"/>
      <c r="AJ367" s="42"/>
      <c r="AK367" s="37"/>
      <c r="AL367" s="37"/>
      <c r="AM367" s="37"/>
      <c r="AN367" s="37"/>
      <c r="AO367" s="43"/>
      <c r="AP367" s="35"/>
      <c r="AQ367" s="35"/>
      <c r="AR367" s="44"/>
      <c r="AS367" s="37" t="s">
        <v>485</v>
      </c>
    </row>
    <row r="368" spans="1:45" ht="41.25" customHeight="1" x14ac:dyDescent="0.25">
      <c r="A368" s="36" t="s">
        <v>2194</v>
      </c>
      <c r="B368" s="33">
        <v>45337</v>
      </c>
      <c r="C368" s="35" t="s">
        <v>486</v>
      </c>
      <c r="D368" s="36" t="s">
        <v>485</v>
      </c>
      <c r="E368" s="1" t="s">
        <v>2195</v>
      </c>
      <c r="F368" s="36" t="s">
        <v>485</v>
      </c>
      <c r="G368" s="36" t="s">
        <v>485</v>
      </c>
      <c r="H368" s="36" t="s">
        <v>485</v>
      </c>
      <c r="I368" s="45" t="s">
        <v>1710</v>
      </c>
      <c r="J368" s="38">
        <v>51248268</v>
      </c>
      <c r="K368" s="40">
        <f>((J368-M368)/J368)*100</f>
        <v>100</v>
      </c>
      <c r="L368" s="41">
        <f>J368-M368</f>
        <v>51248268</v>
      </c>
      <c r="M368" s="38"/>
      <c r="N368" s="41">
        <f>J368-O368</f>
        <v>51248268</v>
      </c>
      <c r="O368" s="38">
        <v>0</v>
      </c>
      <c r="P368" s="27">
        <f t="shared" ref="P368:Q385" si="53">O368</f>
        <v>0</v>
      </c>
      <c r="Q368" s="27">
        <f t="shared" si="53"/>
        <v>0</v>
      </c>
      <c r="R368" s="27" t="e">
        <f>Q368/U368</f>
        <v>#DIV/0!</v>
      </c>
      <c r="S368" s="38" t="e">
        <f>Q368/U368</f>
        <v>#DIV/0!</v>
      </c>
      <c r="T368" s="38" t="e">
        <f>S368*AR368</f>
        <v>#DIV/0!</v>
      </c>
      <c r="U368" s="38">
        <f t="shared" si="50"/>
        <v>0</v>
      </c>
      <c r="V368" s="38">
        <v>0</v>
      </c>
      <c r="W368" s="38">
        <v>0</v>
      </c>
      <c r="X368" s="38">
        <v>0</v>
      </c>
      <c r="Y368" s="38"/>
      <c r="Z368" s="38" t="e">
        <f t="shared" si="48"/>
        <v>#DIV/0!</v>
      </c>
      <c r="AA368" s="38"/>
      <c r="AB368" s="38" t="e">
        <f t="shared" si="49"/>
        <v>#DIV/0!</v>
      </c>
      <c r="AC368" s="38" t="e">
        <f>U368/AR368</f>
        <v>#DIV/0!</v>
      </c>
      <c r="AD368" s="38" t="e">
        <f t="shared" si="52"/>
        <v>#DIV/0!</v>
      </c>
      <c r="AE368" s="33">
        <v>45397</v>
      </c>
      <c r="AF368" s="33"/>
      <c r="AG368" s="33"/>
      <c r="AH368" s="33"/>
      <c r="AI368" s="33"/>
      <c r="AJ368" s="42"/>
      <c r="AK368" s="37"/>
      <c r="AL368" s="37"/>
      <c r="AM368" s="37"/>
      <c r="AN368" s="37"/>
      <c r="AO368" s="43"/>
      <c r="AP368" s="35"/>
      <c r="AQ368" s="35"/>
      <c r="AR368" s="44"/>
      <c r="AS368" s="37" t="s">
        <v>485</v>
      </c>
    </row>
    <row r="369" spans="1:45" ht="41.25" customHeight="1" x14ac:dyDescent="0.25">
      <c r="A369" s="36" t="s">
        <v>2196</v>
      </c>
      <c r="B369" s="33">
        <v>45337</v>
      </c>
      <c r="C369" s="35" t="s">
        <v>486</v>
      </c>
      <c r="D369" s="36"/>
      <c r="E369" s="1" t="s">
        <v>2197</v>
      </c>
      <c r="F369" s="33">
        <v>45363</v>
      </c>
      <c r="G369" s="35" t="s">
        <v>2198</v>
      </c>
      <c r="H369" s="37" t="s">
        <v>291</v>
      </c>
      <c r="I369" s="45" t="s">
        <v>1630</v>
      </c>
      <c r="J369" s="38">
        <v>200538624</v>
      </c>
      <c r="K369" s="40">
        <f>((J369-M369)/J369)*100</f>
        <v>0.51652892561983477</v>
      </c>
      <c r="L369" s="41">
        <f>J369-M369</f>
        <v>1035840</v>
      </c>
      <c r="M369" s="38">
        <v>199502784</v>
      </c>
      <c r="N369" s="41">
        <f>J369-O369</f>
        <v>1035840</v>
      </c>
      <c r="O369" s="38">
        <v>199502784</v>
      </c>
      <c r="P369" s="27">
        <f t="shared" si="53"/>
        <v>199502784</v>
      </c>
      <c r="Q369" s="27">
        <f t="shared" si="53"/>
        <v>199502784</v>
      </c>
      <c r="R369" s="27">
        <f>Q369/U369</f>
        <v>48.15</v>
      </c>
      <c r="S369" s="38">
        <f>Q369/U369</f>
        <v>48.15</v>
      </c>
      <c r="T369" s="38">
        <f>S369*AR369</f>
        <v>2889</v>
      </c>
      <c r="U369" s="38">
        <f t="shared" si="50"/>
        <v>4143360</v>
      </c>
      <c r="V369" s="38">
        <v>2073120</v>
      </c>
      <c r="W369" s="38">
        <v>2070240</v>
      </c>
      <c r="X369" s="38">
        <v>0</v>
      </c>
      <c r="Y369" s="38">
        <v>0</v>
      </c>
      <c r="Z369" s="38">
        <f t="shared" si="48"/>
        <v>0</v>
      </c>
      <c r="AA369" s="38">
        <v>0</v>
      </c>
      <c r="AB369" s="38">
        <f t="shared" si="49"/>
        <v>0</v>
      </c>
      <c r="AC369" s="38">
        <f>U369/AR369</f>
        <v>69056</v>
      </c>
      <c r="AD369" s="38">
        <f t="shared" si="52"/>
        <v>69056</v>
      </c>
      <c r="AE369" s="33">
        <v>45397</v>
      </c>
      <c r="AF369" s="33">
        <v>45473</v>
      </c>
      <c r="AG369" s="33"/>
      <c r="AH369" s="33">
        <v>45427</v>
      </c>
      <c r="AI369" s="33">
        <v>45505</v>
      </c>
      <c r="AJ369" s="42"/>
      <c r="AK369" s="37" t="s">
        <v>2199</v>
      </c>
      <c r="AL369" s="37" t="s">
        <v>2200</v>
      </c>
      <c r="AM369" s="37" t="s">
        <v>2201</v>
      </c>
      <c r="AN369" s="37" t="s">
        <v>50</v>
      </c>
      <c r="AO369" s="43">
        <v>100</v>
      </c>
      <c r="AP369" s="35">
        <v>0</v>
      </c>
      <c r="AQ369" s="35" t="s">
        <v>441</v>
      </c>
      <c r="AR369" s="44">
        <v>60</v>
      </c>
      <c r="AS369" s="37" t="s">
        <v>52</v>
      </c>
    </row>
    <row r="370" spans="1:45" ht="41.25" customHeight="1" x14ac:dyDescent="0.25">
      <c r="A370" s="36" t="s">
        <v>2202</v>
      </c>
      <c r="B370" s="33">
        <v>45337</v>
      </c>
      <c r="C370" s="35" t="s">
        <v>486</v>
      </c>
      <c r="D370" s="36"/>
      <c r="E370" s="1" t="s">
        <v>2203</v>
      </c>
      <c r="F370" s="33">
        <v>45362</v>
      </c>
      <c r="G370" s="35" t="s">
        <v>2204</v>
      </c>
      <c r="H370" s="37" t="s">
        <v>291</v>
      </c>
      <c r="I370" s="45" t="s">
        <v>1705</v>
      </c>
      <c r="J370" s="38">
        <v>48569637.600000001</v>
      </c>
      <c r="K370" s="40">
        <f>((J370-M370)/J370)*100</f>
        <v>0</v>
      </c>
      <c r="L370" s="41">
        <f>J370-M370</f>
        <v>0</v>
      </c>
      <c r="M370" s="38">
        <v>48569637.600000001</v>
      </c>
      <c r="N370" s="41">
        <f>J370-O370</f>
        <v>0</v>
      </c>
      <c r="O370" s="38">
        <v>48569637.600000001</v>
      </c>
      <c r="P370" s="27">
        <f t="shared" si="53"/>
        <v>48569637.600000001</v>
      </c>
      <c r="Q370" s="27">
        <f t="shared" si="53"/>
        <v>48569637.600000001</v>
      </c>
      <c r="R370" s="27">
        <f>Q370/U370</f>
        <v>3.3000000000000003</v>
      </c>
      <c r="S370" s="38">
        <f>Q370/U370</f>
        <v>3.3000000000000003</v>
      </c>
      <c r="T370" s="38">
        <f>S370*AR370</f>
        <v>198.00000000000003</v>
      </c>
      <c r="U370" s="38">
        <f t="shared" si="50"/>
        <v>14718072</v>
      </c>
      <c r="V370" s="38">
        <v>14718072</v>
      </c>
      <c r="W370" s="38">
        <v>0</v>
      </c>
      <c r="X370" s="38">
        <v>0</v>
      </c>
      <c r="Y370" s="38">
        <v>0</v>
      </c>
      <c r="Z370" s="38">
        <f t="shared" si="48"/>
        <v>0</v>
      </c>
      <c r="AA370" s="38">
        <v>0</v>
      </c>
      <c r="AB370" s="38">
        <f t="shared" si="49"/>
        <v>0</v>
      </c>
      <c r="AC370" s="38">
        <f>U370/AR370</f>
        <v>245301.2</v>
      </c>
      <c r="AD370" s="38">
        <f t="shared" si="52"/>
        <v>245302</v>
      </c>
      <c r="AE370" s="33">
        <v>45397</v>
      </c>
      <c r="AF370" s="33"/>
      <c r="AG370" s="33"/>
      <c r="AH370" s="33">
        <v>45427</v>
      </c>
      <c r="AI370" s="33"/>
      <c r="AJ370" s="42"/>
      <c r="AK370" s="37" t="s">
        <v>2205</v>
      </c>
      <c r="AL370" s="37" t="s">
        <v>2206</v>
      </c>
      <c r="AM370" s="37" t="s">
        <v>2207</v>
      </c>
      <c r="AN370" s="37" t="s">
        <v>50</v>
      </c>
      <c r="AO370" s="43">
        <v>100</v>
      </c>
      <c r="AP370" s="35">
        <v>0</v>
      </c>
      <c r="AQ370" s="35" t="s">
        <v>441</v>
      </c>
      <c r="AR370" s="44">
        <v>60</v>
      </c>
      <c r="AS370" s="37" t="s">
        <v>52</v>
      </c>
    </row>
    <row r="371" spans="1:45" ht="41.25" customHeight="1" x14ac:dyDescent="0.25">
      <c r="A371" s="36" t="s">
        <v>2208</v>
      </c>
      <c r="B371" s="33">
        <v>45337</v>
      </c>
      <c r="C371" s="35">
        <v>1416</v>
      </c>
      <c r="D371" s="36"/>
      <c r="E371" s="1" t="s">
        <v>2209</v>
      </c>
      <c r="F371" s="33">
        <v>45366</v>
      </c>
      <c r="G371" s="35" t="s">
        <v>2210</v>
      </c>
      <c r="H371" s="37" t="s">
        <v>364</v>
      </c>
      <c r="I371" s="45" t="s">
        <v>2211</v>
      </c>
      <c r="J371" s="38">
        <v>626565718.35000002</v>
      </c>
      <c r="K371" s="40">
        <f>((J371-M371)/J371)*100</f>
        <v>0</v>
      </c>
      <c r="L371" s="41">
        <f>J371-M371</f>
        <v>0</v>
      </c>
      <c r="M371" s="38">
        <v>626565718.35000002</v>
      </c>
      <c r="N371" s="41">
        <f>J371-O371</f>
        <v>0</v>
      </c>
      <c r="O371" s="38">
        <v>626565718.35000002</v>
      </c>
      <c r="P371" s="27">
        <f t="shared" si="53"/>
        <v>626565718.35000002</v>
      </c>
      <c r="Q371" s="27">
        <f t="shared" si="53"/>
        <v>626565718.35000002</v>
      </c>
      <c r="R371" s="27">
        <f>Q371/U371</f>
        <v>1212.97</v>
      </c>
      <c r="S371" s="38">
        <f>Q371/U371</f>
        <v>1212.97</v>
      </c>
      <c r="T371" s="38" t="e">
        <f>S371*AR371</f>
        <v>#VALUE!</v>
      </c>
      <c r="U371" s="38">
        <f t="shared" si="50"/>
        <v>516555</v>
      </c>
      <c r="V371" s="38">
        <v>516555</v>
      </c>
      <c r="W371" s="38">
        <v>0</v>
      </c>
      <c r="X371" s="38">
        <v>0</v>
      </c>
      <c r="Y371" s="38">
        <v>0</v>
      </c>
      <c r="Z371" s="38">
        <f t="shared" si="48"/>
        <v>0</v>
      </c>
      <c r="AA371" s="38">
        <v>516555</v>
      </c>
      <c r="AB371" s="38">
        <f t="shared" si="49"/>
        <v>626565718.35000002</v>
      </c>
      <c r="AC371" s="38" t="e">
        <f>U371/AR371</f>
        <v>#VALUE!</v>
      </c>
      <c r="AD371" s="38" t="e">
        <f t="shared" si="52"/>
        <v>#VALUE!</v>
      </c>
      <c r="AE371" s="33">
        <v>45413</v>
      </c>
      <c r="AF371" s="33"/>
      <c r="AG371" s="33"/>
      <c r="AH371" s="33">
        <v>45444</v>
      </c>
      <c r="AI371" s="33"/>
      <c r="AJ371" s="42"/>
      <c r="AK371" s="37" t="s">
        <v>1441</v>
      </c>
      <c r="AL371" s="37" t="s">
        <v>1442</v>
      </c>
      <c r="AM371" s="37" t="s">
        <v>1443</v>
      </c>
      <c r="AN371" s="37" t="s">
        <v>50</v>
      </c>
      <c r="AO371" s="43">
        <v>100</v>
      </c>
      <c r="AP371" s="35">
        <v>0</v>
      </c>
      <c r="AQ371" s="35" t="s">
        <v>441</v>
      </c>
      <c r="AR371" s="48" t="s">
        <v>1444</v>
      </c>
      <c r="AS371" s="37" t="s">
        <v>52</v>
      </c>
    </row>
    <row r="372" spans="1:45" ht="41.25" customHeight="1" x14ac:dyDescent="0.25">
      <c r="A372" s="36" t="s">
        <v>2212</v>
      </c>
      <c r="B372" s="33">
        <v>45337</v>
      </c>
      <c r="C372" s="35" t="s">
        <v>2213</v>
      </c>
      <c r="D372" s="36" t="s">
        <v>485</v>
      </c>
      <c r="E372" s="1" t="s">
        <v>2214</v>
      </c>
      <c r="F372" s="36" t="s">
        <v>485</v>
      </c>
      <c r="G372" s="36" t="s">
        <v>485</v>
      </c>
      <c r="H372" s="36" t="s">
        <v>485</v>
      </c>
      <c r="I372" s="45" t="s">
        <v>785</v>
      </c>
      <c r="J372" s="38">
        <v>9023426.2799999993</v>
      </c>
      <c r="K372" s="40">
        <f>((J372-M372)/J372)*100</f>
        <v>100</v>
      </c>
      <c r="L372" s="41">
        <f>J372-M372</f>
        <v>9023426.2799999993</v>
      </c>
      <c r="M372" s="38"/>
      <c r="N372" s="41">
        <f>J372-O372</f>
        <v>9023426.2799999993</v>
      </c>
      <c r="O372" s="38">
        <v>0</v>
      </c>
      <c r="P372" s="27">
        <f t="shared" si="53"/>
        <v>0</v>
      </c>
      <c r="Q372" s="27">
        <f t="shared" si="53"/>
        <v>0</v>
      </c>
      <c r="R372" s="27" t="e">
        <f>Q372/U372</f>
        <v>#DIV/0!</v>
      </c>
      <c r="S372" s="38" t="e">
        <f>Q372/U372</f>
        <v>#DIV/0!</v>
      </c>
      <c r="T372" s="38" t="e">
        <f>S372*AR372</f>
        <v>#DIV/0!</v>
      </c>
      <c r="U372" s="38">
        <f t="shared" si="50"/>
        <v>0</v>
      </c>
      <c r="V372" s="38">
        <v>0</v>
      </c>
      <c r="W372" s="38">
        <v>0</v>
      </c>
      <c r="X372" s="38">
        <v>0</v>
      </c>
      <c r="Y372" s="38"/>
      <c r="Z372" s="38" t="e">
        <f t="shared" si="48"/>
        <v>#DIV/0!</v>
      </c>
      <c r="AA372" s="38"/>
      <c r="AB372" s="38" t="e">
        <f t="shared" si="49"/>
        <v>#DIV/0!</v>
      </c>
      <c r="AC372" s="38" t="e">
        <f>U372/AR372</f>
        <v>#DIV/0!</v>
      </c>
      <c r="AD372" s="38" t="e">
        <f t="shared" si="52"/>
        <v>#DIV/0!</v>
      </c>
      <c r="AE372" s="33">
        <v>45474</v>
      </c>
      <c r="AF372" s="33"/>
      <c r="AG372" s="33"/>
      <c r="AH372" s="33"/>
      <c r="AI372" s="33"/>
      <c r="AJ372" s="42"/>
      <c r="AK372" s="37"/>
      <c r="AL372" s="37"/>
      <c r="AM372" s="37"/>
      <c r="AN372" s="37"/>
      <c r="AO372" s="43"/>
      <c r="AP372" s="35"/>
      <c r="AQ372" s="35"/>
      <c r="AR372" s="44"/>
      <c r="AS372" s="37" t="s">
        <v>485</v>
      </c>
    </row>
    <row r="373" spans="1:45" ht="41.25" customHeight="1" x14ac:dyDescent="0.25">
      <c r="A373" s="36" t="s">
        <v>2215</v>
      </c>
      <c r="B373" s="33">
        <v>45337</v>
      </c>
      <c r="C373" s="35" t="s">
        <v>2213</v>
      </c>
      <c r="D373" s="36" t="s">
        <v>485</v>
      </c>
      <c r="E373" s="1" t="s">
        <v>2216</v>
      </c>
      <c r="F373" s="36" t="s">
        <v>485</v>
      </c>
      <c r="G373" s="36" t="s">
        <v>485</v>
      </c>
      <c r="H373" s="36" t="s">
        <v>485</v>
      </c>
      <c r="I373" s="45" t="s">
        <v>2217</v>
      </c>
      <c r="J373" s="38">
        <v>62977.5</v>
      </c>
      <c r="K373" s="40">
        <f>((J373-M373)/J373)*100</f>
        <v>100</v>
      </c>
      <c r="L373" s="41">
        <f>J373-M373</f>
        <v>62977.5</v>
      </c>
      <c r="M373" s="38"/>
      <c r="N373" s="41">
        <f>J373-O373</f>
        <v>62977.5</v>
      </c>
      <c r="O373" s="38">
        <v>0</v>
      </c>
      <c r="P373" s="27">
        <f t="shared" si="53"/>
        <v>0</v>
      </c>
      <c r="Q373" s="27">
        <f t="shared" si="53"/>
        <v>0</v>
      </c>
      <c r="R373" s="27" t="e">
        <f>Q373/U373</f>
        <v>#DIV/0!</v>
      </c>
      <c r="S373" s="38" t="e">
        <f>Q373/U373</f>
        <v>#DIV/0!</v>
      </c>
      <c r="T373" s="38" t="e">
        <f>S373*AR373</f>
        <v>#DIV/0!</v>
      </c>
      <c r="U373" s="38">
        <f t="shared" si="50"/>
        <v>0</v>
      </c>
      <c r="V373" s="38">
        <v>0</v>
      </c>
      <c r="W373" s="38">
        <v>0</v>
      </c>
      <c r="X373" s="38">
        <v>0</v>
      </c>
      <c r="Y373" s="38"/>
      <c r="Z373" s="38" t="e">
        <f t="shared" si="48"/>
        <v>#DIV/0!</v>
      </c>
      <c r="AA373" s="38"/>
      <c r="AB373" s="38" t="e">
        <f t="shared" si="49"/>
        <v>#DIV/0!</v>
      </c>
      <c r="AC373" s="38" t="e">
        <f>U373/AR373</f>
        <v>#DIV/0!</v>
      </c>
      <c r="AD373" s="38" t="e">
        <f t="shared" si="52"/>
        <v>#DIV/0!</v>
      </c>
      <c r="AE373" s="33">
        <v>45397</v>
      </c>
      <c r="AF373" s="33"/>
      <c r="AG373" s="33"/>
      <c r="AH373" s="33"/>
      <c r="AI373" s="33"/>
      <c r="AJ373" s="42"/>
      <c r="AK373" s="37"/>
      <c r="AL373" s="37"/>
      <c r="AM373" s="37"/>
      <c r="AN373" s="37"/>
      <c r="AO373" s="43"/>
      <c r="AP373" s="35"/>
      <c r="AQ373" s="35"/>
      <c r="AR373" s="44"/>
      <c r="AS373" s="37" t="s">
        <v>485</v>
      </c>
    </row>
    <row r="374" spans="1:45" ht="41.25" customHeight="1" x14ac:dyDescent="0.25">
      <c r="A374" s="36" t="s">
        <v>2218</v>
      </c>
      <c r="B374" s="33">
        <v>45337</v>
      </c>
      <c r="C374" s="37" t="s">
        <v>2066</v>
      </c>
      <c r="D374" s="36"/>
      <c r="E374" s="1" t="s">
        <v>2219</v>
      </c>
      <c r="F374" s="33">
        <v>45350</v>
      </c>
      <c r="G374" s="35" t="s">
        <v>2220</v>
      </c>
      <c r="H374" s="37" t="s">
        <v>1166</v>
      </c>
      <c r="I374" s="45" t="s">
        <v>1582</v>
      </c>
      <c r="J374" s="38">
        <v>2490397.2000000002</v>
      </c>
      <c r="K374" s="40">
        <f>((J374-M374)/J374)*100</f>
        <v>0</v>
      </c>
      <c r="L374" s="41">
        <f>J374-M374</f>
        <v>0</v>
      </c>
      <c r="M374" s="38">
        <v>2490397.2000000002</v>
      </c>
      <c r="N374" s="41">
        <f>J374-O374</f>
        <v>0</v>
      </c>
      <c r="O374" s="38">
        <v>2490397.2000000002</v>
      </c>
      <c r="P374" s="27">
        <f t="shared" si="53"/>
        <v>2490397.2000000002</v>
      </c>
      <c r="Q374" s="27">
        <f t="shared" si="53"/>
        <v>2490397.2000000002</v>
      </c>
      <c r="R374" s="27">
        <f>Q374/U374</f>
        <v>4.66</v>
      </c>
      <c r="S374" s="38">
        <f>Q374/U374</f>
        <v>4.66</v>
      </c>
      <c r="T374" s="38">
        <f>S374*AR374</f>
        <v>139.80000000000001</v>
      </c>
      <c r="U374" s="38">
        <f t="shared" si="50"/>
        <v>534420</v>
      </c>
      <c r="V374" s="38">
        <v>534420</v>
      </c>
      <c r="W374" s="38">
        <v>0</v>
      </c>
      <c r="X374" s="38">
        <v>0</v>
      </c>
      <c r="Y374" s="38">
        <v>0</v>
      </c>
      <c r="Z374" s="38">
        <f t="shared" si="48"/>
        <v>0</v>
      </c>
      <c r="AA374" s="38">
        <v>0</v>
      </c>
      <c r="AB374" s="38">
        <f t="shared" si="49"/>
        <v>0</v>
      </c>
      <c r="AC374" s="38">
        <f>U374/AR374</f>
        <v>17814</v>
      </c>
      <c r="AD374" s="38">
        <f t="shared" si="52"/>
        <v>17814</v>
      </c>
      <c r="AE374" s="33">
        <v>45397</v>
      </c>
      <c r="AF374" s="33"/>
      <c r="AG374" s="33"/>
      <c r="AH374" s="33">
        <v>45427</v>
      </c>
      <c r="AI374" s="33"/>
      <c r="AJ374" s="42"/>
      <c r="AK374" s="37" t="s">
        <v>1583</v>
      </c>
      <c r="AL374" s="37" t="s">
        <v>2221</v>
      </c>
      <c r="AM374" s="37" t="s">
        <v>1585</v>
      </c>
      <c r="AN374" s="37" t="s">
        <v>50</v>
      </c>
      <c r="AO374" s="43">
        <v>100</v>
      </c>
      <c r="AP374" s="35">
        <v>0</v>
      </c>
      <c r="AQ374" s="35" t="s">
        <v>441</v>
      </c>
      <c r="AR374" s="44">
        <v>30</v>
      </c>
      <c r="AS374" s="37" t="s">
        <v>176</v>
      </c>
    </row>
    <row r="375" spans="1:45" ht="41.25" customHeight="1" x14ac:dyDescent="0.25">
      <c r="A375" s="36" t="s">
        <v>2222</v>
      </c>
      <c r="B375" s="33">
        <v>45337</v>
      </c>
      <c r="C375" s="37" t="s">
        <v>2066</v>
      </c>
      <c r="D375" s="36"/>
      <c r="E375" s="1" t="s">
        <v>2223</v>
      </c>
      <c r="F375" s="33">
        <v>45350</v>
      </c>
      <c r="G375" s="35" t="s">
        <v>2224</v>
      </c>
      <c r="H375" s="37" t="s">
        <v>1166</v>
      </c>
      <c r="I375" s="45" t="s">
        <v>1630</v>
      </c>
      <c r="J375" s="38">
        <v>17424</v>
      </c>
      <c r="K375" s="40">
        <f>((J375-M375)/J375)*100</f>
        <v>0</v>
      </c>
      <c r="L375" s="41">
        <f>J375-M375</f>
        <v>0</v>
      </c>
      <c r="M375" s="38">
        <v>17424</v>
      </c>
      <c r="N375" s="41">
        <f>J375-O375</f>
        <v>0</v>
      </c>
      <c r="O375" s="38">
        <v>17424</v>
      </c>
      <c r="P375" s="27">
        <f t="shared" si="53"/>
        <v>17424</v>
      </c>
      <c r="Q375" s="27">
        <f t="shared" si="53"/>
        <v>17424</v>
      </c>
      <c r="R375" s="27">
        <f>Q375/U375</f>
        <v>48.4</v>
      </c>
      <c r="S375" s="38">
        <f>Q375/U375</f>
        <v>48.4</v>
      </c>
      <c r="T375" s="38">
        <f>S375*AR375</f>
        <v>2904</v>
      </c>
      <c r="U375" s="38">
        <f t="shared" si="50"/>
        <v>360</v>
      </c>
      <c r="V375" s="38">
        <v>360</v>
      </c>
      <c r="W375" s="38">
        <v>0</v>
      </c>
      <c r="X375" s="38">
        <v>0</v>
      </c>
      <c r="Y375" s="38">
        <v>0</v>
      </c>
      <c r="Z375" s="38">
        <f t="shared" si="48"/>
        <v>0</v>
      </c>
      <c r="AA375" s="38">
        <v>0</v>
      </c>
      <c r="AB375" s="38">
        <f t="shared" si="49"/>
        <v>0</v>
      </c>
      <c r="AC375" s="38">
        <f>U375/AR375</f>
        <v>6</v>
      </c>
      <c r="AD375" s="38">
        <f t="shared" si="52"/>
        <v>6</v>
      </c>
      <c r="AE375" s="33">
        <v>45397</v>
      </c>
      <c r="AF375" s="33"/>
      <c r="AG375" s="33"/>
      <c r="AH375" s="33">
        <v>45427</v>
      </c>
      <c r="AI375" s="33"/>
      <c r="AJ375" s="42"/>
      <c r="AK375" s="37" t="s">
        <v>2225</v>
      </c>
      <c r="AL375" s="37" t="s">
        <v>2226</v>
      </c>
      <c r="AM375" s="37" t="s">
        <v>2227</v>
      </c>
      <c r="AN375" s="37" t="s">
        <v>50</v>
      </c>
      <c r="AO375" s="43">
        <v>100</v>
      </c>
      <c r="AP375" s="35">
        <v>0</v>
      </c>
      <c r="AQ375" s="35" t="s">
        <v>441</v>
      </c>
      <c r="AR375" s="44">
        <v>60</v>
      </c>
      <c r="AS375" s="37" t="s">
        <v>176</v>
      </c>
    </row>
    <row r="376" spans="1:45" ht="41.25" customHeight="1" x14ac:dyDescent="0.25">
      <c r="A376" s="36" t="s">
        <v>2228</v>
      </c>
      <c r="B376" s="33">
        <v>45337</v>
      </c>
      <c r="C376" s="35" t="s">
        <v>2213</v>
      </c>
      <c r="D376" s="36"/>
      <c r="E376" s="1" t="s">
        <v>2229</v>
      </c>
      <c r="F376" s="33">
        <v>45350</v>
      </c>
      <c r="G376" s="35" t="s">
        <v>2230</v>
      </c>
      <c r="H376" s="37" t="s">
        <v>2176</v>
      </c>
      <c r="I376" s="45" t="s">
        <v>2211</v>
      </c>
      <c r="J376" s="38">
        <v>3802660.95</v>
      </c>
      <c r="K376" s="40">
        <f>((J376-M376)/J376)*100</f>
        <v>0</v>
      </c>
      <c r="L376" s="41">
        <f>J376-M376</f>
        <v>0</v>
      </c>
      <c r="M376" s="38">
        <v>3802660.95</v>
      </c>
      <c r="N376" s="41">
        <f>J376-O376</f>
        <v>0</v>
      </c>
      <c r="O376" s="38">
        <v>3802660.95</v>
      </c>
      <c r="P376" s="27">
        <f t="shared" si="53"/>
        <v>3802660.95</v>
      </c>
      <c r="Q376" s="27">
        <f t="shared" si="53"/>
        <v>3802660.95</v>
      </c>
      <c r="R376" s="27">
        <f>Q376/U376</f>
        <v>1212.97</v>
      </c>
      <c r="S376" s="38">
        <f>Q376/U376</f>
        <v>1212.97</v>
      </c>
      <c r="T376" s="38">
        <f>S376*AR376</f>
        <v>18194.55</v>
      </c>
      <c r="U376" s="38">
        <f t="shared" si="50"/>
        <v>3135</v>
      </c>
      <c r="V376" s="38">
        <v>3135</v>
      </c>
      <c r="W376" s="38">
        <v>0</v>
      </c>
      <c r="X376" s="38">
        <v>0</v>
      </c>
      <c r="Y376" s="38">
        <v>0</v>
      </c>
      <c r="Z376" s="38">
        <f t="shared" si="48"/>
        <v>0</v>
      </c>
      <c r="AA376" s="38">
        <v>3135</v>
      </c>
      <c r="AB376" s="38">
        <f t="shared" si="49"/>
        <v>3802660.95</v>
      </c>
      <c r="AC376" s="38">
        <f>U376/AR376</f>
        <v>209</v>
      </c>
      <c r="AD376" s="38">
        <f t="shared" si="52"/>
        <v>209</v>
      </c>
      <c r="AE376" s="33">
        <v>45413</v>
      </c>
      <c r="AF376" s="33"/>
      <c r="AG376" s="33"/>
      <c r="AH376" s="33">
        <v>45444</v>
      </c>
      <c r="AI376" s="33"/>
      <c r="AJ376" s="42"/>
      <c r="AK376" s="37" t="s">
        <v>2231</v>
      </c>
      <c r="AL376" s="37" t="s">
        <v>2232</v>
      </c>
      <c r="AM376" s="37" t="s">
        <v>2233</v>
      </c>
      <c r="AN376" s="37" t="s">
        <v>50</v>
      </c>
      <c r="AO376" s="43">
        <v>100</v>
      </c>
      <c r="AP376" s="35">
        <v>0</v>
      </c>
      <c r="AQ376" s="35" t="s">
        <v>441</v>
      </c>
      <c r="AR376" s="44">
        <v>15</v>
      </c>
      <c r="AS376" s="37" t="s">
        <v>52</v>
      </c>
    </row>
    <row r="377" spans="1:45" ht="41.25" customHeight="1" x14ac:dyDescent="0.25">
      <c r="A377" s="36" t="s">
        <v>2234</v>
      </c>
      <c r="B377" s="33">
        <v>45337</v>
      </c>
      <c r="C377" s="37" t="s">
        <v>2066</v>
      </c>
      <c r="D377" s="36" t="s">
        <v>485</v>
      </c>
      <c r="E377" s="1" t="s">
        <v>2235</v>
      </c>
      <c r="F377" s="36" t="s">
        <v>485</v>
      </c>
      <c r="G377" s="36" t="s">
        <v>485</v>
      </c>
      <c r="H377" s="36" t="s">
        <v>485</v>
      </c>
      <c r="I377" s="45" t="s">
        <v>1710</v>
      </c>
      <c r="J377" s="38">
        <v>46909.8</v>
      </c>
      <c r="K377" s="40">
        <f>((J377-M377)/J377)*100</f>
        <v>100</v>
      </c>
      <c r="L377" s="41">
        <f>J377-M377</f>
        <v>46909.8</v>
      </c>
      <c r="M377" s="38"/>
      <c r="N377" s="41">
        <f>J377-O377</f>
        <v>46909.8</v>
      </c>
      <c r="O377" s="38">
        <v>0</v>
      </c>
      <c r="P377" s="27">
        <f t="shared" si="53"/>
        <v>0</v>
      </c>
      <c r="Q377" s="27">
        <f t="shared" si="53"/>
        <v>0</v>
      </c>
      <c r="R377" s="27" t="e">
        <f>Q377/U377</f>
        <v>#DIV/0!</v>
      </c>
      <c r="S377" s="38" t="e">
        <f>Q377/U377</f>
        <v>#DIV/0!</v>
      </c>
      <c r="T377" s="38" t="e">
        <f>S377*AR377</f>
        <v>#DIV/0!</v>
      </c>
      <c r="U377" s="38">
        <f t="shared" si="50"/>
        <v>0</v>
      </c>
      <c r="V377" s="38">
        <v>0</v>
      </c>
      <c r="W377" s="38">
        <v>0</v>
      </c>
      <c r="X377" s="38">
        <v>0</v>
      </c>
      <c r="Y377" s="38"/>
      <c r="Z377" s="38" t="e">
        <f t="shared" si="48"/>
        <v>#DIV/0!</v>
      </c>
      <c r="AA377" s="38"/>
      <c r="AB377" s="38" t="e">
        <f t="shared" si="49"/>
        <v>#DIV/0!</v>
      </c>
      <c r="AC377" s="38" t="e">
        <f>U377/AR377</f>
        <v>#DIV/0!</v>
      </c>
      <c r="AD377" s="38" t="e">
        <f t="shared" si="52"/>
        <v>#DIV/0!</v>
      </c>
      <c r="AE377" s="33">
        <v>45397</v>
      </c>
      <c r="AF377" s="33"/>
      <c r="AG377" s="33"/>
      <c r="AH377" s="33"/>
      <c r="AI377" s="33"/>
      <c r="AJ377" s="42"/>
      <c r="AK377" s="37"/>
      <c r="AL377" s="37"/>
      <c r="AM377" s="37"/>
      <c r="AN377" s="37"/>
      <c r="AO377" s="43"/>
      <c r="AP377" s="35"/>
      <c r="AQ377" s="35"/>
      <c r="AR377" s="44"/>
      <c r="AS377" s="37" t="s">
        <v>485</v>
      </c>
    </row>
    <row r="378" spans="1:45" ht="41.25" customHeight="1" x14ac:dyDescent="0.25">
      <c r="A378" s="36" t="s">
        <v>2236</v>
      </c>
      <c r="B378" s="33">
        <v>45337</v>
      </c>
      <c r="C378" s="37" t="s">
        <v>2066</v>
      </c>
      <c r="D378" s="36" t="s">
        <v>485</v>
      </c>
      <c r="E378" s="1" t="s">
        <v>2237</v>
      </c>
      <c r="F378" s="36" t="s">
        <v>485</v>
      </c>
      <c r="G378" s="36" t="s">
        <v>485</v>
      </c>
      <c r="H378" s="36" t="s">
        <v>485</v>
      </c>
      <c r="I378" s="45" t="s">
        <v>1558</v>
      </c>
      <c r="J378" s="38">
        <v>3838479.3</v>
      </c>
      <c r="K378" s="40">
        <f>((J378-M378)/J378)*100</f>
        <v>100</v>
      </c>
      <c r="L378" s="41">
        <f>J378-M378</f>
        <v>3838479.3</v>
      </c>
      <c r="M378" s="38"/>
      <c r="N378" s="41">
        <f>J378-O378</f>
        <v>3838479.3</v>
      </c>
      <c r="O378" s="38">
        <v>0</v>
      </c>
      <c r="P378" s="27">
        <f t="shared" si="53"/>
        <v>0</v>
      </c>
      <c r="Q378" s="27">
        <f t="shared" si="53"/>
        <v>0</v>
      </c>
      <c r="R378" s="27" t="e">
        <f>Q378/U378</f>
        <v>#DIV/0!</v>
      </c>
      <c r="S378" s="38" t="e">
        <f>Q378/U378</f>
        <v>#DIV/0!</v>
      </c>
      <c r="T378" s="38" t="e">
        <f>S378*AR378</f>
        <v>#DIV/0!</v>
      </c>
      <c r="U378" s="38">
        <f t="shared" si="50"/>
        <v>0</v>
      </c>
      <c r="V378" s="38">
        <v>0</v>
      </c>
      <c r="W378" s="38">
        <v>0</v>
      </c>
      <c r="X378" s="38">
        <v>0</v>
      </c>
      <c r="Y378" s="38"/>
      <c r="Z378" s="38" t="e">
        <f t="shared" si="48"/>
        <v>#DIV/0!</v>
      </c>
      <c r="AA378" s="38"/>
      <c r="AB378" s="38" t="e">
        <f t="shared" si="49"/>
        <v>#DIV/0!</v>
      </c>
      <c r="AC378" s="38" t="e">
        <f>U378/AR378</f>
        <v>#DIV/0!</v>
      </c>
      <c r="AD378" s="38" t="e">
        <f t="shared" si="52"/>
        <v>#DIV/0!</v>
      </c>
      <c r="AE378" s="33">
        <v>45397</v>
      </c>
      <c r="AF378" s="33"/>
      <c r="AG378" s="33"/>
      <c r="AH378" s="33"/>
      <c r="AI378" s="33"/>
      <c r="AJ378" s="42"/>
      <c r="AK378" s="37"/>
      <c r="AL378" s="37"/>
      <c r="AM378" s="37"/>
      <c r="AN378" s="37"/>
      <c r="AO378" s="43"/>
      <c r="AP378" s="35"/>
      <c r="AQ378" s="35"/>
      <c r="AR378" s="44"/>
      <c r="AS378" s="37" t="s">
        <v>485</v>
      </c>
    </row>
    <row r="379" spans="1:45" ht="41.25" customHeight="1" x14ac:dyDescent="0.25">
      <c r="A379" s="32" t="s">
        <v>2238</v>
      </c>
      <c r="B379" s="56">
        <v>45338</v>
      </c>
      <c r="C379" s="35">
        <v>1416</v>
      </c>
      <c r="D379" s="36"/>
      <c r="E379" s="1" t="s">
        <v>2239</v>
      </c>
      <c r="F379" s="33">
        <v>45363</v>
      </c>
      <c r="G379" s="35" t="s">
        <v>2240</v>
      </c>
      <c r="H379" s="37" t="s">
        <v>2241</v>
      </c>
      <c r="I379" s="58" t="s">
        <v>1078</v>
      </c>
      <c r="J379" s="57">
        <v>2708640</v>
      </c>
      <c r="K379" s="40">
        <f>((J379-M379)/J379)*100</f>
        <v>0</v>
      </c>
      <c r="L379" s="41">
        <f>J379-M379</f>
        <v>0</v>
      </c>
      <c r="M379" s="57">
        <v>2708640</v>
      </c>
      <c r="N379" s="41">
        <f>J379-O379</f>
        <v>0</v>
      </c>
      <c r="O379" s="57">
        <v>2708640</v>
      </c>
      <c r="P379" s="27">
        <f t="shared" si="53"/>
        <v>2708640</v>
      </c>
      <c r="Q379" s="27">
        <f t="shared" si="53"/>
        <v>2708640</v>
      </c>
      <c r="R379" s="27">
        <f>Q379/U379</f>
        <v>125.4</v>
      </c>
      <c r="S379" s="38">
        <f>Q379/U379</f>
        <v>125.4</v>
      </c>
      <c r="T379" s="38">
        <f>S379*AR379</f>
        <v>25080</v>
      </c>
      <c r="U379" s="38">
        <f t="shared" si="50"/>
        <v>21600</v>
      </c>
      <c r="V379" s="38">
        <f>14400+7200</f>
        <v>21600</v>
      </c>
      <c r="W379" s="38">
        <v>0</v>
      </c>
      <c r="X379" s="38">
        <v>0</v>
      </c>
      <c r="Y379" s="38">
        <v>14400</v>
      </c>
      <c r="Z379" s="38">
        <f t="shared" si="48"/>
        <v>1805760</v>
      </c>
      <c r="AA379" s="38">
        <v>7200</v>
      </c>
      <c r="AB379" s="38">
        <f t="shared" si="49"/>
        <v>902880</v>
      </c>
      <c r="AC379" s="38">
        <f>U379/AR379</f>
        <v>108</v>
      </c>
      <c r="AD379" s="38">
        <f t="shared" si="52"/>
        <v>108</v>
      </c>
      <c r="AE379" s="33">
        <v>45474</v>
      </c>
      <c r="AF379" s="33"/>
      <c r="AG379" s="33"/>
      <c r="AH379" s="33">
        <v>45505</v>
      </c>
      <c r="AI379" s="33"/>
      <c r="AJ379" s="42"/>
      <c r="AK379" s="37" t="s">
        <v>2242</v>
      </c>
      <c r="AL379" s="37" t="s">
        <v>2243</v>
      </c>
      <c r="AM379" s="37" t="s">
        <v>2244</v>
      </c>
      <c r="AN379" s="37" t="s">
        <v>440</v>
      </c>
      <c r="AO379" s="43">
        <v>0</v>
      </c>
      <c r="AP379" s="35">
        <v>100</v>
      </c>
      <c r="AQ379" s="35" t="s">
        <v>1118</v>
      </c>
      <c r="AR379" s="44">
        <v>200</v>
      </c>
      <c r="AS379" s="37" t="s">
        <v>52</v>
      </c>
    </row>
    <row r="380" spans="1:45" ht="48" customHeight="1" x14ac:dyDescent="0.25">
      <c r="A380" s="32" t="s">
        <v>2245</v>
      </c>
      <c r="B380" s="56">
        <v>45338</v>
      </c>
      <c r="C380" s="35" t="s">
        <v>486</v>
      </c>
      <c r="D380" s="36"/>
      <c r="E380" s="1" t="s">
        <v>2246</v>
      </c>
      <c r="F380" s="33">
        <v>45362</v>
      </c>
      <c r="G380" s="35" t="s">
        <v>2247</v>
      </c>
      <c r="H380" s="37" t="s">
        <v>2176</v>
      </c>
      <c r="I380" s="59" t="s">
        <v>1940</v>
      </c>
      <c r="J380" s="57">
        <v>26264656.800000001</v>
      </c>
      <c r="K380" s="40">
        <f>((J380-M380)/J380)*100</f>
        <v>0</v>
      </c>
      <c r="L380" s="41">
        <f>J380-M380</f>
        <v>0</v>
      </c>
      <c r="M380" s="57">
        <v>26264656.800000001</v>
      </c>
      <c r="N380" s="41">
        <f>J380-O380</f>
        <v>0</v>
      </c>
      <c r="O380" s="57">
        <v>26264656.800000001</v>
      </c>
      <c r="P380" s="27">
        <f t="shared" si="53"/>
        <v>26264656.800000001</v>
      </c>
      <c r="Q380" s="27">
        <f t="shared" si="53"/>
        <v>26264656.800000001</v>
      </c>
      <c r="R380" s="27">
        <f>Q380/U380</f>
        <v>183.31</v>
      </c>
      <c r="S380" s="38">
        <f>Q380/U380</f>
        <v>183.31</v>
      </c>
      <c r="T380" s="38">
        <f>S380*AR380</f>
        <v>5499.3</v>
      </c>
      <c r="U380" s="38">
        <f t="shared" si="50"/>
        <v>143280</v>
      </c>
      <c r="V380" s="38">
        <v>143280</v>
      </c>
      <c r="W380" s="38">
        <v>0</v>
      </c>
      <c r="X380" s="38">
        <v>0</v>
      </c>
      <c r="Y380" s="38">
        <v>0</v>
      </c>
      <c r="Z380" s="38">
        <f t="shared" si="48"/>
        <v>0</v>
      </c>
      <c r="AA380" s="38">
        <v>0</v>
      </c>
      <c r="AB380" s="38">
        <f t="shared" si="49"/>
        <v>0</v>
      </c>
      <c r="AC380" s="38">
        <f>U380/AR380</f>
        <v>4776</v>
      </c>
      <c r="AD380" s="38">
        <f t="shared" si="52"/>
        <v>4776</v>
      </c>
      <c r="AE380" s="33">
        <v>45397</v>
      </c>
      <c r="AF380" s="33"/>
      <c r="AG380" s="33"/>
      <c r="AH380" s="33">
        <v>45427</v>
      </c>
      <c r="AI380" s="33"/>
      <c r="AJ380" s="42"/>
      <c r="AK380" s="37" t="s">
        <v>1941</v>
      </c>
      <c r="AL380" s="37" t="s">
        <v>1942</v>
      </c>
      <c r="AM380" s="37" t="s">
        <v>1943</v>
      </c>
      <c r="AN380" s="37" t="s">
        <v>50</v>
      </c>
      <c r="AO380" s="43">
        <v>100</v>
      </c>
      <c r="AP380" s="35">
        <v>0</v>
      </c>
      <c r="AQ380" s="35" t="s">
        <v>441</v>
      </c>
      <c r="AR380" s="44">
        <v>30</v>
      </c>
      <c r="AS380" s="37" t="s">
        <v>52</v>
      </c>
    </row>
    <row r="381" spans="1:45" ht="48" customHeight="1" x14ac:dyDescent="0.25">
      <c r="A381" s="32" t="s">
        <v>2248</v>
      </c>
      <c r="B381" s="56">
        <v>45338</v>
      </c>
      <c r="C381" s="35" t="s">
        <v>486</v>
      </c>
      <c r="D381" s="35" t="s">
        <v>485</v>
      </c>
      <c r="E381" s="1" t="s">
        <v>2249</v>
      </c>
      <c r="F381" s="35" t="s">
        <v>485</v>
      </c>
      <c r="G381" s="35" t="s">
        <v>485</v>
      </c>
      <c r="H381" s="35" t="s">
        <v>485</v>
      </c>
      <c r="I381" s="58" t="s">
        <v>1713</v>
      </c>
      <c r="J381" s="57">
        <v>2657054.4</v>
      </c>
      <c r="K381" s="40">
        <f>((J381-M381)/J381)*100</f>
        <v>100</v>
      </c>
      <c r="L381" s="41">
        <f>J381-M381</f>
        <v>2657054.4</v>
      </c>
      <c r="M381" s="38"/>
      <c r="N381" s="41">
        <f>J381-O381</f>
        <v>2657054.4</v>
      </c>
      <c r="O381" s="38">
        <v>0</v>
      </c>
      <c r="P381" s="27">
        <f t="shared" si="53"/>
        <v>0</v>
      </c>
      <c r="Q381" s="27">
        <f t="shared" si="53"/>
        <v>0</v>
      </c>
      <c r="R381" s="27" t="e">
        <f>Q381/U381</f>
        <v>#DIV/0!</v>
      </c>
      <c r="S381" s="38" t="e">
        <f>Q381/U381</f>
        <v>#DIV/0!</v>
      </c>
      <c r="T381" s="38" t="e">
        <f>S381*AR381</f>
        <v>#DIV/0!</v>
      </c>
      <c r="U381" s="38">
        <f t="shared" si="50"/>
        <v>0</v>
      </c>
      <c r="V381" s="38">
        <v>0</v>
      </c>
      <c r="W381" s="38">
        <v>0</v>
      </c>
      <c r="X381" s="38">
        <v>0</v>
      </c>
      <c r="Y381" s="38"/>
      <c r="Z381" s="38" t="e">
        <f t="shared" si="48"/>
        <v>#DIV/0!</v>
      </c>
      <c r="AA381" s="38"/>
      <c r="AB381" s="38" t="e">
        <f t="shared" si="49"/>
        <v>#DIV/0!</v>
      </c>
      <c r="AC381" s="38" t="e">
        <f>U381/AR381</f>
        <v>#DIV/0!</v>
      </c>
      <c r="AD381" s="38" t="e">
        <f t="shared" si="52"/>
        <v>#DIV/0!</v>
      </c>
      <c r="AE381" s="33">
        <v>45397</v>
      </c>
      <c r="AF381" s="33"/>
      <c r="AG381" s="33"/>
      <c r="AH381" s="33"/>
      <c r="AI381" s="33"/>
      <c r="AJ381" s="42"/>
      <c r="AK381" s="37"/>
      <c r="AL381" s="37"/>
      <c r="AM381" s="37"/>
      <c r="AN381" s="37"/>
      <c r="AO381" s="43"/>
      <c r="AP381" s="35"/>
      <c r="AQ381" s="35"/>
      <c r="AR381" s="44"/>
      <c r="AS381" s="37" t="s">
        <v>485</v>
      </c>
    </row>
    <row r="382" spans="1:45" ht="48" customHeight="1" x14ac:dyDescent="0.25">
      <c r="A382" s="32" t="s">
        <v>2250</v>
      </c>
      <c r="B382" s="56">
        <v>45338</v>
      </c>
      <c r="C382" s="37" t="s">
        <v>2074</v>
      </c>
      <c r="D382" s="36"/>
      <c r="E382" s="1" t="s">
        <v>2251</v>
      </c>
      <c r="F382" s="33">
        <v>45351</v>
      </c>
      <c r="G382" s="32" t="s">
        <v>2252</v>
      </c>
      <c r="H382" s="37" t="s">
        <v>1166</v>
      </c>
      <c r="I382" s="58" t="s">
        <v>2253</v>
      </c>
      <c r="J382" s="57">
        <v>201371.5</v>
      </c>
      <c r="K382" s="40">
        <f>((J382-M382)/J382)*100</f>
        <v>11.308203991130821</v>
      </c>
      <c r="L382" s="41">
        <f>J382-M382</f>
        <v>22771.5</v>
      </c>
      <c r="M382" s="38">
        <v>178600</v>
      </c>
      <c r="N382" s="41">
        <f>J382-O382</f>
        <v>22771.5</v>
      </c>
      <c r="O382" s="38">
        <v>178600</v>
      </c>
      <c r="P382" s="27">
        <f t="shared" si="53"/>
        <v>178600</v>
      </c>
      <c r="Q382" s="27">
        <f t="shared" si="53"/>
        <v>178600</v>
      </c>
      <c r="R382" s="27">
        <f>Q382/U382</f>
        <v>20</v>
      </c>
      <c r="S382" s="38">
        <f>Q382/U382</f>
        <v>20</v>
      </c>
      <c r="T382" s="38">
        <f>S382*AR382</f>
        <v>100</v>
      </c>
      <c r="U382" s="38">
        <f t="shared" si="50"/>
        <v>8930</v>
      </c>
      <c r="V382" s="38">
        <v>8930</v>
      </c>
      <c r="W382" s="38">
        <v>0</v>
      </c>
      <c r="X382" s="38">
        <v>0</v>
      </c>
      <c r="Y382" s="38">
        <v>0</v>
      </c>
      <c r="Z382" s="38">
        <f t="shared" si="48"/>
        <v>0</v>
      </c>
      <c r="AA382" s="38">
        <v>0</v>
      </c>
      <c r="AB382" s="38">
        <f t="shared" si="49"/>
        <v>0</v>
      </c>
      <c r="AC382" s="38">
        <f>U382/AR382</f>
        <v>1786</v>
      </c>
      <c r="AD382" s="38">
        <f t="shared" si="52"/>
        <v>1786</v>
      </c>
      <c r="AE382" s="33">
        <v>45397</v>
      </c>
      <c r="AF382" s="33"/>
      <c r="AG382" s="33"/>
      <c r="AH382" s="33">
        <v>45427</v>
      </c>
      <c r="AI382" s="33"/>
      <c r="AJ382" s="42"/>
      <c r="AK382" s="37" t="s">
        <v>2254</v>
      </c>
      <c r="AL382" s="37" t="s">
        <v>2255</v>
      </c>
      <c r="AM382" s="37" t="s">
        <v>2256</v>
      </c>
      <c r="AN382" s="37" t="s">
        <v>50</v>
      </c>
      <c r="AO382" s="43">
        <v>100</v>
      </c>
      <c r="AP382" s="35">
        <v>0</v>
      </c>
      <c r="AQ382" s="35" t="s">
        <v>441</v>
      </c>
      <c r="AR382" s="44">
        <v>5</v>
      </c>
      <c r="AS382" s="37" t="s">
        <v>176</v>
      </c>
    </row>
    <row r="383" spans="1:45" ht="48" customHeight="1" x14ac:dyDescent="0.25">
      <c r="A383" s="32" t="s">
        <v>2257</v>
      </c>
      <c r="B383" s="56">
        <v>45338</v>
      </c>
      <c r="C383" s="37" t="s">
        <v>2074</v>
      </c>
      <c r="D383" s="36"/>
      <c r="E383" s="1" t="s">
        <v>2258</v>
      </c>
      <c r="F383" s="33">
        <v>45351</v>
      </c>
      <c r="G383" s="32" t="s">
        <v>2259</v>
      </c>
      <c r="H383" s="37" t="s">
        <v>291</v>
      </c>
      <c r="I383" s="58" t="s">
        <v>2110</v>
      </c>
      <c r="J383" s="57">
        <v>9343867.1999999993</v>
      </c>
      <c r="K383" s="40">
        <f>((J383-M383)/J383)*100</f>
        <v>0</v>
      </c>
      <c r="L383" s="41">
        <f>J383-M383</f>
        <v>0</v>
      </c>
      <c r="M383" s="57">
        <v>9343867.1999999993</v>
      </c>
      <c r="N383" s="41">
        <f>J383-O383</f>
        <v>0</v>
      </c>
      <c r="O383" s="57">
        <v>9343867.1999999993</v>
      </c>
      <c r="P383" s="27">
        <f t="shared" si="53"/>
        <v>9343867.1999999993</v>
      </c>
      <c r="Q383" s="27">
        <f t="shared" si="53"/>
        <v>9343867.1999999993</v>
      </c>
      <c r="R383" s="27">
        <f>Q383/U383</f>
        <v>32.39</v>
      </c>
      <c r="S383" s="38">
        <f>Q383/U383</f>
        <v>32.39</v>
      </c>
      <c r="T383" s="38" t="e">
        <f>S383*AR383</f>
        <v>#VALUE!</v>
      </c>
      <c r="U383" s="38">
        <f t="shared" si="50"/>
        <v>288480</v>
      </c>
      <c r="V383" s="38">
        <v>288480</v>
      </c>
      <c r="W383" s="38">
        <v>0</v>
      </c>
      <c r="X383" s="38">
        <v>0</v>
      </c>
      <c r="Y383" s="38">
        <v>0</v>
      </c>
      <c r="Z383" s="38">
        <f t="shared" si="48"/>
        <v>0</v>
      </c>
      <c r="AA383" s="38">
        <v>0</v>
      </c>
      <c r="AB383" s="38">
        <f t="shared" si="49"/>
        <v>0</v>
      </c>
      <c r="AC383" s="38" t="e">
        <f>U383/AR383</f>
        <v>#VALUE!</v>
      </c>
      <c r="AD383" s="38" t="e">
        <f t="shared" si="52"/>
        <v>#VALUE!</v>
      </c>
      <c r="AE383" s="33">
        <v>45397</v>
      </c>
      <c r="AF383" s="33"/>
      <c r="AG383" s="33"/>
      <c r="AH383" s="33">
        <v>45427</v>
      </c>
      <c r="AI383" s="33"/>
      <c r="AJ383" s="42"/>
      <c r="AK383" s="37" t="s">
        <v>2260</v>
      </c>
      <c r="AL383" s="37" t="s">
        <v>2261</v>
      </c>
      <c r="AM383" s="37" t="s">
        <v>2262</v>
      </c>
      <c r="AN383" s="37" t="s">
        <v>50</v>
      </c>
      <c r="AO383" s="43">
        <v>100</v>
      </c>
      <c r="AP383" s="35">
        <v>0</v>
      </c>
      <c r="AQ383" s="35" t="s">
        <v>441</v>
      </c>
      <c r="AR383" s="48" t="s">
        <v>2263</v>
      </c>
      <c r="AS383" s="37" t="s">
        <v>52</v>
      </c>
    </row>
    <row r="384" spans="1:45" ht="48" customHeight="1" x14ac:dyDescent="0.25">
      <c r="A384" s="32" t="s">
        <v>2264</v>
      </c>
      <c r="B384" s="56">
        <v>45338</v>
      </c>
      <c r="C384" s="35" t="s">
        <v>486</v>
      </c>
      <c r="D384" s="35" t="s">
        <v>485</v>
      </c>
      <c r="E384" s="1" t="s">
        <v>2265</v>
      </c>
      <c r="F384" s="35" t="s">
        <v>485</v>
      </c>
      <c r="G384" s="35" t="s">
        <v>485</v>
      </c>
      <c r="H384" s="35" t="s">
        <v>485</v>
      </c>
      <c r="I384" s="58" t="s">
        <v>1558</v>
      </c>
      <c r="J384" s="57">
        <v>317722048.5</v>
      </c>
      <c r="K384" s="40">
        <f>((J384-M384)/J384)*100</f>
        <v>100</v>
      </c>
      <c r="L384" s="41">
        <f>J384-M384</f>
        <v>317722048.5</v>
      </c>
      <c r="M384" s="38"/>
      <c r="N384" s="41">
        <f>J384-O384</f>
        <v>317722048.5</v>
      </c>
      <c r="O384" s="38">
        <v>0</v>
      </c>
      <c r="P384" s="27">
        <f t="shared" si="53"/>
        <v>0</v>
      </c>
      <c r="Q384" s="27">
        <f t="shared" si="53"/>
        <v>0</v>
      </c>
      <c r="R384" s="27" t="e">
        <f>Q384/U384</f>
        <v>#DIV/0!</v>
      </c>
      <c r="S384" s="38" t="e">
        <f>Q384/U384</f>
        <v>#DIV/0!</v>
      </c>
      <c r="T384" s="38" t="e">
        <f>S384*AR384</f>
        <v>#DIV/0!</v>
      </c>
      <c r="U384" s="38">
        <f t="shared" si="50"/>
        <v>0</v>
      </c>
      <c r="V384" s="38">
        <v>0</v>
      </c>
      <c r="W384" s="38">
        <v>0</v>
      </c>
      <c r="X384" s="38">
        <v>0</v>
      </c>
      <c r="Y384" s="38"/>
      <c r="Z384" s="38" t="e">
        <f t="shared" si="48"/>
        <v>#DIV/0!</v>
      </c>
      <c r="AA384" s="38"/>
      <c r="AB384" s="38" t="e">
        <f t="shared" si="49"/>
        <v>#DIV/0!</v>
      </c>
      <c r="AC384" s="38" t="e">
        <f>U384/AR384</f>
        <v>#DIV/0!</v>
      </c>
      <c r="AD384" s="38" t="e">
        <f t="shared" si="52"/>
        <v>#DIV/0!</v>
      </c>
      <c r="AE384" s="33">
        <v>45397</v>
      </c>
      <c r="AF384" s="33"/>
      <c r="AG384" s="33"/>
      <c r="AH384" s="33"/>
      <c r="AI384" s="33"/>
      <c r="AJ384" s="42"/>
      <c r="AK384" s="37"/>
      <c r="AL384" s="37"/>
      <c r="AM384" s="37"/>
      <c r="AN384" s="37"/>
      <c r="AO384" s="43"/>
      <c r="AP384" s="35"/>
      <c r="AQ384" s="35"/>
      <c r="AR384" s="44"/>
      <c r="AS384" s="37" t="s">
        <v>485</v>
      </c>
    </row>
    <row r="385" spans="1:45" ht="48" customHeight="1" x14ac:dyDescent="0.25">
      <c r="A385" s="32" t="s">
        <v>2266</v>
      </c>
      <c r="B385" s="56">
        <v>45338</v>
      </c>
      <c r="C385" s="35">
        <v>545</v>
      </c>
      <c r="D385" s="36"/>
      <c r="E385" s="1" t="s">
        <v>2267</v>
      </c>
      <c r="F385" s="33">
        <v>45362</v>
      </c>
      <c r="G385" s="35" t="s">
        <v>2268</v>
      </c>
      <c r="H385" s="37" t="s">
        <v>1897</v>
      </c>
      <c r="I385" s="59" t="s">
        <v>461</v>
      </c>
      <c r="J385" s="57">
        <v>19348243.199999999</v>
      </c>
      <c r="K385" s="40">
        <f>((J385-M385)/J385)*100</f>
        <v>0</v>
      </c>
      <c r="L385" s="41">
        <f>J385-M385</f>
        <v>0</v>
      </c>
      <c r="M385" s="57">
        <v>19348243.199999999</v>
      </c>
      <c r="N385" s="41">
        <f>J385-O385</f>
        <v>0</v>
      </c>
      <c r="O385" s="38">
        <v>19348243.199999999</v>
      </c>
      <c r="P385" s="27">
        <f t="shared" si="53"/>
        <v>19348243.199999999</v>
      </c>
      <c r="Q385" s="27">
        <f t="shared" si="53"/>
        <v>19348243.199999999</v>
      </c>
      <c r="R385" s="27">
        <f>Q385/U385</f>
        <v>6201.36</v>
      </c>
      <c r="S385" s="38">
        <f>Q385/U385</f>
        <v>6201.36</v>
      </c>
      <c r="T385" s="38">
        <f>S385*AR385</f>
        <v>372081.6</v>
      </c>
      <c r="U385" s="38">
        <f t="shared" si="50"/>
        <v>3120</v>
      </c>
      <c r="V385" s="38">
        <v>3120</v>
      </c>
      <c r="W385" s="38">
        <v>0</v>
      </c>
      <c r="X385" s="38">
        <v>0</v>
      </c>
      <c r="Y385" s="38">
        <v>0</v>
      </c>
      <c r="Z385" s="38">
        <f t="shared" si="48"/>
        <v>0</v>
      </c>
      <c r="AA385" s="38">
        <v>0</v>
      </c>
      <c r="AB385" s="38">
        <f t="shared" si="49"/>
        <v>0</v>
      </c>
      <c r="AC385" s="38">
        <f>U385/AR385</f>
        <v>52</v>
      </c>
      <c r="AD385" s="38">
        <f t="shared" si="52"/>
        <v>52</v>
      </c>
      <c r="AE385" s="33">
        <v>45376</v>
      </c>
      <c r="AF385" s="33"/>
      <c r="AG385" s="33"/>
      <c r="AH385" s="33">
        <v>45407</v>
      </c>
      <c r="AI385" s="33"/>
      <c r="AJ385" s="42"/>
      <c r="AK385" s="37" t="s">
        <v>437</v>
      </c>
      <c r="AL385" s="37" t="s">
        <v>1898</v>
      </c>
      <c r="AM385" s="37" t="s">
        <v>439</v>
      </c>
      <c r="AN385" s="37" t="s">
        <v>440</v>
      </c>
      <c r="AO385" s="43">
        <v>0</v>
      </c>
      <c r="AP385" s="35">
        <v>100</v>
      </c>
      <c r="AQ385" s="35" t="s">
        <v>441</v>
      </c>
      <c r="AR385" s="44">
        <v>60</v>
      </c>
      <c r="AS385" s="37" t="s">
        <v>52</v>
      </c>
    </row>
    <row r="386" spans="1:45" ht="48" customHeight="1" x14ac:dyDescent="0.25">
      <c r="A386" s="32" t="s">
        <v>2269</v>
      </c>
      <c r="B386" s="56">
        <v>45338</v>
      </c>
      <c r="C386" s="35">
        <v>545</v>
      </c>
      <c r="D386" s="36"/>
      <c r="E386" s="1" t="s">
        <v>2270</v>
      </c>
      <c r="F386" s="33">
        <v>45362</v>
      </c>
      <c r="G386" s="35" t="s">
        <v>2271</v>
      </c>
      <c r="H386" s="37" t="s">
        <v>1897</v>
      </c>
      <c r="I386" s="59" t="s">
        <v>461</v>
      </c>
      <c r="J386" s="57">
        <v>18231998.399999999</v>
      </c>
      <c r="K386" s="40">
        <f>((J386-M386)/J386)*100</f>
        <v>0</v>
      </c>
      <c r="L386" s="41">
        <f>J386-M386</f>
        <v>0</v>
      </c>
      <c r="M386" s="57">
        <v>18231998.399999999</v>
      </c>
      <c r="N386" s="41">
        <f>J386-O386</f>
        <v>0</v>
      </c>
      <c r="O386" s="38">
        <v>18231998.399999999</v>
      </c>
      <c r="P386" s="27">
        <v>20836569.600000001</v>
      </c>
      <c r="Q386" s="27">
        <f t="shared" ref="Q386:Q449" si="54">P386</f>
        <v>20836569.600000001</v>
      </c>
      <c r="R386" s="27">
        <f>Q386/U386</f>
        <v>6201.3600000000006</v>
      </c>
      <c r="S386" s="38">
        <f>Q386/U386</f>
        <v>6201.3600000000006</v>
      </c>
      <c r="T386" s="38">
        <f>S386*AR386</f>
        <v>372081.60000000003</v>
      </c>
      <c r="U386" s="38">
        <f t="shared" si="50"/>
        <v>3360</v>
      </c>
      <c r="V386" s="38">
        <f>2940+420</f>
        <v>3360</v>
      </c>
      <c r="W386" s="38">
        <v>0</v>
      </c>
      <c r="X386" s="38">
        <v>0</v>
      </c>
      <c r="Y386" s="38">
        <v>0</v>
      </c>
      <c r="Z386" s="38">
        <f t="shared" si="48"/>
        <v>0</v>
      </c>
      <c r="AA386" s="38">
        <v>0</v>
      </c>
      <c r="AB386" s="38">
        <f t="shared" si="49"/>
        <v>0</v>
      </c>
      <c r="AC386" s="38">
        <f>U386/AR386</f>
        <v>56</v>
      </c>
      <c r="AD386" s="38">
        <f t="shared" si="52"/>
        <v>56</v>
      </c>
      <c r="AE386" s="33">
        <v>45376</v>
      </c>
      <c r="AF386" s="33"/>
      <c r="AG386" s="33"/>
      <c r="AH386" s="33">
        <v>45407</v>
      </c>
      <c r="AI386" s="33"/>
      <c r="AJ386" s="42"/>
      <c r="AK386" s="37" t="s">
        <v>437</v>
      </c>
      <c r="AL386" s="37" t="s">
        <v>1898</v>
      </c>
      <c r="AM386" s="37" t="s">
        <v>439</v>
      </c>
      <c r="AN386" s="37" t="s">
        <v>440</v>
      </c>
      <c r="AO386" s="43">
        <v>0</v>
      </c>
      <c r="AP386" s="35">
        <v>100</v>
      </c>
      <c r="AQ386" s="35" t="s">
        <v>441</v>
      </c>
      <c r="AR386" s="44">
        <v>60</v>
      </c>
      <c r="AS386" s="37" t="s">
        <v>52</v>
      </c>
    </row>
    <row r="387" spans="1:45" ht="48" customHeight="1" x14ac:dyDescent="0.25">
      <c r="A387" s="32" t="s">
        <v>2272</v>
      </c>
      <c r="B387" s="56">
        <v>45338</v>
      </c>
      <c r="C387" s="35">
        <v>545</v>
      </c>
      <c r="D387" s="36"/>
      <c r="E387" s="1" t="s">
        <v>2273</v>
      </c>
      <c r="F387" s="33">
        <v>45362</v>
      </c>
      <c r="G387" s="35" t="s">
        <v>2274</v>
      </c>
      <c r="H387" s="37" t="s">
        <v>1897</v>
      </c>
      <c r="I387" s="59" t="s">
        <v>461</v>
      </c>
      <c r="J387" s="57">
        <v>18604080</v>
      </c>
      <c r="K387" s="40">
        <f>((J387-M387)/J387)*100</f>
        <v>0</v>
      </c>
      <c r="L387" s="41">
        <f>J387-M387</f>
        <v>0</v>
      </c>
      <c r="M387" s="57">
        <v>18604080</v>
      </c>
      <c r="N387" s="41">
        <f>J387-O387</f>
        <v>0</v>
      </c>
      <c r="O387" s="38">
        <v>18604080</v>
      </c>
      <c r="P387" s="27">
        <f t="shared" ref="P387:P448" si="55">O387</f>
        <v>18604080</v>
      </c>
      <c r="Q387" s="27">
        <f t="shared" si="54"/>
        <v>18604080</v>
      </c>
      <c r="R387" s="27">
        <f>Q387/U387</f>
        <v>6201.36</v>
      </c>
      <c r="S387" s="38">
        <f>Q387/U387</f>
        <v>6201.36</v>
      </c>
      <c r="T387" s="38">
        <f>S387*AR387</f>
        <v>372081.6</v>
      </c>
      <c r="U387" s="38">
        <f t="shared" si="50"/>
        <v>3000</v>
      </c>
      <c r="V387" s="38">
        <v>3000</v>
      </c>
      <c r="W387" s="38">
        <v>0</v>
      </c>
      <c r="X387" s="38">
        <v>0</v>
      </c>
      <c r="Y387" s="38">
        <v>0</v>
      </c>
      <c r="Z387" s="38">
        <f t="shared" si="48"/>
        <v>0</v>
      </c>
      <c r="AA387" s="38">
        <v>0</v>
      </c>
      <c r="AB387" s="38">
        <f t="shared" si="49"/>
        <v>0</v>
      </c>
      <c r="AC387" s="38">
        <f>U387/AR387</f>
        <v>50</v>
      </c>
      <c r="AD387" s="38">
        <f t="shared" si="52"/>
        <v>50</v>
      </c>
      <c r="AE387" s="33">
        <v>45376</v>
      </c>
      <c r="AF387" s="33"/>
      <c r="AG387" s="33"/>
      <c r="AH387" s="33">
        <v>45407</v>
      </c>
      <c r="AI387" s="33"/>
      <c r="AJ387" s="42"/>
      <c r="AK387" s="37" t="s">
        <v>437</v>
      </c>
      <c r="AL387" s="37" t="s">
        <v>1898</v>
      </c>
      <c r="AM387" s="37" t="s">
        <v>439</v>
      </c>
      <c r="AN387" s="37" t="s">
        <v>440</v>
      </c>
      <c r="AO387" s="43">
        <v>0</v>
      </c>
      <c r="AP387" s="35">
        <v>100</v>
      </c>
      <c r="AQ387" s="35" t="s">
        <v>441</v>
      </c>
      <c r="AR387" s="44">
        <v>60</v>
      </c>
      <c r="AS387" s="37" t="s">
        <v>52</v>
      </c>
    </row>
    <row r="388" spans="1:45" ht="48" customHeight="1" x14ac:dyDescent="0.25">
      <c r="A388" s="32" t="s">
        <v>2275</v>
      </c>
      <c r="B388" s="56">
        <v>45338</v>
      </c>
      <c r="C388" s="35">
        <v>545</v>
      </c>
      <c r="D388" s="36"/>
      <c r="E388" s="1" t="s">
        <v>2276</v>
      </c>
      <c r="F388" s="33">
        <v>45362</v>
      </c>
      <c r="G388" s="35" t="s">
        <v>2277</v>
      </c>
      <c r="H388" s="37" t="s">
        <v>1897</v>
      </c>
      <c r="I388" s="59" t="s">
        <v>461</v>
      </c>
      <c r="J388" s="57">
        <v>19720324.800000001</v>
      </c>
      <c r="K388" s="40">
        <f>((J388-M388)/J388)*100</f>
        <v>0</v>
      </c>
      <c r="L388" s="41">
        <f>J388-M388</f>
        <v>0</v>
      </c>
      <c r="M388" s="57">
        <v>19720324.800000001</v>
      </c>
      <c r="N388" s="41">
        <f>J388-O388</f>
        <v>0</v>
      </c>
      <c r="O388" s="38">
        <v>19720324.800000001</v>
      </c>
      <c r="P388" s="27">
        <f t="shared" si="55"/>
        <v>19720324.800000001</v>
      </c>
      <c r="Q388" s="27">
        <f t="shared" si="54"/>
        <v>19720324.800000001</v>
      </c>
      <c r="R388" s="27">
        <f>Q388/U388</f>
        <v>6201.3600000000006</v>
      </c>
      <c r="S388" s="38">
        <f>Q388/U388</f>
        <v>6201.3600000000006</v>
      </c>
      <c r="T388" s="38">
        <f>S388*AR388</f>
        <v>372081.60000000003</v>
      </c>
      <c r="U388" s="38">
        <f t="shared" si="50"/>
        <v>3180</v>
      </c>
      <c r="V388" s="38">
        <v>3180</v>
      </c>
      <c r="W388" s="38">
        <v>0</v>
      </c>
      <c r="X388" s="38">
        <v>0</v>
      </c>
      <c r="Y388" s="38">
        <v>0</v>
      </c>
      <c r="Z388" s="38">
        <f t="shared" si="48"/>
        <v>0</v>
      </c>
      <c r="AA388" s="38">
        <v>0</v>
      </c>
      <c r="AB388" s="38">
        <f t="shared" si="49"/>
        <v>0</v>
      </c>
      <c r="AC388" s="38">
        <f>U388/AR388</f>
        <v>53</v>
      </c>
      <c r="AD388" s="38">
        <f t="shared" si="52"/>
        <v>53</v>
      </c>
      <c r="AE388" s="33">
        <v>45376</v>
      </c>
      <c r="AF388" s="33"/>
      <c r="AG388" s="33"/>
      <c r="AH388" s="33">
        <v>45407</v>
      </c>
      <c r="AI388" s="33"/>
      <c r="AJ388" s="42"/>
      <c r="AK388" s="37" t="s">
        <v>437</v>
      </c>
      <c r="AL388" s="37" t="s">
        <v>1898</v>
      </c>
      <c r="AM388" s="37" t="s">
        <v>439</v>
      </c>
      <c r="AN388" s="37" t="s">
        <v>440</v>
      </c>
      <c r="AO388" s="43">
        <v>0</v>
      </c>
      <c r="AP388" s="35">
        <v>100</v>
      </c>
      <c r="AQ388" s="35" t="s">
        <v>441</v>
      </c>
      <c r="AR388" s="44">
        <v>60</v>
      </c>
      <c r="AS388" s="37" t="s">
        <v>52</v>
      </c>
    </row>
    <row r="389" spans="1:45" ht="48" customHeight="1" x14ac:dyDescent="0.25">
      <c r="A389" s="32" t="s">
        <v>2278</v>
      </c>
      <c r="B389" s="56">
        <v>45338</v>
      </c>
      <c r="C389" s="35">
        <v>545</v>
      </c>
      <c r="D389" s="36"/>
      <c r="E389" s="1" t="s">
        <v>2279</v>
      </c>
      <c r="F389" s="33">
        <v>45362</v>
      </c>
      <c r="G389" s="35" t="s">
        <v>2280</v>
      </c>
      <c r="H389" s="37" t="s">
        <v>1897</v>
      </c>
      <c r="I389" s="59" t="s">
        <v>461</v>
      </c>
      <c r="J389" s="57">
        <v>18976161.600000001</v>
      </c>
      <c r="K389" s="40">
        <f>((J389-M389)/J389)*100</f>
        <v>0</v>
      </c>
      <c r="L389" s="41">
        <f>J389-M389</f>
        <v>0</v>
      </c>
      <c r="M389" s="57">
        <v>18976161.600000001</v>
      </c>
      <c r="N389" s="41">
        <f>J389-O389</f>
        <v>0</v>
      </c>
      <c r="O389" s="38">
        <v>18976161.600000001</v>
      </c>
      <c r="P389" s="27">
        <f t="shared" si="55"/>
        <v>18976161.600000001</v>
      </c>
      <c r="Q389" s="27">
        <f t="shared" si="54"/>
        <v>18976161.600000001</v>
      </c>
      <c r="R389" s="27">
        <f>Q389/U389</f>
        <v>6201.3600000000006</v>
      </c>
      <c r="S389" s="38">
        <f>Q389/U389</f>
        <v>6201.3600000000006</v>
      </c>
      <c r="T389" s="38">
        <f>S389*AR389</f>
        <v>372081.60000000003</v>
      </c>
      <c r="U389" s="38">
        <f t="shared" si="50"/>
        <v>3060</v>
      </c>
      <c r="V389" s="38">
        <v>3060</v>
      </c>
      <c r="W389" s="38">
        <v>0</v>
      </c>
      <c r="X389" s="38">
        <v>0</v>
      </c>
      <c r="Y389" s="38">
        <v>0</v>
      </c>
      <c r="Z389" s="38">
        <f t="shared" si="48"/>
        <v>0</v>
      </c>
      <c r="AA389" s="38">
        <v>0</v>
      </c>
      <c r="AB389" s="38">
        <f t="shared" si="49"/>
        <v>0</v>
      </c>
      <c r="AC389" s="38">
        <f>U389/AR389</f>
        <v>51</v>
      </c>
      <c r="AD389" s="38">
        <f t="shared" si="52"/>
        <v>51</v>
      </c>
      <c r="AE389" s="33">
        <v>45376</v>
      </c>
      <c r="AF389" s="33"/>
      <c r="AG389" s="33"/>
      <c r="AH389" s="33">
        <v>45407</v>
      </c>
      <c r="AI389" s="33"/>
      <c r="AJ389" s="42"/>
      <c r="AK389" s="37" t="s">
        <v>437</v>
      </c>
      <c r="AL389" s="37" t="s">
        <v>1898</v>
      </c>
      <c r="AM389" s="37" t="s">
        <v>439</v>
      </c>
      <c r="AN389" s="37" t="s">
        <v>440</v>
      </c>
      <c r="AO389" s="43">
        <v>0</v>
      </c>
      <c r="AP389" s="35">
        <v>100</v>
      </c>
      <c r="AQ389" s="35" t="s">
        <v>441</v>
      </c>
      <c r="AR389" s="44">
        <v>60</v>
      </c>
      <c r="AS389" s="37" t="s">
        <v>52</v>
      </c>
    </row>
    <row r="390" spans="1:45" ht="48" customHeight="1" x14ac:dyDescent="0.25">
      <c r="A390" s="32" t="s">
        <v>2281</v>
      </c>
      <c r="B390" s="56">
        <v>45341</v>
      </c>
      <c r="C390" s="37" t="s">
        <v>2074</v>
      </c>
      <c r="D390" s="36"/>
      <c r="E390" s="1" t="s">
        <v>2282</v>
      </c>
      <c r="F390" s="33">
        <v>45352</v>
      </c>
      <c r="G390" s="35" t="s">
        <v>2283</v>
      </c>
      <c r="H390" s="37" t="s">
        <v>2061</v>
      </c>
      <c r="I390" s="59" t="s">
        <v>2284</v>
      </c>
      <c r="J390" s="57">
        <v>3580357.4</v>
      </c>
      <c r="K390" s="40">
        <f>((J390-M390)/J390)*100</f>
        <v>24.916573971078975</v>
      </c>
      <c r="L390" s="41">
        <f>J390-M390</f>
        <v>892102.39999999991</v>
      </c>
      <c r="M390" s="38">
        <v>2688255</v>
      </c>
      <c r="N390" s="41">
        <f>J390-O390</f>
        <v>892102.39999999991</v>
      </c>
      <c r="O390" s="38">
        <v>2688255</v>
      </c>
      <c r="P390" s="27">
        <f t="shared" si="55"/>
        <v>2688255</v>
      </c>
      <c r="Q390" s="27">
        <f t="shared" si="54"/>
        <v>2688255</v>
      </c>
      <c r="R390" s="27">
        <f>Q390/U390</f>
        <v>13.5</v>
      </c>
      <c r="S390" s="38">
        <f>Q390/U390</f>
        <v>13.5</v>
      </c>
      <c r="T390" s="38">
        <f>S390*AR390</f>
        <v>1350</v>
      </c>
      <c r="U390" s="38">
        <f t="shared" si="50"/>
        <v>199130</v>
      </c>
      <c r="V390" s="38">
        <v>199130</v>
      </c>
      <c r="W390" s="38">
        <v>0</v>
      </c>
      <c r="X390" s="38">
        <v>0</v>
      </c>
      <c r="Y390" s="38">
        <v>0</v>
      </c>
      <c r="Z390" s="38">
        <f t="shared" si="48"/>
        <v>0</v>
      </c>
      <c r="AA390" s="38">
        <v>0</v>
      </c>
      <c r="AB390" s="38">
        <f t="shared" si="49"/>
        <v>0</v>
      </c>
      <c r="AC390" s="38">
        <f>U390/AR390</f>
        <v>1991.3</v>
      </c>
      <c r="AD390" s="38">
        <f t="shared" si="52"/>
        <v>1992</v>
      </c>
      <c r="AE390" s="33">
        <v>45397</v>
      </c>
      <c r="AF390" s="33"/>
      <c r="AG390" s="33"/>
      <c r="AH390" s="33">
        <v>45427</v>
      </c>
      <c r="AI390" s="33"/>
      <c r="AJ390" s="42"/>
      <c r="AK390" s="37" t="s">
        <v>2285</v>
      </c>
      <c r="AL390" s="37" t="s">
        <v>2286</v>
      </c>
      <c r="AM390" s="37" t="s">
        <v>2287</v>
      </c>
      <c r="AN390" s="37" t="s">
        <v>50</v>
      </c>
      <c r="AO390" s="43">
        <v>100</v>
      </c>
      <c r="AP390" s="35">
        <v>0</v>
      </c>
      <c r="AQ390" s="35" t="s">
        <v>441</v>
      </c>
      <c r="AR390" s="44">
        <v>100</v>
      </c>
      <c r="AS390" s="37" t="s">
        <v>52</v>
      </c>
    </row>
    <row r="391" spans="1:45" ht="48" customHeight="1" x14ac:dyDescent="0.25">
      <c r="A391" s="32" t="s">
        <v>2288</v>
      </c>
      <c r="B391" s="56">
        <v>45341</v>
      </c>
      <c r="C391" s="37" t="s">
        <v>2074</v>
      </c>
      <c r="D391" s="36" t="s">
        <v>485</v>
      </c>
      <c r="E391" s="1" t="s">
        <v>2289</v>
      </c>
      <c r="F391" s="36" t="s">
        <v>485</v>
      </c>
      <c r="G391" s="36" t="s">
        <v>485</v>
      </c>
      <c r="H391" s="36" t="s">
        <v>485</v>
      </c>
      <c r="I391" s="58" t="s">
        <v>2290</v>
      </c>
      <c r="J391" s="57">
        <v>27390</v>
      </c>
      <c r="K391" s="40">
        <f>((J391-M391)/J391)*100</f>
        <v>100</v>
      </c>
      <c r="L391" s="41">
        <f>J391-M391</f>
        <v>27390</v>
      </c>
      <c r="M391" s="38"/>
      <c r="N391" s="41">
        <f>J391-O391</f>
        <v>27390</v>
      </c>
      <c r="O391" s="38">
        <v>0</v>
      </c>
      <c r="P391" s="27">
        <f t="shared" si="55"/>
        <v>0</v>
      </c>
      <c r="Q391" s="27">
        <f t="shared" si="54"/>
        <v>0</v>
      </c>
      <c r="R391" s="27" t="e">
        <f>Q391/U391</f>
        <v>#DIV/0!</v>
      </c>
      <c r="S391" s="38" t="e">
        <f>Q391/U391</f>
        <v>#DIV/0!</v>
      </c>
      <c r="T391" s="38" t="e">
        <f>S391*AR391</f>
        <v>#DIV/0!</v>
      </c>
      <c r="U391" s="38">
        <f t="shared" si="50"/>
        <v>0</v>
      </c>
      <c r="V391" s="38">
        <v>0</v>
      </c>
      <c r="W391" s="38">
        <v>0</v>
      </c>
      <c r="X391" s="38">
        <v>0</v>
      </c>
      <c r="Y391" s="38"/>
      <c r="Z391" s="38" t="e">
        <f t="shared" si="48"/>
        <v>#DIV/0!</v>
      </c>
      <c r="AA391" s="38"/>
      <c r="AB391" s="38" t="e">
        <f t="shared" si="49"/>
        <v>#DIV/0!</v>
      </c>
      <c r="AC391" s="38" t="e">
        <f>U391/AR391</f>
        <v>#DIV/0!</v>
      </c>
      <c r="AD391" s="38" t="e">
        <f t="shared" si="52"/>
        <v>#DIV/0!</v>
      </c>
      <c r="AE391" s="33">
        <v>45397</v>
      </c>
      <c r="AF391" s="33"/>
      <c r="AG391" s="33"/>
      <c r="AH391" s="33"/>
      <c r="AI391" s="33"/>
      <c r="AJ391" s="42"/>
      <c r="AK391" s="37"/>
      <c r="AL391" s="37"/>
      <c r="AM391" s="37"/>
      <c r="AN391" s="37"/>
      <c r="AO391" s="43"/>
      <c r="AP391" s="35"/>
      <c r="AQ391" s="35"/>
      <c r="AR391" s="44"/>
      <c r="AS391" s="37" t="s">
        <v>485</v>
      </c>
    </row>
    <row r="392" spans="1:45" ht="48" customHeight="1" x14ac:dyDescent="0.25">
      <c r="A392" s="32" t="s">
        <v>2291</v>
      </c>
      <c r="B392" s="56">
        <v>45341</v>
      </c>
      <c r="C392" s="35" t="s">
        <v>486</v>
      </c>
      <c r="D392" s="35" t="s">
        <v>485</v>
      </c>
      <c r="E392" s="1" t="s">
        <v>2292</v>
      </c>
      <c r="F392" s="35" t="s">
        <v>485</v>
      </c>
      <c r="G392" s="35" t="s">
        <v>485</v>
      </c>
      <c r="H392" s="35" t="s">
        <v>485</v>
      </c>
      <c r="I392" s="58" t="s">
        <v>1753</v>
      </c>
      <c r="J392" s="57">
        <v>799818030</v>
      </c>
      <c r="K392" s="40">
        <f>((J392-M392)/J392)*100</f>
        <v>100</v>
      </c>
      <c r="L392" s="41">
        <f>J392-M392</f>
        <v>799818030</v>
      </c>
      <c r="M392" s="38"/>
      <c r="N392" s="41">
        <f>J392-O392</f>
        <v>799818030</v>
      </c>
      <c r="O392" s="38">
        <v>0</v>
      </c>
      <c r="P392" s="27">
        <f t="shared" si="55"/>
        <v>0</v>
      </c>
      <c r="Q392" s="27">
        <f t="shared" si="54"/>
        <v>0</v>
      </c>
      <c r="R392" s="27" t="e">
        <f>Q392/U392</f>
        <v>#DIV/0!</v>
      </c>
      <c r="S392" s="38" t="e">
        <f>Q392/U392</f>
        <v>#DIV/0!</v>
      </c>
      <c r="T392" s="38" t="e">
        <f>S392*AR392</f>
        <v>#DIV/0!</v>
      </c>
      <c r="U392" s="38">
        <f t="shared" si="50"/>
        <v>0</v>
      </c>
      <c r="V392" s="38">
        <v>0</v>
      </c>
      <c r="W392" s="38">
        <v>0</v>
      </c>
      <c r="X392" s="38">
        <v>0</v>
      </c>
      <c r="Y392" s="38"/>
      <c r="Z392" s="38" t="e">
        <f t="shared" si="48"/>
        <v>#DIV/0!</v>
      </c>
      <c r="AA392" s="38"/>
      <c r="AB392" s="38" t="e">
        <f t="shared" si="49"/>
        <v>#DIV/0!</v>
      </c>
      <c r="AC392" s="38" t="e">
        <f>U392/AR392</f>
        <v>#DIV/0!</v>
      </c>
      <c r="AD392" s="38" t="e">
        <f t="shared" si="52"/>
        <v>#DIV/0!</v>
      </c>
      <c r="AE392" s="33">
        <v>45397</v>
      </c>
      <c r="AF392" s="33"/>
      <c r="AG392" s="33"/>
      <c r="AH392" s="33"/>
      <c r="AI392" s="33"/>
      <c r="AJ392" s="42"/>
      <c r="AK392" s="37"/>
      <c r="AL392" s="37"/>
      <c r="AM392" s="37"/>
      <c r="AN392" s="37"/>
      <c r="AO392" s="43"/>
      <c r="AP392" s="35"/>
      <c r="AQ392" s="35"/>
      <c r="AR392" s="44"/>
      <c r="AS392" s="37" t="s">
        <v>485</v>
      </c>
    </row>
    <row r="393" spans="1:45" ht="48" customHeight="1" x14ac:dyDescent="0.25">
      <c r="A393" s="32" t="s">
        <v>2293</v>
      </c>
      <c r="B393" s="56">
        <v>45341</v>
      </c>
      <c r="C393" s="35">
        <v>1416</v>
      </c>
      <c r="D393" s="36"/>
      <c r="E393" s="1" t="s">
        <v>2294</v>
      </c>
      <c r="F393" s="33">
        <v>45369</v>
      </c>
      <c r="G393" s="35" t="s">
        <v>2295</v>
      </c>
      <c r="H393" s="37" t="s">
        <v>1067</v>
      </c>
      <c r="I393" s="58" t="s">
        <v>2296</v>
      </c>
      <c r="J393" s="57">
        <v>454968600</v>
      </c>
      <c r="K393" s="40">
        <f>((J393-M393)/J393)*100</f>
        <v>0</v>
      </c>
      <c r="L393" s="41">
        <f>J393-M393</f>
        <v>0</v>
      </c>
      <c r="M393" s="57">
        <v>454968600</v>
      </c>
      <c r="N393" s="41">
        <f>J393-O393</f>
        <v>0</v>
      </c>
      <c r="O393" s="57">
        <v>454968600</v>
      </c>
      <c r="P393" s="27">
        <f t="shared" si="55"/>
        <v>454968600</v>
      </c>
      <c r="Q393" s="27">
        <f t="shared" si="54"/>
        <v>454968600</v>
      </c>
      <c r="R393" s="27">
        <f>Q393/U393</f>
        <v>12.37</v>
      </c>
      <c r="S393" s="38">
        <f>Q393/U393</f>
        <v>12.37</v>
      </c>
      <c r="T393" s="38">
        <f>S393*AR393</f>
        <v>37110</v>
      </c>
      <c r="U393" s="38">
        <f t="shared" si="50"/>
        <v>36780000</v>
      </c>
      <c r="V393" s="38">
        <f>11700000+18300000</f>
        <v>30000000</v>
      </c>
      <c r="W393" s="38">
        <f>2643000+4137000</f>
        <v>6780000</v>
      </c>
      <c r="X393" s="38">
        <v>0</v>
      </c>
      <c r="Y393" s="38">
        <f>11700000+2643000</f>
        <v>14343000</v>
      </c>
      <c r="Z393" s="38">
        <f t="shared" si="48"/>
        <v>177422910</v>
      </c>
      <c r="AA393" s="38">
        <f>18300000+4137000</f>
        <v>22437000</v>
      </c>
      <c r="AB393" s="38">
        <f t="shared" si="49"/>
        <v>277545690</v>
      </c>
      <c r="AC393" s="38">
        <f>U393/AR393</f>
        <v>12260</v>
      </c>
      <c r="AD393" s="38">
        <f t="shared" si="52"/>
        <v>12260</v>
      </c>
      <c r="AE393" s="33">
        <v>45397</v>
      </c>
      <c r="AF393" s="33">
        <v>45443</v>
      </c>
      <c r="AG393" s="33"/>
      <c r="AH393" s="33">
        <v>45427</v>
      </c>
      <c r="AI393" s="33">
        <v>45474</v>
      </c>
      <c r="AJ393" s="42"/>
      <c r="AK393" s="37" t="s">
        <v>2297</v>
      </c>
      <c r="AL393" s="37" t="s">
        <v>2298</v>
      </c>
      <c r="AM393" s="37" t="s">
        <v>2299</v>
      </c>
      <c r="AN393" s="37" t="s">
        <v>751</v>
      </c>
      <c r="AO393" s="43">
        <v>0</v>
      </c>
      <c r="AP393" s="35">
        <v>100</v>
      </c>
      <c r="AQ393" s="35" t="s">
        <v>175</v>
      </c>
      <c r="AR393" s="44">
        <v>3000</v>
      </c>
      <c r="AS393" s="37" t="s">
        <v>52</v>
      </c>
    </row>
    <row r="394" spans="1:45" ht="48" customHeight="1" x14ac:dyDescent="0.25">
      <c r="A394" s="32" t="s">
        <v>2300</v>
      </c>
      <c r="B394" s="56">
        <v>45341</v>
      </c>
      <c r="C394" s="35">
        <v>1416</v>
      </c>
      <c r="D394" s="36"/>
      <c r="E394" s="1" t="s">
        <v>2301</v>
      </c>
      <c r="F394" s="33">
        <v>45363</v>
      </c>
      <c r="G394" s="35" t="s">
        <v>2302</v>
      </c>
      <c r="H394" s="37" t="s">
        <v>2303</v>
      </c>
      <c r="I394" s="58" t="s">
        <v>2217</v>
      </c>
      <c r="J394" s="57">
        <v>6465690</v>
      </c>
      <c r="K394" s="40">
        <f>((J394-M394)/J394)*100</f>
        <v>0</v>
      </c>
      <c r="L394" s="41">
        <f>J394-M394</f>
        <v>0</v>
      </c>
      <c r="M394" s="57">
        <v>6465690</v>
      </c>
      <c r="N394" s="41">
        <f>J394-O394</f>
        <v>0</v>
      </c>
      <c r="O394" s="57">
        <v>6465690</v>
      </c>
      <c r="P394" s="27">
        <f t="shared" si="55"/>
        <v>6465690</v>
      </c>
      <c r="Q394" s="27">
        <f t="shared" si="54"/>
        <v>6465690</v>
      </c>
      <c r="R394" s="27">
        <f>Q394/U394</f>
        <v>83.97</v>
      </c>
      <c r="S394" s="38">
        <f>Q394/U394</f>
        <v>83.97</v>
      </c>
      <c r="T394" s="38">
        <f>S394*AR394</f>
        <v>4198.5</v>
      </c>
      <c r="U394" s="38">
        <f t="shared" si="50"/>
        <v>77000</v>
      </c>
      <c r="V394" s="38">
        <f>32369+44631</f>
        <v>77000</v>
      </c>
      <c r="W394" s="38">
        <v>0</v>
      </c>
      <c r="X394" s="38">
        <v>0</v>
      </c>
      <c r="Y394" s="38">
        <v>32369</v>
      </c>
      <c r="Z394" s="38">
        <f t="shared" si="48"/>
        <v>2718024.93</v>
      </c>
      <c r="AA394" s="38">
        <v>44631</v>
      </c>
      <c r="AB394" s="38">
        <f t="shared" si="49"/>
        <v>3747665.07</v>
      </c>
      <c r="AC394" s="38">
        <f>U394/AR394</f>
        <v>1540</v>
      </c>
      <c r="AD394" s="38">
        <f t="shared" si="52"/>
        <v>1540</v>
      </c>
      <c r="AE394" s="33">
        <v>45397</v>
      </c>
      <c r="AF394" s="33"/>
      <c r="AG394" s="33"/>
      <c r="AH394" s="33">
        <v>45427</v>
      </c>
      <c r="AI394" s="33"/>
      <c r="AJ394" s="42"/>
      <c r="AK394" s="37" t="s">
        <v>2304</v>
      </c>
      <c r="AL394" s="37" t="s">
        <v>2305</v>
      </c>
      <c r="AM394" s="37" t="s">
        <v>2306</v>
      </c>
      <c r="AN394" s="37" t="s">
        <v>369</v>
      </c>
      <c r="AO394" s="43">
        <v>0</v>
      </c>
      <c r="AP394" s="35">
        <v>100</v>
      </c>
      <c r="AQ394" s="35" t="s">
        <v>164</v>
      </c>
      <c r="AR394" s="44">
        <v>50</v>
      </c>
      <c r="AS394" s="37" t="s">
        <v>52</v>
      </c>
    </row>
    <row r="395" spans="1:45" ht="48" customHeight="1" x14ac:dyDescent="0.25">
      <c r="A395" s="32" t="s">
        <v>2307</v>
      </c>
      <c r="B395" s="56">
        <v>45341</v>
      </c>
      <c r="C395" s="35">
        <v>1416</v>
      </c>
      <c r="D395" s="36"/>
      <c r="E395" s="1" t="s">
        <v>2308</v>
      </c>
      <c r="F395" s="33">
        <v>45369</v>
      </c>
      <c r="G395" s="35" t="s">
        <v>2309</v>
      </c>
      <c r="H395" s="37" t="s">
        <v>1067</v>
      </c>
      <c r="I395" s="58" t="s">
        <v>2310</v>
      </c>
      <c r="J395" s="57">
        <v>680150160</v>
      </c>
      <c r="K395" s="40">
        <f>((J395-M395)/J395)*100</f>
        <v>0</v>
      </c>
      <c r="L395" s="41">
        <f>J395-M395</f>
        <v>0</v>
      </c>
      <c r="M395" s="57">
        <v>680150160</v>
      </c>
      <c r="N395" s="41">
        <f>J395-O395</f>
        <v>0</v>
      </c>
      <c r="O395" s="57">
        <v>680150160</v>
      </c>
      <c r="P395" s="27">
        <f t="shared" si="55"/>
        <v>680150160</v>
      </c>
      <c r="Q395" s="27">
        <f t="shared" si="54"/>
        <v>680150160</v>
      </c>
      <c r="R395" s="27">
        <f>Q395/U395</f>
        <v>12.12</v>
      </c>
      <c r="S395" s="38">
        <f>Q395/U395</f>
        <v>12.12</v>
      </c>
      <c r="T395" s="38">
        <f>S395*AR395</f>
        <v>24240</v>
      </c>
      <c r="U395" s="38">
        <f t="shared" si="50"/>
        <v>56118000</v>
      </c>
      <c r="V395" s="38">
        <f>24922000+31196000</f>
        <v>56118000</v>
      </c>
      <c r="W395" s="38">
        <v>0</v>
      </c>
      <c r="X395" s="38">
        <v>0</v>
      </c>
      <c r="Y395" s="38">
        <v>24922000</v>
      </c>
      <c r="Z395" s="38">
        <f t="shared" si="48"/>
        <v>302054640</v>
      </c>
      <c r="AA395" s="38">
        <v>31196000</v>
      </c>
      <c r="AB395" s="38">
        <f t="shared" si="49"/>
        <v>378095520</v>
      </c>
      <c r="AC395" s="38">
        <f>U395/AR395</f>
        <v>28059</v>
      </c>
      <c r="AD395" s="38">
        <f t="shared" si="52"/>
        <v>28059</v>
      </c>
      <c r="AE395" s="33">
        <v>45397</v>
      </c>
      <c r="AF395" s="33"/>
      <c r="AG395" s="33"/>
      <c r="AH395" s="33">
        <v>45427</v>
      </c>
      <c r="AI395" s="33"/>
      <c r="AJ395" s="42"/>
      <c r="AK395" s="37" t="s">
        <v>2297</v>
      </c>
      <c r="AL395" s="37" t="s">
        <v>2311</v>
      </c>
      <c r="AM395" s="37" t="s">
        <v>2299</v>
      </c>
      <c r="AN395" s="37" t="s">
        <v>751</v>
      </c>
      <c r="AO395" s="43">
        <v>0</v>
      </c>
      <c r="AP395" s="35">
        <v>100</v>
      </c>
      <c r="AQ395" s="35" t="s">
        <v>175</v>
      </c>
      <c r="AR395" s="44">
        <v>2000</v>
      </c>
      <c r="AS395" s="37" t="s">
        <v>52</v>
      </c>
    </row>
    <row r="396" spans="1:45" ht="48" customHeight="1" x14ac:dyDescent="0.25">
      <c r="A396" s="32" t="s">
        <v>2312</v>
      </c>
      <c r="B396" s="56">
        <v>45341</v>
      </c>
      <c r="C396" s="35" t="s">
        <v>486</v>
      </c>
      <c r="D396" s="36"/>
      <c r="E396" s="1" t="s">
        <v>2313</v>
      </c>
      <c r="F396" s="33">
        <v>45363</v>
      </c>
      <c r="G396" s="35" t="s">
        <v>2314</v>
      </c>
      <c r="H396" s="37" t="s">
        <v>2315</v>
      </c>
      <c r="I396" s="59" t="s">
        <v>2316</v>
      </c>
      <c r="J396" s="57">
        <v>9615367.6500000004</v>
      </c>
      <c r="K396" s="40">
        <f>((J396-M396)/J396)*100</f>
        <v>0</v>
      </c>
      <c r="L396" s="41">
        <f>J396-M396</f>
        <v>0</v>
      </c>
      <c r="M396" s="57">
        <v>9615367.6500000004</v>
      </c>
      <c r="N396" s="41">
        <f>J396-O396</f>
        <v>0</v>
      </c>
      <c r="O396" s="57">
        <v>9615367.6500000004</v>
      </c>
      <c r="P396" s="27">
        <f t="shared" si="55"/>
        <v>9615367.6500000004</v>
      </c>
      <c r="Q396" s="27">
        <f t="shared" si="54"/>
        <v>9615367.6500000004</v>
      </c>
      <c r="R396" s="27">
        <f>Q396/U396</f>
        <v>23.45</v>
      </c>
      <c r="S396" s="38">
        <f>Q396/U396</f>
        <v>23.45</v>
      </c>
      <c r="T396" s="38">
        <f>S396*AR396</f>
        <v>2345</v>
      </c>
      <c r="U396" s="38">
        <f t="shared" si="50"/>
        <v>410037</v>
      </c>
      <c r="V396" s="38">
        <v>410037</v>
      </c>
      <c r="W396" s="38">
        <v>0</v>
      </c>
      <c r="X396" s="38">
        <v>0</v>
      </c>
      <c r="Y396" s="38">
        <v>0</v>
      </c>
      <c r="Z396" s="38">
        <f t="shared" ref="Z396:Z458" si="56">Y396*S396</f>
        <v>0</v>
      </c>
      <c r="AA396" s="38">
        <v>0</v>
      </c>
      <c r="AB396" s="38">
        <f t="shared" ref="AB396:AB458" si="57">AA396*S396</f>
        <v>0</v>
      </c>
      <c r="AC396" s="38">
        <f>U396/AR396</f>
        <v>4100.37</v>
      </c>
      <c r="AD396" s="38">
        <f t="shared" si="52"/>
        <v>4101</v>
      </c>
      <c r="AE396" s="33">
        <v>45397</v>
      </c>
      <c r="AF396" s="33"/>
      <c r="AG396" s="33"/>
      <c r="AH396" s="33">
        <v>45427</v>
      </c>
      <c r="AI396" s="33"/>
      <c r="AJ396" s="42"/>
      <c r="AK396" s="37" t="s">
        <v>2317</v>
      </c>
      <c r="AL396" s="37" t="s">
        <v>2318</v>
      </c>
      <c r="AM396" s="37" t="s">
        <v>2319</v>
      </c>
      <c r="AN396" s="37" t="s">
        <v>2320</v>
      </c>
      <c r="AO396" s="43">
        <v>0</v>
      </c>
      <c r="AP396" s="35">
        <v>100</v>
      </c>
      <c r="AQ396" s="35" t="s">
        <v>164</v>
      </c>
      <c r="AR396" s="44">
        <v>100</v>
      </c>
      <c r="AS396" s="37" t="s">
        <v>52</v>
      </c>
    </row>
    <row r="397" spans="1:45" ht="48" customHeight="1" x14ac:dyDescent="0.25">
      <c r="A397" s="32" t="s">
        <v>2321</v>
      </c>
      <c r="B397" s="56">
        <v>45338</v>
      </c>
      <c r="C397" s="35">
        <v>545</v>
      </c>
      <c r="D397" s="36"/>
      <c r="E397" s="1" t="s">
        <v>2322</v>
      </c>
      <c r="F397" s="33">
        <v>45362</v>
      </c>
      <c r="G397" s="35" t="s">
        <v>2323</v>
      </c>
      <c r="H397" s="37" t="s">
        <v>1897</v>
      </c>
      <c r="I397" s="59" t="s">
        <v>461</v>
      </c>
      <c r="J397" s="57">
        <v>19348243.199999999</v>
      </c>
      <c r="K397" s="40">
        <f>((J397-M397)/J397)*100</f>
        <v>0</v>
      </c>
      <c r="L397" s="41">
        <f>J397-M397</f>
        <v>0</v>
      </c>
      <c r="M397" s="57">
        <v>19348243.199999999</v>
      </c>
      <c r="N397" s="41">
        <f>J397-O397</f>
        <v>0</v>
      </c>
      <c r="O397" s="38">
        <v>19348243.199999999</v>
      </c>
      <c r="P397" s="27">
        <f t="shared" si="55"/>
        <v>19348243.199999999</v>
      </c>
      <c r="Q397" s="27">
        <f t="shared" si="54"/>
        <v>19348243.199999999</v>
      </c>
      <c r="R397" s="27">
        <f>Q397/U397</f>
        <v>6201.36</v>
      </c>
      <c r="S397" s="38">
        <f>Q397/U397</f>
        <v>6201.36</v>
      </c>
      <c r="T397" s="38">
        <f>S397*AR397</f>
        <v>372081.6</v>
      </c>
      <c r="U397" s="38">
        <f t="shared" si="50"/>
        <v>3120</v>
      </c>
      <c r="V397" s="38">
        <v>3120</v>
      </c>
      <c r="W397" s="38">
        <v>0</v>
      </c>
      <c r="X397" s="38">
        <v>0</v>
      </c>
      <c r="Y397" s="38">
        <v>0</v>
      </c>
      <c r="Z397" s="38">
        <f t="shared" si="56"/>
        <v>0</v>
      </c>
      <c r="AA397" s="38">
        <v>0</v>
      </c>
      <c r="AB397" s="38">
        <f t="shared" si="57"/>
        <v>0</v>
      </c>
      <c r="AC397" s="38">
        <f>U397/AR397</f>
        <v>52</v>
      </c>
      <c r="AD397" s="38">
        <f t="shared" si="52"/>
        <v>52</v>
      </c>
      <c r="AE397" s="33">
        <v>45376</v>
      </c>
      <c r="AF397" s="33"/>
      <c r="AG397" s="33"/>
      <c r="AH397" s="33">
        <v>45407</v>
      </c>
      <c r="AI397" s="33"/>
      <c r="AJ397" s="42"/>
      <c r="AK397" s="37" t="s">
        <v>437</v>
      </c>
      <c r="AL397" s="37" t="s">
        <v>1898</v>
      </c>
      <c r="AM397" s="37" t="s">
        <v>439</v>
      </c>
      <c r="AN397" s="37" t="s">
        <v>440</v>
      </c>
      <c r="AO397" s="43">
        <v>0</v>
      </c>
      <c r="AP397" s="35">
        <v>100</v>
      </c>
      <c r="AQ397" s="35" t="s">
        <v>441</v>
      </c>
      <c r="AR397" s="44">
        <v>60</v>
      </c>
      <c r="AS397" s="37" t="s">
        <v>52</v>
      </c>
    </row>
    <row r="398" spans="1:45" ht="48" customHeight="1" x14ac:dyDescent="0.25">
      <c r="A398" s="32" t="s">
        <v>2324</v>
      </c>
      <c r="B398" s="56">
        <v>45338</v>
      </c>
      <c r="C398" s="35">
        <v>545</v>
      </c>
      <c r="D398" s="36"/>
      <c r="E398" s="1" t="s">
        <v>2325</v>
      </c>
      <c r="F398" s="33">
        <v>45362</v>
      </c>
      <c r="G398" s="35" t="s">
        <v>2326</v>
      </c>
      <c r="H398" s="37" t="s">
        <v>1897</v>
      </c>
      <c r="I398" s="59" t="s">
        <v>461</v>
      </c>
      <c r="J398" s="57">
        <v>19720324.800000001</v>
      </c>
      <c r="K398" s="40">
        <f>((J398-M398)/J398)*100</f>
        <v>0</v>
      </c>
      <c r="L398" s="41">
        <f>J398-M398</f>
        <v>0</v>
      </c>
      <c r="M398" s="57">
        <v>19720324.800000001</v>
      </c>
      <c r="N398" s="41">
        <f>J398-O398</f>
        <v>0</v>
      </c>
      <c r="O398" s="38">
        <v>19720324.800000001</v>
      </c>
      <c r="P398" s="27">
        <f t="shared" si="55"/>
        <v>19720324.800000001</v>
      </c>
      <c r="Q398" s="27">
        <f t="shared" si="54"/>
        <v>19720324.800000001</v>
      </c>
      <c r="R398" s="27">
        <f>Q398/U398</f>
        <v>6201.3600000000006</v>
      </c>
      <c r="S398" s="38">
        <f>Q398/U398</f>
        <v>6201.3600000000006</v>
      </c>
      <c r="T398" s="38">
        <f>S398*AR398</f>
        <v>372081.60000000003</v>
      </c>
      <c r="U398" s="38">
        <f t="shared" si="50"/>
        <v>3180</v>
      </c>
      <c r="V398" s="38">
        <v>3180</v>
      </c>
      <c r="W398" s="38">
        <v>0</v>
      </c>
      <c r="X398" s="38">
        <v>0</v>
      </c>
      <c r="Y398" s="38">
        <v>0</v>
      </c>
      <c r="Z398" s="38">
        <f t="shared" si="56"/>
        <v>0</v>
      </c>
      <c r="AA398" s="38">
        <v>0</v>
      </c>
      <c r="AB398" s="38">
        <f t="shared" si="57"/>
        <v>0</v>
      </c>
      <c r="AC398" s="38">
        <f>U398/AR398</f>
        <v>53</v>
      </c>
      <c r="AD398" s="38">
        <f t="shared" si="52"/>
        <v>53</v>
      </c>
      <c r="AE398" s="33">
        <v>45376</v>
      </c>
      <c r="AF398" s="33"/>
      <c r="AG398" s="33"/>
      <c r="AH398" s="33">
        <v>45407</v>
      </c>
      <c r="AI398" s="33"/>
      <c r="AJ398" s="42"/>
      <c r="AK398" s="37" t="s">
        <v>437</v>
      </c>
      <c r="AL398" s="37" t="s">
        <v>1898</v>
      </c>
      <c r="AM398" s="37" t="s">
        <v>439</v>
      </c>
      <c r="AN398" s="37" t="s">
        <v>440</v>
      </c>
      <c r="AO398" s="43">
        <v>0</v>
      </c>
      <c r="AP398" s="35">
        <v>100</v>
      </c>
      <c r="AQ398" s="35" t="s">
        <v>441</v>
      </c>
      <c r="AR398" s="44">
        <v>60</v>
      </c>
      <c r="AS398" s="37" t="s">
        <v>176</v>
      </c>
    </row>
    <row r="399" spans="1:45" ht="48" customHeight="1" x14ac:dyDescent="0.25">
      <c r="A399" s="32" t="s">
        <v>2327</v>
      </c>
      <c r="B399" s="56">
        <v>45338</v>
      </c>
      <c r="C399" s="35">
        <v>545</v>
      </c>
      <c r="D399" s="36"/>
      <c r="E399" s="1" t="s">
        <v>2328</v>
      </c>
      <c r="F399" s="33">
        <v>45362</v>
      </c>
      <c r="G399" s="35" t="s">
        <v>2329</v>
      </c>
      <c r="H399" s="37" t="s">
        <v>1897</v>
      </c>
      <c r="I399" s="59" t="s">
        <v>461</v>
      </c>
      <c r="J399" s="57">
        <v>18231998.399999999</v>
      </c>
      <c r="K399" s="40">
        <f>((J399-M399)/J399)*100</f>
        <v>0</v>
      </c>
      <c r="L399" s="41">
        <f>J399-M399</f>
        <v>0</v>
      </c>
      <c r="M399" s="57">
        <v>18231998.399999999</v>
      </c>
      <c r="N399" s="41">
        <f>J399-O399</f>
        <v>0</v>
      </c>
      <c r="O399" s="38">
        <v>18231998.399999999</v>
      </c>
      <c r="P399" s="27">
        <f t="shared" si="55"/>
        <v>18231998.399999999</v>
      </c>
      <c r="Q399" s="27">
        <f t="shared" si="54"/>
        <v>18231998.399999999</v>
      </c>
      <c r="R399" s="27">
        <f>Q399/U399</f>
        <v>6201.36</v>
      </c>
      <c r="S399" s="38">
        <f>Q399/U399</f>
        <v>6201.36</v>
      </c>
      <c r="T399" s="38">
        <f>S399*AR399</f>
        <v>372081.6</v>
      </c>
      <c r="U399" s="38">
        <f t="shared" si="50"/>
        <v>2940</v>
      </c>
      <c r="V399" s="38">
        <v>2940</v>
      </c>
      <c r="W399" s="38">
        <v>0</v>
      </c>
      <c r="X399" s="38">
        <v>0</v>
      </c>
      <c r="Y399" s="38">
        <v>0</v>
      </c>
      <c r="Z399" s="38">
        <f t="shared" si="56"/>
        <v>0</v>
      </c>
      <c r="AA399" s="38">
        <v>0</v>
      </c>
      <c r="AB399" s="38">
        <f t="shared" si="57"/>
        <v>0</v>
      </c>
      <c r="AC399" s="38">
        <f>U399/AR399</f>
        <v>49</v>
      </c>
      <c r="AD399" s="38">
        <f t="shared" si="52"/>
        <v>49</v>
      </c>
      <c r="AE399" s="33">
        <v>45376</v>
      </c>
      <c r="AF399" s="33"/>
      <c r="AG399" s="33"/>
      <c r="AH399" s="33">
        <v>45407</v>
      </c>
      <c r="AI399" s="33"/>
      <c r="AJ399" s="42"/>
      <c r="AK399" s="37" t="s">
        <v>437</v>
      </c>
      <c r="AL399" s="37" t="s">
        <v>1898</v>
      </c>
      <c r="AM399" s="37" t="s">
        <v>439</v>
      </c>
      <c r="AN399" s="37" t="s">
        <v>440</v>
      </c>
      <c r="AO399" s="43">
        <v>0</v>
      </c>
      <c r="AP399" s="35">
        <v>100</v>
      </c>
      <c r="AQ399" s="35" t="s">
        <v>441</v>
      </c>
      <c r="AR399" s="44">
        <v>60</v>
      </c>
      <c r="AS399" s="37" t="s">
        <v>176</v>
      </c>
    </row>
    <row r="400" spans="1:45" ht="48" customHeight="1" x14ac:dyDescent="0.25">
      <c r="A400" s="32" t="s">
        <v>2330</v>
      </c>
      <c r="B400" s="56">
        <v>45338</v>
      </c>
      <c r="C400" s="37" t="s">
        <v>1861</v>
      </c>
      <c r="D400" s="36"/>
      <c r="E400" s="1" t="s">
        <v>2331</v>
      </c>
      <c r="F400" s="33">
        <v>45351</v>
      </c>
      <c r="G400" s="35" t="s">
        <v>2332</v>
      </c>
      <c r="H400" s="37" t="s">
        <v>556</v>
      </c>
      <c r="I400" s="58" t="s">
        <v>2333</v>
      </c>
      <c r="J400" s="57">
        <v>9774108.9600000009</v>
      </c>
      <c r="K400" s="40">
        <f>((J400-M400)/J400)*100</f>
        <v>0</v>
      </c>
      <c r="L400" s="41">
        <f>J400-M400</f>
        <v>0</v>
      </c>
      <c r="M400" s="38">
        <v>9774108.9600000009</v>
      </c>
      <c r="N400" s="41">
        <f>J400-O400</f>
        <v>0</v>
      </c>
      <c r="O400" s="38">
        <v>9774108.9600000009</v>
      </c>
      <c r="P400" s="27">
        <f t="shared" si="55"/>
        <v>9774108.9600000009</v>
      </c>
      <c r="Q400" s="27">
        <f t="shared" si="54"/>
        <v>9774108.9600000009</v>
      </c>
      <c r="R400" s="27">
        <f>Q400/U400</f>
        <v>31.900000000000002</v>
      </c>
      <c r="S400" s="38">
        <f>Q400/U400</f>
        <v>31.900000000000002</v>
      </c>
      <c r="T400" s="38">
        <f>S400*AR400</f>
        <v>888555.3600000001</v>
      </c>
      <c r="U400" s="38">
        <f t="shared" si="50"/>
        <v>306398.40000000002</v>
      </c>
      <c r="V400" s="38">
        <v>306398.40000000002</v>
      </c>
      <c r="W400" s="38">
        <v>0</v>
      </c>
      <c r="X400" s="38">
        <v>0</v>
      </c>
      <c r="Y400" s="38">
        <v>0</v>
      </c>
      <c r="Z400" s="38">
        <f t="shared" si="56"/>
        <v>0</v>
      </c>
      <c r="AA400" s="38">
        <v>0</v>
      </c>
      <c r="AB400" s="38">
        <f t="shared" si="57"/>
        <v>0</v>
      </c>
      <c r="AC400" s="38">
        <f>U400/AR400</f>
        <v>11</v>
      </c>
      <c r="AD400" s="38">
        <f t="shared" si="52"/>
        <v>11</v>
      </c>
      <c r="AE400" s="33">
        <v>45371</v>
      </c>
      <c r="AF400" s="33"/>
      <c r="AG400" s="33"/>
      <c r="AH400" s="33">
        <v>45402</v>
      </c>
      <c r="AI400" s="33"/>
      <c r="AJ400" s="42"/>
      <c r="AK400" s="37" t="s">
        <v>2334</v>
      </c>
      <c r="AL400" s="37" t="s">
        <v>2335</v>
      </c>
      <c r="AM400" s="37" t="s">
        <v>2336</v>
      </c>
      <c r="AN400" s="37" t="s">
        <v>2320</v>
      </c>
      <c r="AO400" s="43">
        <v>0</v>
      </c>
      <c r="AP400" s="35">
        <v>100</v>
      </c>
      <c r="AQ400" s="35" t="s">
        <v>379</v>
      </c>
      <c r="AR400" s="49">
        <v>27854.400000000001</v>
      </c>
      <c r="AS400" s="37" t="s">
        <v>176</v>
      </c>
    </row>
    <row r="401" spans="1:45" ht="48" customHeight="1" x14ac:dyDescent="0.25">
      <c r="A401" s="32" t="s">
        <v>2337</v>
      </c>
      <c r="B401" s="56">
        <v>45342</v>
      </c>
      <c r="C401" s="37" t="s">
        <v>1861</v>
      </c>
      <c r="D401" s="35" t="s">
        <v>485</v>
      </c>
      <c r="E401" s="1" t="s">
        <v>2338</v>
      </c>
      <c r="F401" s="35" t="s">
        <v>485</v>
      </c>
      <c r="G401" s="35" t="s">
        <v>485</v>
      </c>
      <c r="H401" s="35" t="s">
        <v>485</v>
      </c>
      <c r="I401" s="58" t="s">
        <v>480</v>
      </c>
      <c r="J401" s="57">
        <v>9098575.1999999993</v>
      </c>
      <c r="K401" s="40">
        <f>((J401-M401)/J401)*100</f>
        <v>100</v>
      </c>
      <c r="L401" s="41">
        <f>J401-M401</f>
        <v>9098575.1999999993</v>
      </c>
      <c r="M401" s="38"/>
      <c r="N401" s="41">
        <f>J401-O401</f>
        <v>9098575.1999999993</v>
      </c>
      <c r="O401" s="38">
        <v>0</v>
      </c>
      <c r="P401" s="27">
        <f t="shared" si="55"/>
        <v>0</v>
      </c>
      <c r="Q401" s="27">
        <f t="shared" si="54"/>
        <v>0</v>
      </c>
      <c r="R401" s="27" t="e">
        <f>Q401/U401</f>
        <v>#DIV/0!</v>
      </c>
      <c r="S401" s="38" t="e">
        <f>Q401/U401</f>
        <v>#DIV/0!</v>
      </c>
      <c r="T401" s="38" t="e">
        <f>S401*AR401</f>
        <v>#DIV/0!</v>
      </c>
      <c r="U401" s="38">
        <f t="shared" si="50"/>
        <v>0</v>
      </c>
      <c r="V401" s="38">
        <v>0</v>
      </c>
      <c r="W401" s="38">
        <v>0</v>
      </c>
      <c r="X401" s="38">
        <v>0</v>
      </c>
      <c r="Y401" s="38"/>
      <c r="Z401" s="38" t="e">
        <f t="shared" si="56"/>
        <v>#DIV/0!</v>
      </c>
      <c r="AA401" s="38"/>
      <c r="AB401" s="38" t="e">
        <f t="shared" si="57"/>
        <v>#DIV/0!</v>
      </c>
      <c r="AC401" s="38" t="e">
        <f>U401/AR401</f>
        <v>#DIV/0!</v>
      </c>
      <c r="AD401" s="38" t="e">
        <f t="shared" si="52"/>
        <v>#DIV/0!</v>
      </c>
      <c r="AE401" s="33">
        <v>45371</v>
      </c>
      <c r="AF401" s="33"/>
      <c r="AG401" s="33"/>
      <c r="AH401" s="33"/>
      <c r="AI401" s="33"/>
      <c r="AJ401" s="42"/>
      <c r="AK401" s="37"/>
      <c r="AL401" s="37"/>
      <c r="AM401" s="37"/>
      <c r="AN401" s="37"/>
      <c r="AO401" s="43"/>
      <c r="AP401" s="35"/>
      <c r="AQ401" s="35"/>
      <c r="AR401" s="44"/>
      <c r="AS401" s="37" t="s">
        <v>485</v>
      </c>
    </row>
    <row r="402" spans="1:45" ht="48" customHeight="1" x14ac:dyDescent="0.25">
      <c r="A402" s="32" t="s">
        <v>2339</v>
      </c>
      <c r="B402" s="56">
        <v>45342</v>
      </c>
      <c r="C402" s="37" t="s">
        <v>1861</v>
      </c>
      <c r="D402" s="35" t="s">
        <v>485</v>
      </c>
      <c r="E402" s="1" t="s">
        <v>2340</v>
      </c>
      <c r="F402" s="35" t="s">
        <v>485</v>
      </c>
      <c r="G402" s="35" t="s">
        <v>485</v>
      </c>
      <c r="H402" s="35" t="s">
        <v>485</v>
      </c>
      <c r="I402" s="59" t="s">
        <v>2341</v>
      </c>
      <c r="J402" s="57">
        <v>1454472</v>
      </c>
      <c r="K402" s="40">
        <f>((J402-M402)/J402)*100</f>
        <v>100</v>
      </c>
      <c r="L402" s="41">
        <f>J402-M402</f>
        <v>1454472</v>
      </c>
      <c r="M402" s="38"/>
      <c r="N402" s="41">
        <f>J402-O402</f>
        <v>1454472</v>
      </c>
      <c r="O402" s="38">
        <v>0</v>
      </c>
      <c r="P402" s="27">
        <f t="shared" si="55"/>
        <v>0</v>
      </c>
      <c r="Q402" s="27">
        <f t="shared" si="54"/>
        <v>0</v>
      </c>
      <c r="R402" s="27" t="e">
        <f>Q402/U402</f>
        <v>#DIV/0!</v>
      </c>
      <c r="S402" s="38" t="e">
        <f>Q402/U402</f>
        <v>#DIV/0!</v>
      </c>
      <c r="T402" s="38" t="e">
        <f>S402*AR402</f>
        <v>#DIV/0!</v>
      </c>
      <c r="U402" s="38">
        <f t="shared" si="50"/>
        <v>0</v>
      </c>
      <c r="V402" s="38">
        <v>0</v>
      </c>
      <c r="W402" s="38">
        <v>0</v>
      </c>
      <c r="X402" s="38">
        <v>0</v>
      </c>
      <c r="Y402" s="38"/>
      <c r="Z402" s="38" t="e">
        <f t="shared" si="56"/>
        <v>#DIV/0!</v>
      </c>
      <c r="AA402" s="38"/>
      <c r="AB402" s="38" t="e">
        <f t="shared" si="57"/>
        <v>#DIV/0!</v>
      </c>
      <c r="AC402" s="38" t="e">
        <f>U402/AR402</f>
        <v>#DIV/0!</v>
      </c>
      <c r="AD402" s="38" t="e">
        <f t="shared" si="52"/>
        <v>#DIV/0!</v>
      </c>
      <c r="AE402" s="33">
        <v>45366</v>
      </c>
      <c r="AF402" s="33"/>
      <c r="AG402" s="33"/>
      <c r="AH402" s="33"/>
      <c r="AI402" s="33"/>
      <c r="AJ402" s="42"/>
      <c r="AK402" s="37"/>
      <c r="AL402" s="37"/>
      <c r="AM402" s="37"/>
      <c r="AN402" s="37"/>
      <c r="AO402" s="43"/>
      <c r="AP402" s="35"/>
      <c r="AQ402" s="35"/>
      <c r="AR402" s="44"/>
      <c r="AS402" s="37" t="s">
        <v>485</v>
      </c>
    </row>
    <row r="403" spans="1:45" ht="48" customHeight="1" x14ac:dyDescent="0.25">
      <c r="A403" s="32" t="s">
        <v>2342</v>
      </c>
      <c r="B403" s="56">
        <v>45342</v>
      </c>
      <c r="C403" s="37" t="s">
        <v>1861</v>
      </c>
      <c r="D403" s="35" t="s">
        <v>485</v>
      </c>
      <c r="E403" s="1" t="s">
        <v>2343</v>
      </c>
      <c r="F403" s="35" t="s">
        <v>485</v>
      </c>
      <c r="G403" s="35" t="s">
        <v>485</v>
      </c>
      <c r="H403" s="35" t="s">
        <v>485</v>
      </c>
      <c r="I403" s="58" t="s">
        <v>501</v>
      </c>
      <c r="J403" s="57">
        <v>3615117</v>
      </c>
      <c r="K403" s="40">
        <f>((J403-M403)/J403)*100</f>
        <v>100</v>
      </c>
      <c r="L403" s="41">
        <f>J403-M403</f>
        <v>3615117</v>
      </c>
      <c r="M403" s="38"/>
      <c r="N403" s="41">
        <f>J403-O403</f>
        <v>3615117</v>
      </c>
      <c r="O403" s="38">
        <v>0</v>
      </c>
      <c r="P403" s="27">
        <f t="shared" si="55"/>
        <v>0</v>
      </c>
      <c r="Q403" s="27">
        <f t="shared" si="54"/>
        <v>0</v>
      </c>
      <c r="R403" s="27" t="e">
        <f>Q403/U403</f>
        <v>#DIV/0!</v>
      </c>
      <c r="S403" s="38" t="e">
        <f>Q403/U403</f>
        <v>#DIV/0!</v>
      </c>
      <c r="T403" s="38" t="e">
        <f>S403*AR403</f>
        <v>#DIV/0!</v>
      </c>
      <c r="U403" s="38">
        <f t="shared" si="50"/>
        <v>0</v>
      </c>
      <c r="V403" s="38">
        <v>0</v>
      </c>
      <c r="W403" s="38">
        <v>0</v>
      </c>
      <c r="X403" s="38">
        <v>0</v>
      </c>
      <c r="Y403" s="38"/>
      <c r="Z403" s="38" t="e">
        <f t="shared" si="56"/>
        <v>#DIV/0!</v>
      </c>
      <c r="AA403" s="38"/>
      <c r="AB403" s="38" t="e">
        <f t="shared" si="57"/>
        <v>#DIV/0!</v>
      </c>
      <c r="AC403" s="38" t="e">
        <f>U403/AR403</f>
        <v>#DIV/0!</v>
      </c>
      <c r="AD403" s="38" t="e">
        <f t="shared" si="52"/>
        <v>#DIV/0!</v>
      </c>
      <c r="AE403" s="33">
        <v>45371</v>
      </c>
      <c r="AF403" s="33"/>
      <c r="AG403" s="33"/>
      <c r="AH403" s="33"/>
      <c r="AI403" s="33"/>
      <c r="AJ403" s="42"/>
      <c r="AK403" s="37"/>
      <c r="AL403" s="37"/>
      <c r="AM403" s="37"/>
      <c r="AN403" s="37"/>
      <c r="AO403" s="43"/>
      <c r="AP403" s="35"/>
      <c r="AQ403" s="35"/>
      <c r="AR403" s="44"/>
      <c r="AS403" s="37" t="s">
        <v>485</v>
      </c>
    </row>
    <row r="404" spans="1:45" ht="48" customHeight="1" x14ac:dyDescent="0.25">
      <c r="A404" s="32" t="s">
        <v>2344</v>
      </c>
      <c r="B404" s="56">
        <v>45342</v>
      </c>
      <c r="C404" s="35" t="s">
        <v>548</v>
      </c>
      <c r="D404" s="36"/>
      <c r="E404" s="1" t="s">
        <v>2345</v>
      </c>
      <c r="F404" s="33">
        <v>45363</v>
      </c>
      <c r="G404" s="35" t="s">
        <v>2346</v>
      </c>
      <c r="H404" s="37" t="s">
        <v>2032</v>
      </c>
      <c r="I404" s="59" t="s">
        <v>2347</v>
      </c>
      <c r="J404" s="57">
        <v>8316339</v>
      </c>
      <c r="K404" s="40">
        <f>((J404-M404)/J404)*100</f>
        <v>1.0752688172043012</v>
      </c>
      <c r="L404" s="41">
        <f>J404-M404</f>
        <v>89423</v>
      </c>
      <c r="M404" s="38">
        <v>8226916</v>
      </c>
      <c r="N404" s="41">
        <f>J404-O404</f>
        <v>89423</v>
      </c>
      <c r="O404" s="38">
        <v>8226916</v>
      </c>
      <c r="P404" s="27">
        <f t="shared" si="55"/>
        <v>8226916</v>
      </c>
      <c r="Q404" s="27">
        <f t="shared" si="54"/>
        <v>8226916</v>
      </c>
      <c r="R404" s="27">
        <f>Q404/U404</f>
        <v>0.92</v>
      </c>
      <c r="S404" s="38">
        <f>Q404/U404</f>
        <v>0.92</v>
      </c>
      <c r="T404" s="38" t="e">
        <f>S404*AR404</f>
        <v>#VALUE!</v>
      </c>
      <c r="U404" s="38">
        <f t="shared" si="50"/>
        <v>8942300</v>
      </c>
      <c r="V404" s="38">
        <v>8942300</v>
      </c>
      <c r="W404" s="38">
        <v>0</v>
      </c>
      <c r="X404" s="38">
        <v>0</v>
      </c>
      <c r="Y404" s="38">
        <v>0</v>
      </c>
      <c r="Z404" s="38">
        <f t="shared" si="56"/>
        <v>0</v>
      </c>
      <c r="AA404" s="38">
        <v>0</v>
      </c>
      <c r="AB404" s="38">
        <f t="shared" si="57"/>
        <v>0</v>
      </c>
      <c r="AC404" s="38" t="e">
        <f>U404/AR404</f>
        <v>#VALUE!</v>
      </c>
      <c r="AD404" s="38" t="e">
        <f t="shared" si="52"/>
        <v>#VALUE!</v>
      </c>
      <c r="AE404" s="33">
        <v>45397</v>
      </c>
      <c r="AF404" s="33"/>
      <c r="AG404" s="33"/>
      <c r="AH404" s="33">
        <v>45427</v>
      </c>
      <c r="AI404" s="33"/>
      <c r="AJ404" s="42"/>
      <c r="AK404" s="37" t="s">
        <v>2348</v>
      </c>
      <c r="AL404" s="37" t="s">
        <v>2349</v>
      </c>
      <c r="AM404" s="37" t="s">
        <v>2350</v>
      </c>
      <c r="AN404" s="37" t="s">
        <v>50</v>
      </c>
      <c r="AO404" s="43">
        <v>100</v>
      </c>
      <c r="AP404" s="35">
        <v>0</v>
      </c>
      <c r="AQ404" s="35" t="s">
        <v>164</v>
      </c>
      <c r="AR404" s="48" t="s">
        <v>2351</v>
      </c>
      <c r="AS404" s="37" t="s">
        <v>52</v>
      </c>
    </row>
    <row r="405" spans="1:45" ht="48" customHeight="1" x14ac:dyDescent="0.25">
      <c r="A405" s="32" t="s">
        <v>2352</v>
      </c>
      <c r="B405" s="56">
        <v>45342</v>
      </c>
      <c r="C405" s="35" t="s">
        <v>548</v>
      </c>
      <c r="D405" s="35" t="s">
        <v>485</v>
      </c>
      <c r="E405" s="1" t="s">
        <v>2353</v>
      </c>
      <c r="F405" s="35" t="s">
        <v>485</v>
      </c>
      <c r="G405" s="35" t="s">
        <v>485</v>
      </c>
      <c r="H405" s="35" t="s">
        <v>485</v>
      </c>
      <c r="I405" s="58" t="s">
        <v>2354</v>
      </c>
      <c r="J405" s="57">
        <v>17131455</v>
      </c>
      <c r="K405" s="40">
        <f>((J405-M405)/J405)*100</f>
        <v>100</v>
      </c>
      <c r="L405" s="41">
        <f>J405-M405</f>
        <v>17131455</v>
      </c>
      <c r="M405" s="38"/>
      <c r="N405" s="41">
        <f>J405-O405</f>
        <v>17131455</v>
      </c>
      <c r="O405" s="38">
        <v>0</v>
      </c>
      <c r="P405" s="27">
        <f t="shared" si="55"/>
        <v>0</v>
      </c>
      <c r="Q405" s="27">
        <f t="shared" si="54"/>
        <v>0</v>
      </c>
      <c r="R405" s="27" t="e">
        <f>Q405/U405</f>
        <v>#DIV/0!</v>
      </c>
      <c r="S405" s="38" t="e">
        <f>Q405/U405</f>
        <v>#DIV/0!</v>
      </c>
      <c r="T405" s="38" t="e">
        <f>S405*AR405</f>
        <v>#DIV/0!</v>
      </c>
      <c r="U405" s="38">
        <f t="shared" si="50"/>
        <v>0</v>
      </c>
      <c r="V405" s="38">
        <v>0</v>
      </c>
      <c r="W405" s="38">
        <v>0</v>
      </c>
      <c r="X405" s="38">
        <v>0</v>
      </c>
      <c r="Y405" s="38"/>
      <c r="Z405" s="38" t="e">
        <f t="shared" si="56"/>
        <v>#DIV/0!</v>
      </c>
      <c r="AA405" s="38"/>
      <c r="AB405" s="38" t="e">
        <f t="shared" si="57"/>
        <v>#DIV/0!</v>
      </c>
      <c r="AC405" s="38" t="e">
        <f>U405/AR405</f>
        <v>#DIV/0!</v>
      </c>
      <c r="AD405" s="38" t="e">
        <f t="shared" si="52"/>
        <v>#DIV/0!</v>
      </c>
      <c r="AE405" s="33">
        <v>45397</v>
      </c>
      <c r="AF405" s="33"/>
      <c r="AG405" s="33"/>
      <c r="AH405" s="33"/>
      <c r="AI405" s="33"/>
      <c r="AJ405" s="42"/>
      <c r="AK405" s="37"/>
      <c r="AL405" s="37"/>
      <c r="AM405" s="37"/>
      <c r="AN405" s="37"/>
      <c r="AO405" s="43"/>
      <c r="AP405" s="35"/>
      <c r="AQ405" s="35"/>
      <c r="AR405" s="44"/>
      <c r="AS405" s="37" t="s">
        <v>485</v>
      </c>
    </row>
    <row r="406" spans="1:45" ht="48" customHeight="1" x14ac:dyDescent="0.25">
      <c r="A406" s="32" t="s">
        <v>2355</v>
      </c>
      <c r="B406" s="56">
        <v>45342</v>
      </c>
      <c r="C406" s="35" t="s">
        <v>486</v>
      </c>
      <c r="D406" s="35" t="s">
        <v>485</v>
      </c>
      <c r="E406" s="1" t="s">
        <v>2356</v>
      </c>
      <c r="F406" s="35" t="s">
        <v>485</v>
      </c>
      <c r="G406" s="35" t="s">
        <v>485</v>
      </c>
      <c r="H406" s="35" t="s">
        <v>485</v>
      </c>
      <c r="I406" s="58" t="s">
        <v>2357</v>
      </c>
      <c r="J406" s="57">
        <v>1462531.2</v>
      </c>
      <c r="K406" s="40">
        <f>((J406-M406)/J406)*100</f>
        <v>100</v>
      </c>
      <c r="L406" s="41">
        <f>J406-M406</f>
        <v>1462531.2</v>
      </c>
      <c r="M406" s="38"/>
      <c r="N406" s="41">
        <f>J406-O406</f>
        <v>1462531.2</v>
      </c>
      <c r="O406" s="38">
        <v>0</v>
      </c>
      <c r="P406" s="27">
        <f t="shared" si="55"/>
        <v>0</v>
      </c>
      <c r="Q406" s="27">
        <f t="shared" si="54"/>
        <v>0</v>
      </c>
      <c r="R406" s="27" t="e">
        <f>Q406/U406</f>
        <v>#DIV/0!</v>
      </c>
      <c r="S406" s="38" t="e">
        <f>Q406/U406</f>
        <v>#DIV/0!</v>
      </c>
      <c r="T406" s="38" t="e">
        <f>S406*AR406</f>
        <v>#DIV/0!</v>
      </c>
      <c r="U406" s="38">
        <f t="shared" si="50"/>
        <v>0</v>
      </c>
      <c r="V406" s="38">
        <v>0</v>
      </c>
      <c r="W406" s="38">
        <v>0</v>
      </c>
      <c r="X406" s="38">
        <v>0</v>
      </c>
      <c r="Y406" s="38"/>
      <c r="Z406" s="38" t="e">
        <f t="shared" si="56"/>
        <v>#DIV/0!</v>
      </c>
      <c r="AA406" s="38"/>
      <c r="AB406" s="38" t="e">
        <f t="shared" si="57"/>
        <v>#DIV/0!</v>
      </c>
      <c r="AC406" s="38" t="e">
        <f>U406/AR406</f>
        <v>#DIV/0!</v>
      </c>
      <c r="AD406" s="38" t="e">
        <f t="shared" si="52"/>
        <v>#DIV/0!</v>
      </c>
      <c r="AE406" s="33">
        <v>45413</v>
      </c>
      <c r="AF406" s="33"/>
      <c r="AG406" s="33"/>
      <c r="AH406" s="33"/>
      <c r="AI406" s="33"/>
      <c r="AJ406" s="42"/>
      <c r="AK406" s="37"/>
      <c r="AL406" s="37"/>
      <c r="AM406" s="37"/>
      <c r="AN406" s="37"/>
      <c r="AO406" s="43"/>
      <c r="AP406" s="35"/>
      <c r="AQ406" s="35"/>
      <c r="AR406" s="44"/>
      <c r="AS406" s="37" t="s">
        <v>485</v>
      </c>
    </row>
    <row r="407" spans="1:45" ht="48" customHeight="1" x14ac:dyDescent="0.25">
      <c r="A407" s="32" t="s">
        <v>2358</v>
      </c>
      <c r="B407" s="56">
        <v>45342</v>
      </c>
      <c r="C407" s="35" t="s">
        <v>548</v>
      </c>
      <c r="D407" s="36"/>
      <c r="E407" s="1" t="s">
        <v>2359</v>
      </c>
      <c r="F407" s="33">
        <v>45363</v>
      </c>
      <c r="G407" s="35" t="s">
        <v>2360</v>
      </c>
      <c r="H407" s="37" t="s">
        <v>2061</v>
      </c>
      <c r="I407" s="59" t="s">
        <v>2361</v>
      </c>
      <c r="J407" s="57">
        <v>2756167</v>
      </c>
      <c r="K407" s="40">
        <f>((J407-M407)/J407)*100</f>
        <v>0</v>
      </c>
      <c r="L407" s="41">
        <f>J407-M407</f>
        <v>0</v>
      </c>
      <c r="M407" s="57">
        <v>2756167</v>
      </c>
      <c r="N407" s="41">
        <f>J407-O407</f>
        <v>0</v>
      </c>
      <c r="O407" s="57">
        <v>2756167</v>
      </c>
      <c r="P407" s="27">
        <f t="shared" si="55"/>
        <v>2756167</v>
      </c>
      <c r="Q407" s="27">
        <f t="shared" si="54"/>
        <v>2756167</v>
      </c>
      <c r="R407" s="27">
        <f>Q407/U407</f>
        <v>16.3</v>
      </c>
      <c r="S407" s="38">
        <f>Q407/U407</f>
        <v>16.3</v>
      </c>
      <c r="T407" s="38">
        <f>S407*AR407</f>
        <v>1630</v>
      </c>
      <c r="U407" s="38">
        <f t="shared" si="50"/>
        <v>169090</v>
      </c>
      <c r="V407" s="38">
        <v>169090</v>
      </c>
      <c r="W407" s="38">
        <v>0</v>
      </c>
      <c r="X407" s="38">
        <v>0</v>
      </c>
      <c r="Y407" s="38">
        <v>0</v>
      </c>
      <c r="Z407" s="38">
        <f t="shared" si="56"/>
        <v>0</v>
      </c>
      <c r="AA407" s="38">
        <v>0</v>
      </c>
      <c r="AB407" s="38">
        <f t="shared" si="57"/>
        <v>0</v>
      </c>
      <c r="AC407" s="38">
        <f>U407/AR407</f>
        <v>1690.9</v>
      </c>
      <c r="AD407" s="38">
        <f t="shared" si="52"/>
        <v>1691</v>
      </c>
      <c r="AE407" s="33">
        <v>45397</v>
      </c>
      <c r="AF407" s="33"/>
      <c r="AG407" s="33"/>
      <c r="AH407" s="33">
        <v>45427</v>
      </c>
      <c r="AI407" s="33"/>
      <c r="AJ407" s="42"/>
      <c r="AK407" s="37" t="s">
        <v>2285</v>
      </c>
      <c r="AL407" s="37" t="s">
        <v>2362</v>
      </c>
      <c r="AM407" s="37" t="s">
        <v>2287</v>
      </c>
      <c r="AN407" s="37" t="s">
        <v>50</v>
      </c>
      <c r="AO407" s="43">
        <v>100</v>
      </c>
      <c r="AP407" s="35">
        <v>0</v>
      </c>
      <c r="AQ407" s="35" t="s">
        <v>441</v>
      </c>
      <c r="AR407" s="44">
        <v>100</v>
      </c>
      <c r="AS407" s="37" t="s">
        <v>52</v>
      </c>
    </row>
    <row r="408" spans="1:45" ht="48" customHeight="1" x14ac:dyDescent="0.25">
      <c r="A408" s="32" t="s">
        <v>2363</v>
      </c>
      <c r="B408" s="56">
        <v>45342</v>
      </c>
      <c r="C408" s="37" t="s">
        <v>2074</v>
      </c>
      <c r="D408" s="36"/>
      <c r="E408" s="1" t="s">
        <v>2364</v>
      </c>
      <c r="F408" s="33">
        <v>45355</v>
      </c>
      <c r="G408" s="35" t="s">
        <v>2365</v>
      </c>
      <c r="H408" s="37" t="s">
        <v>2061</v>
      </c>
      <c r="I408" s="59" t="s">
        <v>2361</v>
      </c>
      <c r="J408" s="57">
        <v>55909</v>
      </c>
      <c r="K408" s="40">
        <f>((J408-M408)/J408)*100</f>
        <v>0</v>
      </c>
      <c r="L408" s="41">
        <f>J408-M408</f>
        <v>0</v>
      </c>
      <c r="M408" s="57">
        <v>55909</v>
      </c>
      <c r="N408" s="41">
        <f>J408-O408</f>
        <v>0</v>
      </c>
      <c r="O408" s="57">
        <v>55909</v>
      </c>
      <c r="P408" s="27">
        <f t="shared" si="55"/>
        <v>55909</v>
      </c>
      <c r="Q408" s="27">
        <f t="shared" si="54"/>
        <v>55909</v>
      </c>
      <c r="R408" s="27">
        <f>Q408/U408</f>
        <v>16.3</v>
      </c>
      <c r="S408" s="38">
        <f>Q408/U408</f>
        <v>16.3</v>
      </c>
      <c r="T408" s="38">
        <f>S408*AR408</f>
        <v>1630</v>
      </c>
      <c r="U408" s="38">
        <f t="shared" si="50"/>
        <v>3430</v>
      </c>
      <c r="V408" s="38">
        <v>3430</v>
      </c>
      <c r="W408" s="38">
        <v>0</v>
      </c>
      <c r="X408" s="38">
        <v>0</v>
      </c>
      <c r="Y408" s="38">
        <v>0</v>
      </c>
      <c r="Z408" s="38">
        <f t="shared" si="56"/>
        <v>0</v>
      </c>
      <c r="AA408" s="38">
        <v>0</v>
      </c>
      <c r="AB408" s="38">
        <f t="shared" si="57"/>
        <v>0</v>
      </c>
      <c r="AC408" s="38">
        <f>U408/AR408</f>
        <v>34.299999999999997</v>
      </c>
      <c r="AD408" s="38">
        <f t="shared" si="52"/>
        <v>35</v>
      </c>
      <c r="AE408" s="33">
        <v>45397</v>
      </c>
      <c r="AF408" s="33"/>
      <c r="AG408" s="33"/>
      <c r="AH408" s="33">
        <v>45427</v>
      </c>
      <c r="AI408" s="33"/>
      <c r="AJ408" s="42"/>
      <c r="AK408" s="37" t="s">
        <v>2285</v>
      </c>
      <c r="AL408" s="37" t="s">
        <v>2362</v>
      </c>
      <c r="AM408" s="37" t="s">
        <v>2287</v>
      </c>
      <c r="AN408" s="37" t="s">
        <v>50</v>
      </c>
      <c r="AO408" s="43">
        <v>100</v>
      </c>
      <c r="AP408" s="35">
        <v>0</v>
      </c>
      <c r="AQ408" s="35" t="s">
        <v>441</v>
      </c>
      <c r="AR408" s="44">
        <v>100</v>
      </c>
      <c r="AS408" s="37" t="s">
        <v>176</v>
      </c>
    </row>
    <row r="409" spans="1:45" ht="48" customHeight="1" x14ac:dyDescent="0.25">
      <c r="A409" s="32" t="s">
        <v>2366</v>
      </c>
      <c r="B409" s="56">
        <v>45343</v>
      </c>
      <c r="C409" s="35">
        <v>1416</v>
      </c>
      <c r="D409" s="35" t="s">
        <v>485</v>
      </c>
      <c r="E409" s="1" t="s">
        <v>2367</v>
      </c>
      <c r="F409" s="35" t="s">
        <v>485</v>
      </c>
      <c r="G409" s="35" t="s">
        <v>485</v>
      </c>
      <c r="H409" s="35" t="s">
        <v>485</v>
      </c>
      <c r="I409" s="58" t="s">
        <v>2368</v>
      </c>
      <c r="J409" s="57">
        <v>2041600</v>
      </c>
      <c r="K409" s="40">
        <f>((J409-M409)/J409)*100</f>
        <v>100</v>
      </c>
      <c r="L409" s="41">
        <f>J409-M409</f>
        <v>2041600</v>
      </c>
      <c r="M409" s="38"/>
      <c r="N409" s="41">
        <f>J409-O409</f>
        <v>2041600</v>
      </c>
      <c r="O409" s="38">
        <v>0</v>
      </c>
      <c r="P409" s="27">
        <f t="shared" si="55"/>
        <v>0</v>
      </c>
      <c r="Q409" s="27">
        <f t="shared" si="54"/>
        <v>0</v>
      </c>
      <c r="R409" s="27" t="e">
        <f>Q409/U409</f>
        <v>#DIV/0!</v>
      </c>
      <c r="S409" s="38" t="e">
        <f>Q409/U409</f>
        <v>#DIV/0!</v>
      </c>
      <c r="T409" s="38" t="e">
        <f>S409*AR409</f>
        <v>#DIV/0!</v>
      </c>
      <c r="U409" s="38">
        <f t="shared" si="50"/>
        <v>0</v>
      </c>
      <c r="V409" s="38">
        <v>0</v>
      </c>
      <c r="W409" s="38">
        <v>0</v>
      </c>
      <c r="X409" s="38">
        <v>0</v>
      </c>
      <c r="Y409" s="38"/>
      <c r="Z409" s="38" t="e">
        <f t="shared" si="56"/>
        <v>#DIV/0!</v>
      </c>
      <c r="AA409" s="38"/>
      <c r="AB409" s="38" t="e">
        <f t="shared" si="57"/>
        <v>#DIV/0!</v>
      </c>
      <c r="AC409" s="38" t="e">
        <f>U409/AR409</f>
        <v>#DIV/0!</v>
      </c>
      <c r="AD409" s="38" t="e">
        <f t="shared" si="52"/>
        <v>#DIV/0!</v>
      </c>
      <c r="AE409" s="33">
        <v>45397</v>
      </c>
      <c r="AF409" s="33"/>
      <c r="AG409" s="33"/>
      <c r="AH409" s="33"/>
      <c r="AI409" s="33"/>
      <c r="AJ409" s="42"/>
      <c r="AK409" s="37"/>
      <c r="AL409" s="37"/>
      <c r="AM409" s="37"/>
      <c r="AN409" s="37"/>
      <c r="AO409" s="43"/>
      <c r="AP409" s="35"/>
      <c r="AQ409" s="35"/>
      <c r="AR409" s="44"/>
      <c r="AS409" s="37" t="s">
        <v>485</v>
      </c>
    </row>
    <row r="410" spans="1:45" ht="48" customHeight="1" x14ac:dyDescent="0.25">
      <c r="A410" s="32" t="s">
        <v>2369</v>
      </c>
      <c r="B410" s="56">
        <v>45342</v>
      </c>
      <c r="C410" s="37" t="s">
        <v>2074</v>
      </c>
      <c r="D410" s="35" t="s">
        <v>485</v>
      </c>
      <c r="E410" s="1" t="s">
        <v>2370</v>
      </c>
      <c r="F410" s="35" t="s">
        <v>485</v>
      </c>
      <c r="G410" s="35" t="s">
        <v>485</v>
      </c>
      <c r="H410" s="35" t="s">
        <v>485</v>
      </c>
      <c r="I410" s="58" t="s">
        <v>2371</v>
      </c>
      <c r="J410" s="57">
        <v>399637</v>
      </c>
      <c r="K410" s="40">
        <f>((J410-M410)/J410)*100</f>
        <v>100</v>
      </c>
      <c r="L410" s="41">
        <f>J410-M410</f>
        <v>399637</v>
      </c>
      <c r="M410" s="38"/>
      <c r="N410" s="41">
        <f>J410-O410</f>
        <v>399637</v>
      </c>
      <c r="O410" s="38">
        <v>0</v>
      </c>
      <c r="P410" s="27">
        <f t="shared" si="55"/>
        <v>0</v>
      </c>
      <c r="Q410" s="27">
        <f t="shared" si="54"/>
        <v>0</v>
      </c>
      <c r="R410" s="27" t="e">
        <f>Q410/U410</f>
        <v>#DIV/0!</v>
      </c>
      <c r="S410" s="38" t="e">
        <f>Q410/U410</f>
        <v>#DIV/0!</v>
      </c>
      <c r="T410" s="38" t="e">
        <f>S410*AR410</f>
        <v>#DIV/0!</v>
      </c>
      <c r="U410" s="38">
        <f t="shared" ref="U410:U473" si="58">V410+W410+X410</f>
        <v>0</v>
      </c>
      <c r="V410" s="38">
        <v>0</v>
      </c>
      <c r="W410" s="38">
        <v>0</v>
      </c>
      <c r="X410" s="38">
        <v>0</v>
      </c>
      <c r="Y410" s="38"/>
      <c r="Z410" s="38" t="e">
        <f t="shared" si="56"/>
        <v>#DIV/0!</v>
      </c>
      <c r="AA410" s="38"/>
      <c r="AB410" s="38" t="e">
        <f t="shared" si="57"/>
        <v>#DIV/0!</v>
      </c>
      <c r="AC410" s="38" t="e">
        <f>U410/AR410</f>
        <v>#DIV/0!</v>
      </c>
      <c r="AD410" s="38" t="e">
        <f t="shared" si="52"/>
        <v>#DIV/0!</v>
      </c>
      <c r="AE410" s="33">
        <v>45397</v>
      </c>
      <c r="AF410" s="33"/>
      <c r="AG410" s="33"/>
      <c r="AH410" s="33"/>
      <c r="AI410" s="33"/>
      <c r="AJ410" s="42"/>
      <c r="AK410" s="37"/>
      <c r="AL410" s="37"/>
      <c r="AM410" s="37"/>
      <c r="AN410" s="37"/>
      <c r="AO410" s="43"/>
      <c r="AP410" s="35"/>
      <c r="AQ410" s="35"/>
      <c r="AR410" s="44"/>
      <c r="AS410" s="37" t="s">
        <v>485</v>
      </c>
    </row>
    <row r="411" spans="1:45" ht="44.25" customHeight="1" x14ac:dyDescent="0.25">
      <c r="A411" s="32" t="s">
        <v>2372</v>
      </c>
      <c r="B411" s="56">
        <v>45342</v>
      </c>
      <c r="C411" s="37" t="s">
        <v>2074</v>
      </c>
      <c r="D411" s="36"/>
      <c r="E411" s="1" t="s">
        <v>2373</v>
      </c>
      <c r="F411" s="33">
        <v>45355</v>
      </c>
      <c r="G411" s="35" t="s">
        <v>2374</v>
      </c>
      <c r="H411" s="37" t="s">
        <v>2375</v>
      </c>
      <c r="I411" s="58" t="s">
        <v>2376</v>
      </c>
      <c r="J411" s="62">
        <v>146655.6</v>
      </c>
      <c r="K411" s="40">
        <f>((J411-M411)/J411)*100</f>
        <v>0</v>
      </c>
      <c r="L411" s="41">
        <f>J411-M411</f>
        <v>0</v>
      </c>
      <c r="M411" s="63">
        <v>146655.6</v>
      </c>
      <c r="N411" s="41">
        <f>J411-O411</f>
        <v>0</v>
      </c>
      <c r="O411" s="62">
        <v>146655.6</v>
      </c>
      <c r="P411" s="27">
        <f t="shared" si="55"/>
        <v>146655.6</v>
      </c>
      <c r="Q411" s="27">
        <f t="shared" si="54"/>
        <v>146655.6</v>
      </c>
      <c r="R411" s="27">
        <f>Q411/U411</f>
        <v>3.5700000000000003</v>
      </c>
      <c r="S411" s="38">
        <f>Q411/U411</f>
        <v>3.5700000000000003</v>
      </c>
      <c r="T411" s="38">
        <f>S411*AR411</f>
        <v>35.700000000000003</v>
      </c>
      <c r="U411" s="38">
        <f t="shared" si="58"/>
        <v>41080</v>
      </c>
      <c r="V411" s="38">
        <v>41080</v>
      </c>
      <c r="W411" s="38">
        <v>0</v>
      </c>
      <c r="X411" s="38">
        <v>0</v>
      </c>
      <c r="Y411" s="38">
        <v>0</v>
      </c>
      <c r="Z411" s="38">
        <f t="shared" si="56"/>
        <v>0</v>
      </c>
      <c r="AA411" s="38">
        <v>0</v>
      </c>
      <c r="AB411" s="38">
        <f t="shared" si="57"/>
        <v>0</v>
      </c>
      <c r="AC411" s="38">
        <f>U411/AR411</f>
        <v>4108</v>
      </c>
      <c r="AD411" s="38">
        <f t="shared" si="52"/>
        <v>4108</v>
      </c>
      <c r="AE411" s="33">
        <v>45397</v>
      </c>
      <c r="AF411" s="33"/>
      <c r="AG411" s="33"/>
      <c r="AH411" s="33">
        <v>45427</v>
      </c>
      <c r="AI411" s="33"/>
      <c r="AJ411" s="42"/>
      <c r="AK411" s="37" t="s">
        <v>2377</v>
      </c>
      <c r="AL411" s="37" t="s">
        <v>2378</v>
      </c>
      <c r="AM411" s="37" t="s">
        <v>2379</v>
      </c>
      <c r="AN411" s="37" t="s">
        <v>50</v>
      </c>
      <c r="AO411" s="43">
        <v>100</v>
      </c>
      <c r="AP411" s="35">
        <v>0</v>
      </c>
      <c r="AQ411" s="35" t="s">
        <v>441</v>
      </c>
      <c r="AR411" s="44">
        <v>10</v>
      </c>
      <c r="AS411" s="37" t="s">
        <v>52</v>
      </c>
    </row>
    <row r="412" spans="1:45" ht="39" customHeight="1" x14ac:dyDescent="0.25">
      <c r="A412" s="32" t="s">
        <v>2380</v>
      </c>
      <c r="B412" s="56">
        <v>45343</v>
      </c>
      <c r="C412" s="35">
        <v>1416</v>
      </c>
      <c r="D412" s="36"/>
      <c r="E412" s="1" t="s">
        <v>2381</v>
      </c>
      <c r="F412" s="33">
        <v>45363</v>
      </c>
      <c r="G412" s="35" t="s">
        <v>2382</v>
      </c>
      <c r="H412" s="37" t="s">
        <v>1067</v>
      </c>
      <c r="I412" s="58" t="s">
        <v>2383</v>
      </c>
      <c r="J412" s="57">
        <v>45157260</v>
      </c>
      <c r="K412" s="40">
        <f>((J412-M412)/J412)*100</f>
        <v>0</v>
      </c>
      <c r="L412" s="41">
        <f>J412-M412</f>
        <v>0</v>
      </c>
      <c r="M412" s="57">
        <v>45157260</v>
      </c>
      <c r="N412" s="41">
        <f>J412-O412</f>
        <v>0</v>
      </c>
      <c r="O412" s="57">
        <v>45157260</v>
      </c>
      <c r="P412" s="27">
        <f t="shared" si="55"/>
        <v>45157260</v>
      </c>
      <c r="Q412" s="27">
        <f t="shared" si="54"/>
        <v>45157260</v>
      </c>
      <c r="R412" s="27">
        <f>Q412/U412</f>
        <v>12.36</v>
      </c>
      <c r="S412" s="38">
        <f>Q412/U412</f>
        <v>12.36</v>
      </c>
      <c r="T412" s="38">
        <f>S412*AR412</f>
        <v>6180</v>
      </c>
      <c r="U412" s="38">
        <f t="shared" si="58"/>
        <v>3653500</v>
      </c>
      <c r="V412" s="38">
        <f>2000000</f>
        <v>2000000</v>
      </c>
      <c r="W412" s="38">
        <v>1653500</v>
      </c>
      <c r="X412" s="38">
        <v>0</v>
      </c>
      <c r="Y412" s="38">
        <f>2000000+1653500</f>
        <v>3653500</v>
      </c>
      <c r="Z412" s="38">
        <f t="shared" si="56"/>
        <v>45157260</v>
      </c>
      <c r="AA412" s="38">
        <v>0</v>
      </c>
      <c r="AB412" s="38">
        <f t="shared" si="57"/>
        <v>0</v>
      </c>
      <c r="AC412" s="38">
        <f>U412/AR412</f>
        <v>7307</v>
      </c>
      <c r="AD412" s="38">
        <f t="shared" si="52"/>
        <v>7307</v>
      </c>
      <c r="AE412" s="33">
        <v>45397</v>
      </c>
      <c r="AF412" s="33">
        <v>45443</v>
      </c>
      <c r="AG412" s="33"/>
      <c r="AH412" s="33">
        <v>45427</v>
      </c>
      <c r="AI412" s="33">
        <v>45474</v>
      </c>
      <c r="AJ412" s="42"/>
      <c r="AK412" s="37" t="s">
        <v>2384</v>
      </c>
      <c r="AL412" s="37" t="s">
        <v>2385</v>
      </c>
      <c r="AM412" s="37" t="s">
        <v>2386</v>
      </c>
      <c r="AN412" s="37" t="s">
        <v>751</v>
      </c>
      <c r="AO412" s="43">
        <v>0</v>
      </c>
      <c r="AP412" s="35">
        <v>100</v>
      </c>
      <c r="AQ412" s="35" t="s">
        <v>175</v>
      </c>
      <c r="AR412" s="44">
        <v>500</v>
      </c>
      <c r="AS412" s="37" t="s">
        <v>52</v>
      </c>
    </row>
    <row r="413" spans="1:45" ht="39" customHeight="1" x14ac:dyDescent="0.25">
      <c r="A413" s="32" t="s">
        <v>2387</v>
      </c>
      <c r="B413" s="56">
        <v>45343</v>
      </c>
      <c r="C413" s="35" t="s">
        <v>548</v>
      </c>
      <c r="D413" s="35" t="s">
        <v>485</v>
      </c>
      <c r="E413" s="1" t="s">
        <v>2388</v>
      </c>
      <c r="F413" s="35" t="s">
        <v>485</v>
      </c>
      <c r="G413" s="35" t="s">
        <v>485</v>
      </c>
      <c r="H413" s="35" t="s">
        <v>485</v>
      </c>
      <c r="I413" s="59" t="s">
        <v>2284</v>
      </c>
      <c r="J413" s="57">
        <v>61618718.600000001</v>
      </c>
      <c r="K413" s="40">
        <f>((J413-M413)/J413)*100</f>
        <v>100</v>
      </c>
      <c r="L413" s="41">
        <f>J413-M413</f>
        <v>61618718.600000001</v>
      </c>
      <c r="M413" s="38"/>
      <c r="N413" s="41">
        <f>J413-O413</f>
        <v>61618718.600000001</v>
      </c>
      <c r="O413" s="38">
        <v>0</v>
      </c>
      <c r="P413" s="27">
        <f t="shared" si="55"/>
        <v>0</v>
      </c>
      <c r="Q413" s="27">
        <f t="shared" si="54"/>
        <v>0</v>
      </c>
      <c r="R413" s="27" t="e">
        <f>Q413/U413</f>
        <v>#DIV/0!</v>
      </c>
      <c r="S413" s="38" t="e">
        <f>Q413/U413</f>
        <v>#DIV/0!</v>
      </c>
      <c r="T413" s="38" t="e">
        <f>S413*AR413</f>
        <v>#DIV/0!</v>
      </c>
      <c r="U413" s="38">
        <f t="shared" si="58"/>
        <v>0</v>
      </c>
      <c r="V413" s="38">
        <v>0</v>
      </c>
      <c r="W413" s="38">
        <v>0</v>
      </c>
      <c r="X413" s="38">
        <v>0</v>
      </c>
      <c r="Y413" s="38"/>
      <c r="Z413" s="38" t="e">
        <f t="shared" si="56"/>
        <v>#DIV/0!</v>
      </c>
      <c r="AA413" s="38"/>
      <c r="AB413" s="38" t="e">
        <f t="shared" si="57"/>
        <v>#DIV/0!</v>
      </c>
      <c r="AC413" s="38" t="e">
        <f>U413/AR413</f>
        <v>#DIV/0!</v>
      </c>
      <c r="AD413" s="38" t="e">
        <f t="shared" si="52"/>
        <v>#DIV/0!</v>
      </c>
      <c r="AE413" s="33">
        <v>45397</v>
      </c>
      <c r="AF413" s="33"/>
      <c r="AG413" s="33"/>
      <c r="AH413" s="33"/>
      <c r="AI413" s="33"/>
      <c r="AJ413" s="42"/>
      <c r="AK413" s="37"/>
      <c r="AL413" s="37"/>
      <c r="AM413" s="37"/>
      <c r="AN413" s="37"/>
      <c r="AO413" s="43"/>
      <c r="AP413" s="35"/>
      <c r="AQ413" s="35"/>
      <c r="AR413" s="44"/>
      <c r="AS413" s="37" t="s">
        <v>485</v>
      </c>
    </row>
    <row r="414" spans="1:45" ht="39" customHeight="1" x14ac:dyDescent="0.25">
      <c r="A414" s="32" t="s">
        <v>2389</v>
      </c>
      <c r="B414" s="56">
        <v>45343</v>
      </c>
      <c r="C414" s="35">
        <v>1416</v>
      </c>
      <c r="D414" s="36"/>
      <c r="E414" s="1" t="s">
        <v>2390</v>
      </c>
      <c r="F414" s="33">
        <v>45363</v>
      </c>
      <c r="G414" s="35" t="s">
        <v>2391</v>
      </c>
      <c r="H414" s="37" t="s">
        <v>1067</v>
      </c>
      <c r="I414" s="58" t="s">
        <v>2392</v>
      </c>
      <c r="J414" s="57">
        <v>217068760</v>
      </c>
      <c r="K414" s="40">
        <f>((J414-M414)/J414)*100</f>
        <v>0</v>
      </c>
      <c r="L414" s="41">
        <f>J414-M414</f>
        <v>0</v>
      </c>
      <c r="M414" s="57">
        <v>217068760</v>
      </c>
      <c r="N414" s="41">
        <f>J414-O414</f>
        <v>0</v>
      </c>
      <c r="O414" s="57">
        <v>217068760</v>
      </c>
      <c r="P414" s="27">
        <f t="shared" si="55"/>
        <v>217068760</v>
      </c>
      <c r="Q414" s="27">
        <f t="shared" si="54"/>
        <v>217068760</v>
      </c>
      <c r="R414" s="27">
        <f>Q414/U414</f>
        <v>12.37</v>
      </c>
      <c r="S414" s="38">
        <f>Q414/U414</f>
        <v>12.37</v>
      </c>
      <c r="T414" s="38">
        <f>S414*AR414</f>
        <v>18555</v>
      </c>
      <c r="U414" s="38">
        <f t="shared" si="58"/>
        <v>17548000</v>
      </c>
      <c r="V414" s="38">
        <f>7745500</f>
        <v>7745500</v>
      </c>
      <c r="W414" s="38">
        <v>9802500</v>
      </c>
      <c r="X414" s="38">
        <v>0</v>
      </c>
      <c r="Y414" s="38">
        <v>7745500</v>
      </c>
      <c r="Z414" s="38">
        <f t="shared" si="56"/>
        <v>95811835</v>
      </c>
      <c r="AA414" s="38">
        <v>9802500</v>
      </c>
      <c r="AB414" s="38">
        <f t="shared" si="57"/>
        <v>121256924.99999999</v>
      </c>
      <c r="AC414" s="38">
        <f>U414/AR414</f>
        <v>11698.666666666666</v>
      </c>
      <c r="AD414" s="38">
        <f t="shared" si="52"/>
        <v>11699</v>
      </c>
      <c r="AE414" s="33">
        <v>45397</v>
      </c>
      <c r="AF414" s="33"/>
      <c r="AG414" s="33"/>
      <c r="AH414" s="33">
        <v>45427</v>
      </c>
      <c r="AI414" s="33"/>
      <c r="AJ414" s="42"/>
      <c r="AK414" s="37" t="s">
        <v>2384</v>
      </c>
      <c r="AL414" s="37" t="s">
        <v>2393</v>
      </c>
      <c r="AM414" s="37" t="s">
        <v>2386</v>
      </c>
      <c r="AN414" s="37" t="s">
        <v>751</v>
      </c>
      <c r="AO414" s="43">
        <v>0</v>
      </c>
      <c r="AP414" s="35">
        <v>100</v>
      </c>
      <c r="AQ414" s="35" t="s">
        <v>175</v>
      </c>
      <c r="AR414" s="44">
        <v>1500</v>
      </c>
      <c r="AS414" s="37" t="s">
        <v>52</v>
      </c>
    </row>
    <row r="415" spans="1:45" ht="43.5" customHeight="1" x14ac:dyDescent="0.25">
      <c r="A415" s="32" t="s">
        <v>2394</v>
      </c>
      <c r="B415" s="56">
        <v>45343</v>
      </c>
      <c r="C415" s="35">
        <v>1416</v>
      </c>
      <c r="D415" s="36"/>
      <c r="E415" s="1" t="s">
        <v>2395</v>
      </c>
      <c r="F415" s="33">
        <v>45376</v>
      </c>
      <c r="G415" s="35" t="s">
        <v>2396</v>
      </c>
      <c r="H415" s="37" t="s">
        <v>1067</v>
      </c>
      <c r="I415" s="58" t="s">
        <v>2397</v>
      </c>
      <c r="J415" s="57">
        <v>351221410</v>
      </c>
      <c r="K415" s="40">
        <f>((J415-M415)/J415)*100</f>
        <v>0</v>
      </c>
      <c r="L415" s="41">
        <f>J415-M415</f>
        <v>0</v>
      </c>
      <c r="M415" s="57">
        <v>351221410</v>
      </c>
      <c r="N415" s="41">
        <f>J415-O415</f>
        <v>0</v>
      </c>
      <c r="O415" s="57">
        <v>351221410</v>
      </c>
      <c r="P415" s="27">
        <f t="shared" si="55"/>
        <v>351221410</v>
      </c>
      <c r="Q415" s="27">
        <f t="shared" si="54"/>
        <v>351221410</v>
      </c>
      <c r="R415" s="27">
        <f>Q415/U415</f>
        <v>12.37</v>
      </c>
      <c r="S415" s="38">
        <f>Q415/U415</f>
        <v>12.37</v>
      </c>
      <c r="T415" s="38">
        <f>S415*AR415</f>
        <v>12370</v>
      </c>
      <c r="U415" s="38">
        <f t="shared" si="58"/>
        <v>28393000</v>
      </c>
      <c r="V415" s="38">
        <f>16607000+11786000</f>
        <v>28393000</v>
      </c>
      <c r="W415" s="38">
        <v>0</v>
      </c>
      <c r="X415" s="38">
        <v>0</v>
      </c>
      <c r="Y415" s="38">
        <v>16607000</v>
      </c>
      <c r="Z415" s="38">
        <f t="shared" si="56"/>
        <v>205428590</v>
      </c>
      <c r="AA415" s="38">
        <v>11786000</v>
      </c>
      <c r="AB415" s="38">
        <f t="shared" si="57"/>
        <v>145792820</v>
      </c>
      <c r="AC415" s="38">
        <f>U415/AR415</f>
        <v>28393</v>
      </c>
      <c r="AD415" s="38">
        <f t="shared" si="52"/>
        <v>28393</v>
      </c>
      <c r="AE415" s="33">
        <v>45397</v>
      </c>
      <c r="AF415" s="33"/>
      <c r="AG415" s="33"/>
      <c r="AH415" s="33">
        <v>45427</v>
      </c>
      <c r="AI415" s="33"/>
      <c r="AJ415" s="42"/>
      <c r="AK415" s="37" t="s">
        <v>2384</v>
      </c>
      <c r="AL415" s="37" t="s">
        <v>2398</v>
      </c>
      <c r="AM415" s="37" t="s">
        <v>2386</v>
      </c>
      <c r="AN415" s="37" t="s">
        <v>751</v>
      </c>
      <c r="AO415" s="43">
        <v>0</v>
      </c>
      <c r="AP415" s="35">
        <v>100</v>
      </c>
      <c r="AQ415" s="35" t="s">
        <v>175</v>
      </c>
      <c r="AR415" s="44">
        <v>1000</v>
      </c>
      <c r="AS415" s="37" t="s">
        <v>52</v>
      </c>
    </row>
    <row r="416" spans="1:45" ht="39" customHeight="1" x14ac:dyDescent="0.25">
      <c r="A416" s="32" t="s">
        <v>2399</v>
      </c>
      <c r="B416" s="56">
        <v>45343</v>
      </c>
      <c r="C416" s="35">
        <v>545</v>
      </c>
      <c r="D416" s="35" t="s">
        <v>485</v>
      </c>
      <c r="E416" s="1" t="s">
        <v>2400</v>
      </c>
      <c r="F416" s="35" t="s">
        <v>485</v>
      </c>
      <c r="G416" s="35" t="s">
        <v>485</v>
      </c>
      <c r="H416" s="35" t="s">
        <v>485</v>
      </c>
      <c r="I416" s="58" t="s">
        <v>618</v>
      </c>
      <c r="J416" s="57">
        <v>40387347</v>
      </c>
      <c r="K416" s="40">
        <f>((J416-M416)/J416)*100</f>
        <v>100</v>
      </c>
      <c r="L416" s="41">
        <f>J416-M416</f>
        <v>40387347</v>
      </c>
      <c r="M416" s="38"/>
      <c r="N416" s="41">
        <f>J416-O416</f>
        <v>40387347</v>
      </c>
      <c r="O416" s="38">
        <v>0</v>
      </c>
      <c r="P416" s="27">
        <f t="shared" si="55"/>
        <v>0</v>
      </c>
      <c r="Q416" s="27">
        <f t="shared" si="54"/>
        <v>0</v>
      </c>
      <c r="R416" s="27" t="e">
        <f>Q416/U416</f>
        <v>#DIV/0!</v>
      </c>
      <c r="S416" s="38" t="e">
        <f>Q416/U416</f>
        <v>#DIV/0!</v>
      </c>
      <c r="T416" s="38" t="e">
        <f>S416*AR416</f>
        <v>#DIV/0!</v>
      </c>
      <c r="U416" s="38">
        <f t="shared" si="58"/>
        <v>0</v>
      </c>
      <c r="V416" s="38">
        <v>0</v>
      </c>
      <c r="W416" s="38">
        <v>0</v>
      </c>
      <c r="X416" s="38">
        <v>0</v>
      </c>
      <c r="Y416" s="38"/>
      <c r="Z416" s="38" t="e">
        <f t="shared" si="56"/>
        <v>#DIV/0!</v>
      </c>
      <c r="AA416" s="38"/>
      <c r="AB416" s="38" t="e">
        <f t="shared" si="57"/>
        <v>#DIV/0!</v>
      </c>
      <c r="AC416" s="38" t="e">
        <f>U416/AR416</f>
        <v>#DIV/0!</v>
      </c>
      <c r="AD416" s="38" t="e">
        <f t="shared" si="52"/>
        <v>#DIV/0!</v>
      </c>
      <c r="AE416" s="33">
        <v>45382</v>
      </c>
      <c r="AF416" s="33"/>
      <c r="AG416" s="33"/>
      <c r="AH416" s="33"/>
      <c r="AI416" s="33"/>
      <c r="AJ416" s="42"/>
      <c r="AK416" s="37"/>
      <c r="AL416" s="37"/>
      <c r="AM416" s="37"/>
      <c r="AN416" s="37"/>
      <c r="AO416" s="43"/>
      <c r="AP416" s="35"/>
      <c r="AQ416" s="35"/>
      <c r="AR416" s="44"/>
      <c r="AS416" s="37" t="s">
        <v>485</v>
      </c>
    </row>
    <row r="417" spans="1:45" ht="39" customHeight="1" x14ac:dyDescent="0.25">
      <c r="A417" s="32" t="s">
        <v>2401</v>
      </c>
      <c r="B417" s="56">
        <v>45343</v>
      </c>
      <c r="C417" s="35" t="s">
        <v>548</v>
      </c>
      <c r="D417" s="35" t="s">
        <v>485</v>
      </c>
      <c r="E417" s="1" t="s">
        <v>2402</v>
      </c>
      <c r="F417" s="35" t="s">
        <v>485</v>
      </c>
      <c r="G417" s="35" t="s">
        <v>485</v>
      </c>
      <c r="H417" s="35" t="s">
        <v>485</v>
      </c>
      <c r="I417" s="58" t="s">
        <v>2403</v>
      </c>
      <c r="J417" s="57">
        <v>6719892.2999999998</v>
      </c>
      <c r="K417" s="40">
        <f>((J417-M417)/J417)*100</f>
        <v>100</v>
      </c>
      <c r="L417" s="41">
        <f>J417-M417</f>
        <v>6719892.2999999998</v>
      </c>
      <c r="M417" s="38"/>
      <c r="N417" s="41">
        <f>J417-O417</f>
        <v>6719892.2999999998</v>
      </c>
      <c r="O417" s="38">
        <v>0</v>
      </c>
      <c r="P417" s="27">
        <f t="shared" si="55"/>
        <v>0</v>
      </c>
      <c r="Q417" s="27">
        <f t="shared" si="54"/>
        <v>0</v>
      </c>
      <c r="R417" s="27" t="e">
        <f>Q417/U417</f>
        <v>#DIV/0!</v>
      </c>
      <c r="S417" s="38" t="e">
        <f>Q417/U417</f>
        <v>#DIV/0!</v>
      </c>
      <c r="T417" s="38" t="e">
        <f>S417*AR417</f>
        <v>#DIV/0!</v>
      </c>
      <c r="U417" s="38">
        <f t="shared" si="58"/>
        <v>0</v>
      </c>
      <c r="V417" s="38">
        <v>0</v>
      </c>
      <c r="W417" s="38">
        <v>0</v>
      </c>
      <c r="X417" s="38">
        <v>0</v>
      </c>
      <c r="Y417" s="38"/>
      <c r="Z417" s="38" t="e">
        <f t="shared" si="56"/>
        <v>#DIV/0!</v>
      </c>
      <c r="AA417" s="38"/>
      <c r="AB417" s="38" t="e">
        <f t="shared" si="57"/>
        <v>#DIV/0!</v>
      </c>
      <c r="AC417" s="38" t="e">
        <f>U417/AR417</f>
        <v>#DIV/0!</v>
      </c>
      <c r="AD417" s="38" t="e">
        <f t="shared" ref="AD417:AD480" si="59">_xlfn.CEILING.MATH(AC417)</f>
        <v>#DIV/0!</v>
      </c>
      <c r="AE417" s="33">
        <v>45397</v>
      </c>
      <c r="AF417" s="33"/>
      <c r="AG417" s="33"/>
      <c r="AH417" s="33"/>
      <c r="AI417" s="33"/>
      <c r="AJ417" s="42"/>
      <c r="AK417" s="37"/>
      <c r="AL417" s="37"/>
      <c r="AM417" s="37"/>
      <c r="AN417" s="37"/>
      <c r="AO417" s="43"/>
      <c r="AP417" s="35"/>
      <c r="AQ417" s="35"/>
      <c r="AR417" s="44"/>
      <c r="AS417" s="37" t="s">
        <v>485</v>
      </c>
    </row>
    <row r="418" spans="1:45" ht="39" customHeight="1" x14ac:dyDescent="0.25">
      <c r="A418" s="32" t="s">
        <v>2404</v>
      </c>
      <c r="B418" s="56">
        <v>45343</v>
      </c>
      <c r="C418" s="35" t="s">
        <v>2213</v>
      </c>
      <c r="D418" s="36"/>
      <c r="E418" s="1" t="s">
        <v>2405</v>
      </c>
      <c r="F418" s="33">
        <v>45356</v>
      </c>
      <c r="G418" s="35" t="s">
        <v>2406</v>
      </c>
      <c r="H418" s="37" t="s">
        <v>1847</v>
      </c>
      <c r="I418" s="58" t="s">
        <v>1486</v>
      </c>
      <c r="J418" s="57">
        <v>435864</v>
      </c>
      <c r="K418" s="40">
        <f>((J418-M418)/J418)*100</f>
        <v>2.3860653781913623E-2</v>
      </c>
      <c r="L418" s="41">
        <f>J418-M418</f>
        <v>104</v>
      </c>
      <c r="M418" s="38">
        <v>435760</v>
      </c>
      <c r="N418" s="41">
        <f>J418-O418</f>
        <v>104</v>
      </c>
      <c r="O418" s="38">
        <v>435760</v>
      </c>
      <c r="P418" s="27">
        <f t="shared" si="55"/>
        <v>435760</v>
      </c>
      <c r="Q418" s="27">
        <f t="shared" si="54"/>
        <v>435760</v>
      </c>
      <c r="R418" s="27">
        <f>Q418/U418</f>
        <v>41.9</v>
      </c>
      <c r="S418" s="38">
        <f>Q418/U418</f>
        <v>41.9</v>
      </c>
      <c r="T418" s="38">
        <f>S418*AR418</f>
        <v>2095</v>
      </c>
      <c r="U418" s="38">
        <f t="shared" si="58"/>
        <v>10400</v>
      </c>
      <c r="V418" s="38">
        <f>1800+8600</f>
        <v>10400</v>
      </c>
      <c r="W418" s="38">
        <v>0</v>
      </c>
      <c r="X418" s="38">
        <v>0</v>
      </c>
      <c r="Y418" s="38">
        <v>1800</v>
      </c>
      <c r="Z418" s="38">
        <f t="shared" si="56"/>
        <v>75420</v>
      </c>
      <c r="AA418" s="38">
        <v>8600</v>
      </c>
      <c r="AB418" s="38">
        <f t="shared" si="57"/>
        <v>360340</v>
      </c>
      <c r="AC418" s="38">
        <f>U418/AR418</f>
        <v>208</v>
      </c>
      <c r="AD418" s="38">
        <f t="shared" si="59"/>
        <v>208</v>
      </c>
      <c r="AE418" s="33">
        <v>45397</v>
      </c>
      <c r="AF418" s="33"/>
      <c r="AG418" s="33"/>
      <c r="AH418" s="33">
        <v>45427</v>
      </c>
      <c r="AI418" s="33"/>
      <c r="AJ418" s="42"/>
      <c r="AK418" s="37" t="s">
        <v>918</v>
      </c>
      <c r="AL418" s="37" t="s">
        <v>1513</v>
      </c>
      <c r="AM418" s="37" t="s">
        <v>920</v>
      </c>
      <c r="AN418" s="37" t="s">
        <v>50</v>
      </c>
      <c r="AO418" s="43">
        <v>100</v>
      </c>
      <c r="AP418" s="35">
        <v>0</v>
      </c>
      <c r="AQ418" s="35" t="s">
        <v>441</v>
      </c>
      <c r="AR418" s="44">
        <v>50</v>
      </c>
      <c r="AS418" s="37" t="s">
        <v>52</v>
      </c>
    </row>
    <row r="419" spans="1:45" ht="39" customHeight="1" x14ac:dyDescent="0.25">
      <c r="A419" s="32" t="s">
        <v>2407</v>
      </c>
      <c r="B419" s="56">
        <v>45343</v>
      </c>
      <c r="C419" s="35">
        <v>1416</v>
      </c>
      <c r="D419" s="36"/>
      <c r="E419" s="1" t="s">
        <v>2408</v>
      </c>
      <c r="F419" s="33">
        <v>45366</v>
      </c>
      <c r="G419" s="35" t="s">
        <v>2409</v>
      </c>
      <c r="H419" s="37" t="s">
        <v>219</v>
      </c>
      <c r="I419" s="58" t="s">
        <v>2410</v>
      </c>
      <c r="J419" s="57">
        <v>205846080</v>
      </c>
      <c r="K419" s="40">
        <f>((J419-M419)/J419)*100</f>
        <v>0</v>
      </c>
      <c r="L419" s="41">
        <f>J419-M419</f>
        <v>0</v>
      </c>
      <c r="M419" s="57">
        <v>205846080</v>
      </c>
      <c r="N419" s="41">
        <f>J419-O419</f>
        <v>0</v>
      </c>
      <c r="O419" s="57">
        <v>205846080</v>
      </c>
      <c r="P419" s="27">
        <f t="shared" si="55"/>
        <v>205846080</v>
      </c>
      <c r="Q419" s="27">
        <f t="shared" si="54"/>
        <v>205846080</v>
      </c>
      <c r="R419" s="27">
        <f>Q419/U419</f>
        <v>48.48</v>
      </c>
      <c r="S419" s="38">
        <f>Q419/U419</f>
        <v>48.48</v>
      </c>
      <c r="T419" s="38">
        <f>S419*AR419</f>
        <v>48480</v>
      </c>
      <c r="U419" s="38">
        <f t="shared" si="58"/>
        <v>4246000</v>
      </c>
      <c r="V419" s="38">
        <v>4246000</v>
      </c>
      <c r="W419" s="38">
        <v>0</v>
      </c>
      <c r="X419" s="38">
        <v>0</v>
      </c>
      <c r="Y419" s="38">
        <v>0</v>
      </c>
      <c r="Z419" s="38">
        <f t="shared" si="56"/>
        <v>0</v>
      </c>
      <c r="AA419" s="38">
        <v>4246000</v>
      </c>
      <c r="AB419" s="38">
        <f t="shared" si="57"/>
        <v>205846080</v>
      </c>
      <c r="AC419" s="38">
        <f>U419/AR419</f>
        <v>4246</v>
      </c>
      <c r="AD419" s="38">
        <f t="shared" si="59"/>
        <v>4246</v>
      </c>
      <c r="AE419" s="33">
        <v>45519</v>
      </c>
      <c r="AF419" s="33"/>
      <c r="AG419" s="33"/>
      <c r="AH419" s="33">
        <v>45550</v>
      </c>
      <c r="AI419" s="33"/>
      <c r="AJ419" s="42"/>
      <c r="AK419" s="37" t="s">
        <v>1176</v>
      </c>
      <c r="AL419" s="37" t="s">
        <v>1177</v>
      </c>
      <c r="AM419" s="37" t="s">
        <v>1178</v>
      </c>
      <c r="AN419" s="37" t="s">
        <v>828</v>
      </c>
      <c r="AO419" s="43">
        <v>0</v>
      </c>
      <c r="AP419" s="35">
        <v>100</v>
      </c>
      <c r="AQ419" s="35" t="s">
        <v>1118</v>
      </c>
      <c r="AR419" s="44">
        <v>1000</v>
      </c>
      <c r="AS419" s="37" t="s">
        <v>52</v>
      </c>
    </row>
    <row r="420" spans="1:45" ht="39" customHeight="1" x14ac:dyDescent="0.25">
      <c r="A420" s="32" t="s">
        <v>2411</v>
      </c>
      <c r="B420" s="56">
        <v>45343</v>
      </c>
      <c r="C420" s="35" t="s">
        <v>548</v>
      </c>
      <c r="D420" s="36"/>
      <c r="E420" s="1" t="s">
        <v>2412</v>
      </c>
      <c r="F420" s="33">
        <v>45369</v>
      </c>
      <c r="G420" s="35" t="s">
        <v>2413</v>
      </c>
      <c r="H420" s="37" t="s">
        <v>2375</v>
      </c>
      <c r="I420" s="58" t="s">
        <v>2414</v>
      </c>
      <c r="J420" s="57">
        <v>6320413</v>
      </c>
      <c r="K420" s="40">
        <f>((J420-M420)/J420)*100</f>
        <v>0</v>
      </c>
      <c r="L420" s="41">
        <f>J420-M420</f>
        <v>0</v>
      </c>
      <c r="M420" s="57">
        <v>6320413</v>
      </c>
      <c r="N420" s="41">
        <f>J420-O420</f>
        <v>0</v>
      </c>
      <c r="O420" s="57">
        <v>6320413</v>
      </c>
      <c r="P420" s="27">
        <f t="shared" si="55"/>
        <v>6320413</v>
      </c>
      <c r="Q420" s="27">
        <f t="shared" si="54"/>
        <v>6320413</v>
      </c>
      <c r="R420" s="27">
        <f>Q420/U420</f>
        <v>9.35</v>
      </c>
      <c r="S420" s="38">
        <f>Q420/U420</f>
        <v>9.35</v>
      </c>
      <c r="T420" s="38" t="e">
        <f>S420*AR420</f>
        <v>#VALUE!</v>
      </c>
      <c r="U420" s="38">
        <f t="shared" si="58"/>
        <v>675980</v>
      </c>
      <c r="V420" s="38">
        <v>675980</v>
      </c>
      <c r="W420" s="38">
        <v>0</v>
      </c>
      <c r="X420" s="38">
        <v>0</v>
      </c>
      <c r="Y420" s="38">
        <v>0</v>
      </c>
      <c r="Z420" s="38">
        <f t="shared" si="56"/>
        <v>0</v>
      </c>
      <c r="AA420" s="38">
        <v>0</v>
      </c>
      <c r="AB420" s="38">
        <f t="shared" si="57"/>
        <v>0</v>
      </c>
      <c r="AC420" s="38" t="e">
        <f>U420/AR420</f>
        <v>#VALUE!</v>
      </c>
      <c r="AD420" s="38" t="e">
        <f t="shared" si="59"/>
        <v>#VALUE!</v>
      </c>
      <c r="AE420" s="33">
        <v>45397</v>
      </c>
      <c r="AF420" s="33"/>
      <c r="AG420" s="33"/>
      <c r="AH420" s="33">
        <v>45427</v>
      </c>
      <c r="AI420" s="33"/>
      <c r="AJ420" s="42"/>
      <c r="AK420" s="37" t="s">
        <v>2415</v>
      </c>
      <c r="AL420" s="37" t="s">
        <v>2416</v>
      </c>
      <c r="AM420" s="37" t="s">
        <v>2417</v>
      </c>
      <c r="AN420" s="37" t="s">
        <v>50</v>
      </c>
      <c r="AO420" s="43">
        <v>100</v>
      </c>
      <c r="AP420" s="35">
        <v>0</v>
      </c>
      <c r="AQ420" s="35" t="s">
        <v>441</v>
      </c>
      <c r="AR420" s="48" t="s">
        <v>2418</v>
      </c>
      <c r="AS420" s="37" t="s">
        <v>52</v>
      </c>
    </row>
    <row r="421" spans="1:45" ht="39" customHeight="1" x14ac:dyDescent="0.25">
      <c r="A421" s="32" t="s">
        <v>2419</v>
      </c>
      <c r="B421" s="56">
        <v>45343</v>
      </c>
      <c r="C421" s="35" t="s">
        <v>548</v>
      </c>
      <c r="D421" s="35" t="s">
        <v>485</v>
      </c>
      <c r="E421" s="1" t="s">
        <v>2420</v>
      </c>
      <c r="F421" s="35" t="s">
        <v>485</v>
      </c>
      <c r="G421" s="35" t="s">
        <v>485</v>
      </c>
      <c r="H421" s="35" t="s">
        <v>485</v>
      </c>
      <c r="I421" s="58" t="s">
        <v>2421</v>
      </c>
      <c r="J421" s="57">
        <v>3552037</v>
      </c>
      <c r="K421" s="40">
        <f>((J421-M421)/J421)*100</f>
        <v>100</v>
      </c>
      <c r="L421" s="41">
        <f>J421-M421</f>
        <v>3552037</v>
      </c>
      <c r="M421" s="38"/>
      <c r="N421" s="41">
        <f>J421-O421</f>
        <v>3552037</v>
      </c>
      <c r="O421" s="38">
        <v>0</v>
      </c>
      <c r="P421" s="27">
        <f t="shared" si="55"/>
        <v>0</v>
      </c>
      <c r="Q421" s="27">
        <f t="shared" si="54"/>
        <v>0</v>
      </c>
      <c r="R421" s="27" t="e">
        <f>Q421/U421</f>
        <v>#DIV/0!</v>
      </c>
      <c r="S421" s="38" t="e">
        <f>Q421/U421</f>
        <v>#DIV/0!</v>
      </c>
      <c r="T421" s="38" t="e">
        <f>S421*AR421</f>
        <v>#DIV/0!</v>
      </c>
      <c r="U421" s="38">
        <f t="shared" si="58"/>
        <v>0</v>
      </c>
      <c r="V421" s="38">
        <v>0</v>
      </c>
      <c r="W421" s="38">
        <v>0</v>
      </c>
      <c r="X421" s="38">
        <v>0</v>
      </c>
      <c r="Y421" s="38"/>
      <c r="Z421" s="38" t="e">
        <f t="shared" si="56"/>
        <v>#DIV/0!</v>
      </c>
      <c r="AA421" s="38"/>
      <c r="AB421" s="38" t="e">
        <f t="shared" si="57"/>
        <v>#DIV/0!</v>
      </c>
      <c r="AC421" s="38" t="e">
        <f>U421/AR421</f>
        <v>#DIV/0!</v>
      </c>
      <c r="AD421" s="38" t="e">
        <f t="shared" si="59"/>
        <v>#DIV/0!</v>
      </c>
      <c r="AE421" s="33">
        <v>45397</v>
      </c>
      <c r="AF421" s="33"/>
      <c r="AG421" s="33"/>
      <c r="AH421" s="33"/>
      <c r="AI421" s="33"/>
      <c r="AJ421" s="42"/>
      <c r="AK421" s="37"/>
      <c r="AL421" s="37"/>
      <c r="AM421" s="37"/>
      <c r="AN421" s="37"/>
      <c r="AO421" s="43"/>
      <c r="AP421" s="35"/>
      <c r="AQ421" s="35"/>
      <c r="AR421" s="44"/>
      <c r="AS421" s="37" t="s">
        <v>485</v>
      </c>
    </row>
    <row r="422" spans="1:45" ht="39" customHeight="1" x14ac:dyDescent="0.25">
      <c r="A422" s="32" t="s">
        <v>2422</v>
      </c>
      <c r="B422" s="56">
        <v>45343</v>
      </c>
      <c r="C422" s="35" t="s">
        <v>548</v>
      </c>
      <c r="D422" s="36"/>
      <c r="E422" s="1" t="s">
        <v>2423</v>
      </c>
      <c r="F422" s="33">
        <v>45364</v>
      </c>
      <c r="G422" s="35" t="s">
        <v>2424</v>
      </c>
      <c r="H422" s="37" t="s">
        <v>2375</v>
      </c>
      <c r="I422" s="58" t="s">
        <v>2425</v>
      </c>
      <c r="J422" s="57">
        <v>2941323</v>
      </c>
      <c r="K422" s="40">
        <f>((J422-M422)/J422)*100</f>
        <v>0</v>
      </c>
      <c r="L422" s="41">
        <f>J422-M422</f>
        <v>0</v>
      </c>
      <c r="M422" s="57">
        <v>2941323</v>
      </c>
      <c r="N422" s="41">
        <f>J422-O422</f>
        <v>0</v>
      </c>
      <c r="O422" s="57">
        <v>2941323</v>
      </c>
      <c r="P422" s="27">
        <f t="shared" si="55"/>
        <v>2941323</v>
      </c>
      <c r="Q422" s="27">
        <f t="shared" si="54"/>
        <v>2941323</v>
      </c>
      <c r="R422" s="27">
        <f>Q422/U422</f>
        <v>3.57</v>
      </c>
      <c r="S422" s="38">
        <f>Q422/U422</f>
        <v>3.57</v>
      </c>
      <c r="T422" s="38" t="e">
        <f>S422*AR422</f>
        <v>#VALUE!</v>
      </c>
      <c r="U422" s="38">
        <f t="shared" si="58"/>
        <v>823900</v>
      </c>
      <c r="V422" s="38">
        <v>823900</v>
      </c>
      <c r="W422" s="38">
        <v>0</v>
      </c>
      <c r="X422" s="38">
        <v>0</v>
      </c>
      <c r="Y422" s="38">
        <v>0</v>
      </c>
      <c r="Z422" s="38">
        <f t="shared" si="56"/>
        <v>0</v>
      </c>
      <c r="AA422" s="38">
        <v>0</v>
      </c>
      <c r="AB422" s="38">
        <f t="shared" si="57"/>
        <v>0</v>
      </c>
      <c r="AC422" s="38" t="e">
        <f>U422/AR422</f>
        <v>#VALUE!</v>
      </c>
      <c r="AD422" s="38" t="e">
        <f t="shared" si="59"/>
        <v>#VALUE!</v>
      </c>
      <c r="AE422" s="33">
        <v>45397</v>
      </c>
      <c r="AF422" s="33"/>
      <c r="AG422" s="33"/>
      <c r="AH422" s="33">
        <v>45427</v>
      </c>
      <c r="AI422" s="33"/>
      <c r="AJ422" s="42"/>
      <c r="AK422" s="37" t="s">
        <v>2426</v>
      </c>
      <c r="AL422" s="37" t="s">
        <v>2427</v>
      </c>
      <c r="AM422" s="37" t="s">
        <v>2428</v>
      </c>
      <c r="AN422" s="37" t="s">
        <v>50</v>
      </c>
      <c r="AO422" s="43">
        <v>100</v>
      </c>
      <c r="AP422" s="35">
        <v>0</v>
      </c>
      <c r="AQ422" s="35" t="s">
        <v>441</v>
      </c>
      <c r="AR422" s="48" t="s">
        <v>2429</v>
      </c>
      <c r="AS422" s="37" t="s">
        <v>52</v>
      </c>
    </row>
    <row r="423" spans="1:45" ht="39" customHeight="1" x14ac:dyDescent="0.25">
      <c r="A423" s="32" t="s">
        <v>2430</v>
      </c>
      <c r="B423" s="56">
        <v>45343</v>
      </c>
      <c r="C423" s="35" t="s">
        <v>548</v>
      </c>
      <c r="D423" s="35" t="s">
        <v>485</v>
      </c>
      <c r="E423" s="1" t="s">
        <v>2431</v>
      </c>
      <c r="F423" s="35" t="s">
        <v>485</v>
      </c>
      <c r="G423" s="35" t="s">
        <v>485</v>
      </c>
      <c r="H423" s="35" t="s">
        <v>485</v>
      </c>
      <c r="I423" s="58" t="s">
        <v>2432</v>
      </c>
      <c r="J423" s="57">
        <v>376852.5</v>
      </c>
      <c r="K423" s="40">
        <f>((J423-M423)/J423)*100</f>
        <v>100</v>
      </c>
      <c r="L423" s="41">
        <f>J423-M423</f>
        <v>376852.5</v>
      </c>
      <c r="M423" s="38"/>
      <c r="N423" s="41">
        <f>J423-O423</f>
        <v>376852.5</v>
      </c>
      <c r="O423" s="38">
        <v>0</v>
      </c>
      <c r="P423" s="27">
        <f t="shared" si="55"/>
        <v>0</v>
      </c>
      <c r="Q423" s="27">
        <f t="shared" si="54"/>
        <v>0</v>
      </c>
      <c r="R423" s="27" t="e">
        <f>Q423/U423</f>
        <v>#DIV/0!</v>
      </c>
      <c r="S423" s="38" t="e">
        <f>Q423/U423</f>
        <v>#DIV/0!</v>
      </c>
      <c r="T423" s="38" t="e">
        <f>S423*AR423</f>
        <v>#DIV/0!</v>
      </c>
      <c r="U423" s="38">
        <f t="shared" si="58"/>
        <v>0</v>
      </c>
      <c r="V423" s="38">
        <v>0</v>
      </c>
      <c r="W423" s="38">
        <v>0</v>
      </c>
      <c r="X423" s="38">
        <v>0</v>
      </c>
      <c r="Y423" s="38"/>
      <c r="Z423" s="38" t="e">
        <f t="shared" si="56"/>
        <v>#DIV/0!</v>
      </c>
      <c r="AA423" s="38"/>
      <c r="AB423" s="38" t="e">
        <f t="shared" si="57"/>
        <v>#DIV/0!</v>
      </c>
      <c r="AC423" s="38" t="e">
        <f>U423/AR423</f>
        <v>#DIV/0!</v>
      </c>
      <c r="AD423" s="38" t="e">
        <f t="shared" si="59"/>
        <v>#DIV/0!</v>
      </c>
      <c r="AE423" s="33">
        <v>45397</v>
      </c>
      <c r="AF423" s="33"/>
      <c r="AG423" s="33"/>
      <c r="AH423" s="33"/>
      <c r="AI423" s="33"/>
      <c r="AJ423" s="42"/>
      <c r="AK423" s="37"/>
      <c r="AL423" s="37"/>
      <c r="AM423" s="37"/>
      <c r="AN423" s="37"/>
      <c r="AO423" s="43"/>
      <c r="AP423" s="35"/>
      <c r="AQ423" s="35"/>
      <c r="AR423" s="44"/>
      <c r="AS423" s="37" t="s">
        <v>485</v>
      </c>
    </row>
    <row r="424" spans="1:45" ht="39" customHeight="1" x14ac:dyDescent="0.25">
      <c r="A424" s="32" t="s">
        <v>2433</v>
      </c>
      <c r="B424" s="56">
        <v>45343</v>
      </c>
      <c r="C424" s="35" t="s">
        <v>548</v>
      </c>
      <c r="D424" s="36"/>
      <c r="E424" s="1" t="s">
        <v>2434</v>
      </c>
      <c r="F424" s="33">
        <v>45364</v>
      </c>
      <c r="G424" s="35" t="s">
        <v>2435</v>
      </c>
      <c r="H424" s="37" t="s">
        <v>2061</v>
      </c>
      <c r="I424" s="58" t="s">
        <v>2253</v>
      </c>
      <c r="J424" s="57">
        <v>2216439.5</v>
      </c>
      <c r="K424" s="40">
        <f>((J424-M424)/J424)*100</f>
        <v>0.50001364801520631</v>
      </c>
      <c r="L424" s="41">
        <f>J424-M424</f>
        <v>11082.5</v>
      </c>
      <c r="M424" s="38">
        <v>2205357</v>
      </c>
      <c r="N424" s="41">
        <f>J424-O424</f>
        <v>11082.5</v>
      </c>
      <c r="O424" s="38">
        <v>2205357</v>
      </c>
      <c r="P424" s="27">
        <v>2204644.7000000002</v>
      </c>
      <c r="Q424" s="27">
        <f t="shared" si="54"/>
        <v>2204644.7000000002</v>
      </c>
      <c r="R424" s="27">
        <f>Q424/U424</f>
        <v>22.430000000000003</v>
      </c>
      <c r="S424" s="38">
        <f>Q424/U424</f>
        <v>22.430000000000003</v>
      </c>
      <c r="T424" s="38">
        <f>S424*AR424</f>
        <v>112.15000000000002</v>
      </c>
      <c r="U424" s="38">
        <f t="shared" si="58"/>
        <v>98290</v>
      </c>
      <c r="V424" s="38">
        <v>98290</v>
      </c>
      <c r="W424" s="38">
        <v>0</v>
      </c>
      <c r="X424" s="38">
        <v>0</v>
      </c>
      <c r="Y424" s="38">
        <v>0</v>
      </c>
      <c r="Z424" s="38">
        <f t="shared" si="56"/>
        <v>0</v>
      </c>
      <c r="AA424" s="38">
        <v>0</v>
      </c>
      <c r="AB424" s="38">
        <f t="shared" si="57"/>
        <v>0</v>
      </c>
      <c r="AC424" s="38">
        <f>U424/AR424</f>
        <v>19658</v>
      </c>
      <c r="AD424" s="38">
        <f t="shared" si="59"/>
        <v>19658</v>
      </c>
      <c r="AE424" s="33">
        <v>45397</v>
      </c>
      <c r="AF424" s="33"/>
      <c r="AG424" s="33"/>
      <c r="AH424" s="33">
        <v>45427</v>
      </c>
      <c r="AI424" s="33"/>
      <c r="AJ424" s="42"/>
      <c r="AK424" s="37" t="s">
        <v>2436</v>
      </c>
      <c r="AL424" s="37" t="s">
        <v>2437</v>
      </c>
      <c r="AM424" s="37" t="s">
        <v>2438</v>
      </c>
      <c r="AN424" s="37" t="s">
        <v>50</v>
      </c>
      <c r="AO424" s="43">
        <v>100</v>
      </c>
      <c r="AP424" s="35">
        <v>0</v>
      </c>
      <c r="AQ424" s="35" t="s">
        <v>441</v>
      </c>
      <c r="AR424" s="44">
        <v>5</v>
      </c>
      <c r="AS424" s="37" t="s">
        <v>52</v>
      </c>
    </row>
    <row r="425" spans="1:45" ht="39" customHeight="1" x14ac:dyDescent="0.25">
      <c r="A425" s="32" t="s">
        <v>2439</v>
      </c>
      <c r="B425" s="56">
        <v>45343</v>
      </c>
      <c r="C425" s="35">
        <v>1416</v>
      </c>
      <c r="D425" s="36"/>
      <c r="E425" s="1" t="s">
        <v>2440</v>
      </c>
      <c r="F425" s="33">
        <v>45366</v>
      </c>
      <c r="G425" s="35" t="s">
        <v>2441</v>
      </c>
      <c r="H425" s="37" t="s">
        <v>169</v>
      </c>
      <c r="I425" s="58" t="s">
        <v>2442</v>
      </c>
      <c r="J425" s="57">
        <v>194060560</v>
      </c>
      <c r="K425" s="40">
        <f>((J425-M425)/J425)*100</f>
        <v>0</v>
      </c>
      <c r="L425" s="41">
        <f>J425-M425</f>
        <v>0</v>
      </c>
      <c r="M425" s="57">
        <v>194060560</v>
      </c>
      <c r="N425" s="41">
        <f>J425-O425</f>
        <v>0</v>
      </c>
      <c r="O425" s="57">
        <v>194060560</v>
      </c>
      <c r="P425" s="27">
        <f t="shared" si="55"/>
        <v>194060560</v>
      </c>
      <c r="Q425" s="27">
        <f t="shared" si="54"/>
        <v>194060560</v>
      </c>
      <c r="R425" s="27">
        <f>Q425/U425</f>
        <v>12.37</v>
      </c>
      <c r="S425" s="38">
        <f>Q425/U425</f>
        <v>12.37</v>
      </c>
      <c r="T425" s="38">
        <f>S425*AR425</f>
        <v>24740</v>
      </c>
      <c r="U425" s="38">
        <f t="shared" si="58"/>
        <v>15688000</v>
      </c>
      <c r="V425" s="38">
        <v>15688000</v>
      </c>
      <c r="W425" s="38">
        <v>0</v>
      </c>
      <c r="X425" s="38">
        <v>0</v>
      </c>
      <c r="Y425" s="38">
        <v>15688000</v>
      </c>
      <c r="Z425" s="38">
        <f t="shared" si="56"/>
        <v>194060560</v>
      </c>
      <c r="AA425" s="38">
        <v>0</v>
      </c>
      <c r="AB425" s="38">
        <f t="shared" si="57"/>
        <v>0</v>
      </c>
      <c r="AC425" s="38">
        <f>U425/AR425</f>
        <v>7844</v>
      </c>
      <c r="AD425" s="38">
        <f t="shared" si="59"/>
        <v>7844</v>
      </c>
      <c r="AE425" s="33">
        <v>45458</v>
      </c>
      <c r="AF425" s="33"/>
      <c r="AG425" s="33"/>
      <c r="AH425" s="33">
        <v>45488</v>
      </c>
      <c r="AI425" s="33"/>
      <c r="AJ425" s="42"/>
      <c r="AK425" s="37" t="s">
        <v>834</v>
      </c>
      <c r="AL425" s="37" t="s">
        <v>2443</v>
      </c>
      <c r="AM425" s="37" t="s">
        <v>836</v>
      </c>
      <c r="AN425" s="37" t="s">
        <v>813</v>
      </c>
      <c r="AO425" s="43">
        <v>0</v>
      </c>
      <c r="AP425" s="35">
        <v>100</v>
      </c>
      <c r="AQ425" s="35" t="s">
        <v>175</v>
      </c>
      <c r="AR425" s="44">
        <v>2000</v>
      </c>
      <c r="AS425" s="37" t="s">
        <v>52</v>
      </c>
    </row>
    <row r="426" spans="1:45" ht="42" customHeight="1" x14ac:dyDescent="0.25">
      <c r="A426" s="32" t="s">
        <v>2444</v>
      </c>
      <c r="B426" s="56">
        <v>45343</v>
      </c>
      <c r="C426" s="35">
        <v>1416</v>
      </c>
      <c r="D426" s="36"/>
      <c r="E426" s="1" t="s">
        <v>2445</v>
      </c>
      <c r="F426" s="33">
        <v>45366</v>
      </c>
      <c r="G426" s="35" t="s">
        <v>2446</v>
      </c>
      <c r="H426" s="37" t="s">
        <v>169</v>
      </c>
      <c r="I426" s="58" t="s">
        <v>2447</v>
      </c>
      <c r="J426" s="57">
        <v>57676320</v>
      </c>
      <c r="K426" s="40">
        <f>((J426-M426)/J426)*100</f>
        <v>0</v>
      </c>
      <c r="L426" s="41">
        <f>J426-M426</f>
        <v>0</v>
      </c>
      <c r="M426" s="57">
        <v>57676320</v>
      </c>
      <c r="N426" s="41">
        <f>J426-O426</f>
        <v>0</v>
      </c>
      <c r="O426" s="57">
        <v>57676320</v>
      </c>
      <c r="P426" s="27">
        <f t="shared" si="55"/>
        <v>57676320</v>
      </c>
      <c r="Q426" s="27">
        <f t="shared" si="54"/>
        <v>57676320</v>
      </c>
      <c r="R426" s="27">
        <f>Q426/U426</f>
        <v>12.48</v>
      </c>
      <c r="S426" s="38">
        <f>Q426/U426</f>
        <v>12.48</v>
      </c>
      <c r="T426" s="38">
        <f>S426*AR426</f>
        <v>6240</v>
      </c>
      <c r="U426" s="38">
        <f t="shared" si="58"/>
        <v>4621500</v>
      </c>
      <c r="V426" s="38">
        <f>4525500+96000</f>
        <v>4621500</v>
      </c>
      <c r="W426" s="38">
        <v>0</v>
      </c>
      <c r="X426" s="38">
        <v>0</v>
      </c>
      <c r="Y426" s="38">
        <v>4525500</v>
      </c>
      <c r="Z426" s="38">
        <f t="shared" si="56"/>
        <v>56478240</v>
      </c>
      <c r="AA426" s="38">
        <v>96000</v>
      </c>
      <c r="AB426" s="38">
        <f t="shared" si="57"/>
        <v>1198080</v>
      </c>
      <c r="AC426" s="38">
        <f>U426/AR426</f>
        <v>9243</v>
      </c>
      <c r="AD426" s="38">
        <f t="shared" si="59"/>
        <v>9243</v>
      </c>
      <c r="AE426" s="33">
        <v>45488</v>
      </c>
      <c r="AF426" s="33"/>
      <c r="AG426" s="33"/>
      <c r="AH426" s="33">
        <v>45519</v>
      </c>
      <c r="AI426" s="33"/>
      <c r="AJ426" s="42"/>
      <c r="AK426" s="37" t="s">
        <v>834</v>
      </c>
      <c r="AL426" s="37" t="s">
        <v>835</v>
      </c>
      <c r="AM426" s="37" t="s">
        <v>836</v>
      </c>
      <c r="AN426" s="37" t="s">
        <v>813</v>
      </c>
      <c r="AO426" s="43">
        <v>0</v>
      </c>
      <c r="AP426" s="35">
        <v>100</v>
      </c>
      <c r="AQ426" s="35" t="s">
        <v>175</v>
      </c>
      <c r="AR426" s="44">
        <v>500</v>
      </c>
      <c r="AS426" s="37" t="s">
        <v>52</v>
      </c>
    </row>
    <row r="427" spans="1:45" ht="43.5" customHeight="1" x14ac:dyDescent="0.25">
      <c r="A427" s="32" t="s">
        <v>2448</v>
      </c>
      <c r="B427" s="56">
        <v>45344</v>
      </c>
      <c r="C427" s="35">
        <v>545</v>
      </c>
      <c r="D427" s="36"/>
      <c r="E427" s="1" t="s">
        <v>2449</v>
      </c>
      <c r="F427" s="33">
        <v>45376</v>
      </c>
      <c r="G427" s="35" t="s">
        <v>2450</v>
      </c>
      <c r="H427" s="37" t="s">
        <v>331</v>
      </c>
      <c r="I427" s="58" t="s">
        <v>2451</v>
      </c>
      <c r="J427" s="57">
        <v>610782757.20000005</v>
      </c>
      <c r="K427" s="40">
        <f>((J427-M427)/J427)*100</f>
        <v>0</v>
      </c>
      <c r="L427" s="41">
        <f>J427-M427</f>
        <v>0</v>
      </c>
      <c r="M427" s="57">
        <v>610782757.20000005</v>
      </c>
      <c r="N427" s="41">
        <f>J427-O427</f>
        <v>0</v>
      </c>
      <c r="O427" s="57">
        <v>610782757.20000005</v>
      </c>
      <c r="P427" s="27">
        <f t="shared" si="55"/>
        <v>610782757.20000005</v>
      </c>
      <c r="Q427" s="27">
        <f t="shared" si="54"/>
        <v>610782757.20000005</v>
      </c>
      <c r="R427" s="27">
        <f>Q427/U427</f>
        <v>204411.90000000002</v>
      </c>
      <c r="S427" s="38">
        <f>Q427/U427</f>
        <v>204411.90000000002</v>
      </c>
      <c r="T427" s="38">
        <f>S427*AR427</f>
        <v>919853.55</v>
      </c>
      <c r="U427" s="38">
        <f t="shared" si="58"/>
        <v>2988</v>
      </c>
      <c r="V427" s="38">
        <v>2988</v>
      </c>
      <c r="W427" s="38">
        <v>0</v>
      </c>
      <c r="X427" s="38">
        <v>0</v>
      </c>
      <c r="Y427" s="38">
        <v>0</v>
      </c>
      <c r="Z427" s="38">
        <f t="shared" si="56"/>
        <v>0</v>
      </c>
      <c r="AA427" s="38">
        <v>0</v>
      </c>
      <c r="AB427" s="38">
        <f t="shared" si="57"/>
        <v>0</v>
      </c>
      <c r="AC427" s="38">
        <f>U427/AR427</f>
        <v>664</v>
      </c>
      <c r="AD427" s="38">
        <f t="shared" si="59"/>
        <v>664</v>
      </c>
      <c r="AE427" s="33">
        <v>45402</v>
      </c>
      <c r="AF427" s="33"/>
      <c r="AG427" s="33"/>
      <c r="AH427" s="33">
        <v>45432</v>
      </c>
      <c r="AI427" s="33"/>
      <c r="AJ427" s="42"/>
      <c r="AK427" s="37" t="s">
        <v>2452</v>
      </c>
      <c r="AL427" s="37" t="s">
        <v>2453</v>
      </c>
      <c r="AM427" s="37" t="s">
        <v>804</v>
      </c>
      <c r="AN427" s="37" t="s">
        <v>224</v>
      </c>
      <c r="AO427" s="43">
        <v>0</v>
      </c>
      <c r="AP427" s="35">
        <v>100</v>
      </c>
      <c r="AQ427" s="35" t="s">
        <v>164</v>
      </c>
      <c r="AR427" s="49">
        <v>4.5</v>
      </c>
      <c r="AS427" s="37" t="s">
        <v>52</v>
      </c>
    </row>
    <row r="428" spans="1:45" ht="42" customHeight="1" x14ac:dyDescent="0.25">
      <c r="A428" s="32" t="s">
        <v>2454</v>
      </c>
      <c r="B428" s="56">
        <v>45344</v>
      </c>
      <c r="C428" s="37" t="s">
        <v>2074</v>
      </c>
      <c r="D428" s="35" t="s">
        <v>485</v>
      </c>
      <c r="E428" s="1" t="s">
        <v>2455</v>
      </c>
      <c r="F428" s="35" t="s">
        <v>485</v>
      </c>
      <c r="G428" s="35" t="s">
        <v>485</v>
      </c>
      <c r="H428" s="35" t="s">
        <v>485</v>
      </c>
      <c r="I428" s="58" t="s">
        <v>2456</v>
      </c>
      <c r="J428" s="57">
        <v>256453.29</v>
      </c>
      <c r="K428" s="40">
        <f>((J428-M428)/J428)*100</f>
        <v>100</v>
      </c>
      <c r="L428" s="41">
        <f>J428-M428</f>
        <v>256453.29</v>
      </c>
      <c r="M428" s="38"/>
      <c r="N428" s="41">
        <f>J428-O428</f>
        <v>256453.29</v>
      </c>
      <c r="O428" s="38">
        <v>0</v>
      </c>
      <c r="P428" s="27">
        <f t="shared" si="55"/>
        <v>0</v>
      </c>
      <c r="Q428" s="27">
        <f t="shared" si="54"/>
        <v>0</v>
      </c>
      <c r="R428" s="27" t="e">
        <f>Q428/U428</f>
        <v>#DIV/0!</v>
      </c>
      <c r="S428" s="38" t="e">
        <f>Q428/U428</f>
        <v>#DIV/0!</v>
      </c>
      <c r="T428" s="38" t="e">
        <f>S428*AR428</f>
        <v>#DIV/0!</v>
      </c>
      <c r="U428" s="38">
        <f t="shared" si="58"/>
        <v>0</v>
      </c>
      <c r="V428" s="38">
        <v>0</v>
      </c>
      <c r="W428" s="38">
        <v>0</v>
      </c>
      <c r="X428" s="38">
        <v>0</v>
      </c>
      <c r="Y428" s="38"/>
      <c r="Z428" s="38" t="e">
        <f t="shared" si="56"/>
        <v>#DIV/0!</v>
      </c>
      <c r="AA428" s="38"/>
      <c r="AB428" s="38" t="e">
        <f t="shared" si="57"/>
        <v>#DIV/0!</v>
      </c>
      <c r="AC428" s="38" t="e">
        <f>U428/AR428</f>
        <v>#DIV/0!</v>
      </c>
      <c r="AD428" s="38" t="e">
        <f t="shared" si="59"/>
        <v>#DIV/0!</v>
      </c>
      <c r="AE428" s="33">
        <v>45413</v>
      </c>
      <c r="AF428" s="33"/>
      <c r="AG428" s="33"/>
      <c r="AH428" s="33"/>
      <c r="AI428" s="33"/>
      <c r="AJ428" s="42"/>
      <c r="AK428" s="37"/>
      <c r="AL428" s="37"/>
      <c r="AM428" s="37"/>
      <c r="AN428" s="37"/>
      <c r="AO428" s="43"/>
      <c r="AP428" s="35"/>
      <c r="AQ428" s="35"/>
      <c r="AR428" s="44"/>
      <c r="AS428" s="37" t="s">
        <v>485</v>
      </c>
    </row>
    <row r="429" spans="1:45" ht="42" customHeight="1" x14ac:dyDescent="0.25">
      <c r="A429" s="32" t="s">
        <v>2457</v>
      </c>
      <c r="B429" s="56">
        <v>45344</v>
      </c>
      <c r="C429" s="35">
        <v>1416</v>
      </c>
      <c r="D429" s="36"/>
      <c r="E429" s="1" t="s">
        <v>2458</v>
      </c>
      <c r="F429" s="33">
        <v>45385</v>
      </c>
      <c r="G429" s="35" t="s">
        <v>2459</v>
      </c>
      <c r="H429" s="37" t="s">
        <v>411</v>
      </c>
      <c r="I429" s="58" t="s">
        <v>818</v>
      </c>
      <c r="J429" s="57">
        <v>1175551149.8499999</v>
      </c>
      <c r="K429" s="40">
        <f>((J429-M429)/J429)*100</f>
        <v>0</v>
      </c>
      <c r="L429" s="41">
        <f>J429-M429</f>
        <v>0</v>
      </c>
      <c r="M429" s="57">
        <v>1175551149.8499999</v>
      </c>
      <c r="N429" s="41">
        <f>J429-O429</f>
        <v>0</v>
      </c>
      <c r="O429" s="57">
        <v>1175551149.8499999</v>
      </c>
      <c r="P429" s="27">
        <f t="shared" si="55"/>
        <v>1175551149.8499999</v>
      </c>
      <c r="Q429" s="27">
        <f t="shared" si="54"/>
        <v>1175551149.8499999</v>
      </c>
      <c r="R429" s="27">
        <f>Q429/U429</f>
        <v>263842.69999999995</v>
      </c>
      <c r="S429" s="38">
        <f>Q429/U429</f>
        <v>263842.69999999995</v>
      </c>
      <c r="T429" s="38">
        <f>S429*AR429</f>
        <v>184689.88999999996</v>
      </c>
      <c r="U429" s="38">
        <f t="shared" si="58"/>
        <v>4455.5</v>
      </c>
      <c r="V429" s="38">
        <f>2224.6+37.1</f>
        <v>2261.6999999999998</v>
      </c>
      <c r="W429" s="38">
        <f>2193.8</f>
        <v>2193.8000000000002</v>
      </c>
      <c r="X429" s="38">
        <v>0</v>
      </c>
      <c r="Y429" s="38">
        <f>2224.6+2193.8</f>
        <v>4418.3999999999996</v>
      </c>
      <c r="Z429" s="38">
        <f t="shared" si="56"/>
        <v>1165762585.6799996</v>
      </c>
      <c r="AA429" s="38">
        <v>37.1</v>
      </c>
      <c r="AB429" s="38">
        <f t="shared" si="57"/>
        <v>9788564.1699999981</v>
      </c>
      <c r="AC429" s="38">
        <f>U429/AR429</f>
        <v>6365</v>
      </c>
      <c r="AD429" s="38">
        <f t="shared" si="59"/>
        <v>6365</v>
      </c>
      <c r="AE429" s="33">
        <v>45413</v>
      </c>
      <c r="AF429" s="33">
        <v>45524</v>
      </c>
      <c r="AG429" s="33"/>
      <c r="AH429" s="33">
        <v>45444</v>
      </c>
      <c r="AI429" s="33">
        <v>45555</v>
      </c>
      <c r="AJ429" s="42"/>
      <c r="AK429" s="37" t="s">
        <v>786</v>
      </c>
      <c r="AL429" s="37" t="s">
        <v>819</v>
      </c>
      <c r="AM429" s="37" t="s">
        <v>788</v>
      </c>
      <c r="AN429" s="37" t="s">
        <v>326</v>
      </c>
      <c r="AO429" s="43">
        <v>0</v>
      </c>
      <c r="AP429" s="35">
        <v>100</v>
      </c>
      <c r="AQ429" s="35" t="s">
        <v>164</v>
      </c>
      <c r="AR429" s="49">
        <v>0.7</v>
      </c>
      <c r="AS429" s="37" t="s">
        <v>52</v>
      </c>
    </row>
    <row r="430" spans="1:45" ht="42" customHeight="1" x14ac:dyDescent="0.25">
      <c r="A430" s="32" t="s">
        <v>2460</v>
      </c>
      <c r="B430" s="56">
        <v>45344</v>
      </c>
      <c r="C430" s="35" t="s">
        <v>486</v>
      </c>
      <c r="D430" s="35" t="s">
        <v>485</v>
      </c>
      <c r="E430" s="1" t="s">
        <v>2461</v>
      </c>
      <c r="F430" s="35" t="s">
        <v>485</v>
      </c>
      <c r="G430" s="35" t="s">
        <v>485</v>
      </c>
      <c r="H430" s="35" t="s">
        <v>485</v>
      </c>
      <c r="I430" s="58" t="s">
        <v>2462</v>
      </c>
      <c r="J430" s="57">
        <v>64523605.799999997</v>
      </c>
      <c r="K430" s="40">
        <f>((J430-M430)/J430)*100</f>
        <v>100</v>
      </c>
      <c r="L430" s="41">
        <f>J430-M430</f>
        <v>64523605.799999997</v>
      </c>
      <c r="M430" s="38"/>
      <c r="N430" s="41">
        <f>J430-O430</f>
        <v>64523605.799999997</v>
      </c>
      <c r="O430" s="38">
        <v>0</v>
      </c>
      <c r="P430" s="27">
        <f t="shared" si="55"/>
        <v>0</v>
      </c>
      <c r="Q430" s="27">
        <f t="shared" si="54"/>
        <v>0</v>
      </c>
      <c r="R430" s="27" t="e">
        <f>Q430/U430</f>
        <v>#DIV/0!</v>
      </c>
      <c r="S430" s="38" t="e">
        <f>Q430/U430</f>
        <v>#DIV/0!</v>
      </c>
      <c r="T430" s="38" t="e">
        <f>S430*AR430</f>
        <v>#DIV/0!</v>
      </c>
      <c r="U430" s="38">
        <f t="shared" si="58"/>
        <v>0</v>
      </c>
      <c r="V430" s="38">
        <v>0</v>
      </c>
      <c r="W430" s="38">
        <v>0</v>
      </c>
      <c r="X430" s="38">
        <v>0</v>
      </c>
      <c r="Y430" s="38"/>
      <c r="Z430" s="38" t="e">
        <f t="shared" si="56"/>
        <v>#DIV/0!</v>
      </c>
      <c r="AA430" s="38"/>
      <c r="AB430" s="38" t="e">
        <f t="shared" si="57"/>
        <v>#DIV/0!</v>
      </c>
      <c r="AC430" s="38" t="e">
        <f>U430/AR430</f>
        <v>#DIV/0!</v>
      </c>
      <c r="AD430" s="38" t="e">
        <f t="shared" si="59"/>
        <v>#DIV/0!</v>
      </c>
      <c r="AE430" s="33">
        <v>45413</v>
      </c>
      <c r="AF430" s="33"/>
      <c r="AG430" s="33"/>
      <c r="AH430" s="33"/>
      <c r="AI430" s="33"/>
      <c r="AJ430" s="42"/>
      <c r="AK430" s="37"/>
      <c r="AL430" s="37"/>
      <c r="AM430" s="37"/>
      <c r="AN430" s="37"/>
      <c r="AO430" s="43"/>
      <c r="AP430" s="35"/>
      <c r="AQ430" s="35"/>
      <c r="AR430" s="44"/>
      <c r="AS430" s="37" t="s">
        <v>485</v>
      </c>
    </row>
    <row r="431" spans="1:45" ht="42" customHeight="1" x14ac:dyDescent="0.25">
      <c r="A431" s="32" t="s">
        <v>2463</v>
      </c>
      <c r="B431" s="56">
        <v>45344</v>
      </c>
      <c r="C431" s="35">
        <v>1416</v>
      </c>
      <c r="D431" s="35" t="s">
        <v>485</v>
      </c>
      <c r="E431" s="1" t="s">
        <v>2464</v>
      </c>
      <c r="F431" s="35" t="s">
        <v>485</v>
      </c>
      <c r="G431" s="35" t="s">
        <v>485</v>
      </c>
      <c r="H431" s="35" t="s">
        <v>485</v>
      </c>
      <c r="I431" s="58" t="s">
        <v>1114</v>
      </c>
      <c r="J431" s="57">
        <v>124614128</v>
      </c>
      <c r="K431" s="40">
        <f>((J431-M431)/J431)*100</f>
        <v>100</v>
      </c>
      <c r="L431" s="41">
        <f>J431-M431</f>
        <v>124614128</v>
      </c>
      <c r="M431" s="38"/>
      <c r="N431" s="41">
        <f>J431-O431</f>
        <v>124614128</v>
      </c>
      <c r="O431" s="38">
        <v>0</v>
      </c>
      <c r="P431" s="27">
        <f t="shared" si="55"/>
        <v>0</v>
      </c>
      <c r="Q431" s="27">
        <f t="shared" si="54"/>
        <v>0</v>
      </c>
      <c r="R431" s="27" t="e">
        <f>Q431/U431</f>
        <v>#DIV/0!</v>
      </c>
      <c r="S431" s="38" t="e">
        <f>Q431/U431</f>
        <v>#DIV/0!</v>
      </c>
      <c r="T431" s="38" t="e">
        <f>S431*AR431</f>
        <v>#DIV/0!</v>
      </c>
      <c r="U431" s="38">
        <f t="shared" si="58"/>
        <v>0</v>
      </c>
      <c r="V431" s="38">
        <v>0</v>
      </c>
      <c r="W431" s="38">
        <v>0</v>
      </c>
      <c r="X431" s="38">
        <v>0</v>
      </c>
      <c r="Y431" s="38"/>
      <c r="Z431" s="38" t="e">
        <f t="shared" si="56"/>
        <v>#DIV/0!</v>
      </c>
      <c r="AA431" s="38"/>
      <c r="AB431" s="38" t="e">
        <f t="shared" si="57"/>
        <v>#DIV/0!</v>
      </c>
      <c r="AC431" s="38" t="e">
        <f>U431/AR431</f>
        <v>#DIV/0!</v>
      </c>
      <c r="AD431" s="38" t="e">
        <f t="shared" si="59"/>
        <v>#DIV/0!</v>
      </c>
      <c r="AE431" s="33">
        <v>45413</v>
      </c>
      <c r="AF431" s="33"/>
      <c r="AG431" s="33"/>
      <c r="AH431" s="33"/>
      <c r="AI431" s="33"/>
      <c r="AJ431" s="42"/>
      <c r="AK431" s="37"/>
      <c r="AL431" s="37"/>
      <c r="AM431" s="37"/>
      <c r="AN431" s="37"/>
      <c r="AO431" s="43"/>
      <c r="AP431" s="35"/>
      <c r="AQ431" s="35"/>
      <c r="AR431" s="44"/>
      <c r="AS431" s="37" t="s">
        <v>485</v>
      </c>
    </row>
    <row r="432" spans="1:45" ht="42" customHeight="1" x14ac:dyDescent="0.25">
      <c r="A432" s="32" t="s">
        <v>2465</v>
      </c>
      <c r="B432" s="56">
        <v>45344</v>
      </c>
      <c r="C432" s="35" t="s">
        <v>548</v>
      </c>
      <c r="D432" s="35" t="s">
        <v>485</v>
      </c>
      <c r="E432" s="1" t="s">
        <v>2466</v>
      </c>
      <c r="F432" s="35" t="s">
        <v>485</v>
      </c>
      <c r="G432" s="35" t="s">
        <v>485</v>
      </c>
      <c r="H432" s="35" t="s">
        <v>485</v>
      </c>
      <c r="I432" s="58" t="s">
        <v>2467</v>
      </c>
      <c r="J432" s="57">
        <v>6269270.1299999999</v>
      </c>
      <c r="K432" s="40">
        <f>((J432-M432)/J432)*100</f>
        <v>100</v>
      </c>
      <c r="L432" s="41">
        <f>J432-M432</f>
        <v>6269270.1299999999</v>
      </c>
      <c r="M432" s="38"/>
      <c r="N432" s="41">
        <f>J432-O432</f>
        <v>6269270.1299999999</v>
      </c>
      <c r="O432" s="38">
        <v>0</v>
      </c>
      <c r="P432" s="27">
        <f t="shared" si="55"/>
        <v>0</v>
      </c>
      <c r="Q432" s="27">
        <f t="shared" si="54"/>
        <v>0</v>
      </c>
      <c r="R432" s="27" t="e">
        <f>Q432/U432</f>
        <v>#DIV/0!</v>
      </c>
      <c r="S432" s="38" t="e">
        <f>Q432/U432</f>
        <v>#DIV/0!</v>
      </c>
      <c r="T432" s="38" t="e">
        <f>S432*AR432</f>
        <v>#DIV/0!</v>
      </c>
      <c r="U432" s="38">
        <f t="shared" si="58"/>
        <v>0</v>
      </c>
      <c r="V432" s="38">
        <v>0</v>
      </c>
      <c r="W432" s="38">
        <v>0</v>
      </c>
      <c r="X432" s="38">
        <v>0</v>
      </c>
      <c r="Y432" s="38"/>
      <c r="Z432" s="38" t="e">
        <f t="shared" si="56"/>
        <v>#DIV/0!</v>
      </c>
      <c r="AA432" s="38"/>
      <c r="AB432" s="38" t="e">
        <f t="shared" si="57"/>
        <v>#DIV/0!</v>
      </c>
      <c r="AC432" s="38" t="e">
        <f>U432/AR432</f>
        <v>#DIV/0!</v>
      </c>
      <c r="AD432" s="38" t="e">
        <f t="shared" si="59"/>
        <v>#DIV/0!</v>
      </c>
      <c r="AE432" s="33">
        <v>45413</v>
      </c>
      <c r="AF432" s="33"/>
      <c r="AG432" s="33"/>
      <c r="AH432" s="33"/>
      <c r="AI432" s="33"/>
      <c r="AJ432" s="42"/>
      <c r="AK432" s="37"/>
      <c r="AL432" s="37"/>
      <c r="AM432" s="37"/>
      <c r="AN432" s="37"/>
      <c r="AO432" s="43"/>
      <c r="AP432" s="35"/>
      <c r="AQ432" s="35"/>
      <c r="AR432" s="44"/>
      <c r="AS432" s="37" t="s">
        <v>485</v>
      </c>
    </row>
    <row r="433" spans="1:45" ht="42" customHeight="1" x14ac:dyDescent="0.25">
      <c r="A433" s="32" t="s">
        <v>2468</v>
      </c>
      <c r="B433" s="56">
        <v>45344</v>
      </c>
      <c r="C433" s="35">
        <v>1416</v>
      </c>
      <c r="D433" s="36"/>
      <c r="E433" s="1" t="s">
        <v>2469</v>
      </c>
      <c r="F433" s="33">
        <v>45363</v>
      </c>
      <c r="G433" s="35" t="s">
        <v>2470</v>
      </c>
      <c r="H433" s="37" t="s">
        <v>1067</v>
      </c>
      <c r="I433" s="58" t="s">
        <v>2471</v>
      </c>
      <c r="J433" s="57">
        <v>70148691.599999994</v>
      </c>
      <c r="K433" s="40">
        <f>((J433-M433)/J433)*100</f>
        <v>0</v>
      </c>
      <c r="L433" s="41">
        <f>J433-M433</f>
        <v>0</v>
      </c>
      <c r="M433" s="57">
        <v>70148691.599999994</v>
      </c>
      <c r="N433" s="41">
        <f>J433-O433</f>
        <v>0</v>
      </c>
      <c r="O433" s="57">
        <v>70148691.599999994</v>
      </c>
      <c r="P433" s="27">
        <f t="shared" si="55"/>
        <v>70148691.599999994</v>
      </c>
      <c r="Q433" s="27">
        <f t="shared" si="54"/>
        <v>70148691.599999994</v>
      </c>
      <c r="R433" s="27">
        <f>Q433/U433</f>
        <v>18607.079999999998</v>
      </c>
      <c r="S433" s="38">
        <f>Q433/U433</f>
        <v>18607.079999999998</v>
      </c>
      <c r="T433" s="38">
        <f>S433*AR433</f>
        <v>93035.4</v>
      </c>
      <c r="U433" s="38">
        <f t="shared" si="58"/>
        <v>3770</v>
      </c>
      <c r="V433" s="38">
        <v>3770</v>
      </c>
      <c r="W433" s="38">
        <v>0</v>
      </c>
      <c r="X433" s="38">
        <v>0</v>
      </c>
      <c r="Y433" s="38">
        <v>0</v>
      </c>
      <c r="Z433" s="38">
        <f t="shared" si="56"/>
        <v>0</v>
      </c>
      <c r="AA433" s="38">
        <v>3770</v>
      </c>
      <c r="AB433" s="38">
        <f t="shared" si="57"/>
        <v>70148691.599999994</v>
      </c>
      <c r="AC433" s="38">
        <f>U433/AR433</f>
        <v>754</v>
      </c>
      <c r="AD433" s="38">
        <f t="shared" si="59"/>
        <v>754</v>
      </c>
      <c r="AE433" s="33">
        <v>45443</v>
      </c>
      <c r="AF433" s="33"/>
      <c r="AG433" s="33"/>
      <c r="AH433" s="33">
        <v>45474</v>
      </c>
      <c r="AI433" s="33"/>
      <c r="AJ433" s="42"/>
      <c r="AK433" s="37" t="s">
        <v>1069</v>
      </c>
      <c r="AL433" s="37" t="s">
        <v>2472</v>
      </c>
      <c r="AM433" s="37" t="s">
        <v>1071</v>
      </c>
      <c r="AN433" s="37" t="s">
        <v>174</v>
      </c>
      <c r="AO433" s="43">
        <v>0</v>
      </c>
      <c r="AP433" s="35">
        <v>100</v>
      </c>
      <c r="AQ433" s="35" t="s">
        <v>164</v>
      </c>
      <c r="AR433" s="44">
        <v>5</v>
      </c>
      <c r="AS433" s="37" t="s">
        <v>52</v>
      </c>
    </row>
    <row r="434" spans="1:45" ht="42" customHeight="1" x14ac:dyDescent="0.25">
      <c r="A434" s="32" t="s">
        <v>2473</v>
      </c>
      <c r="B434" s="56">
        <v>45344</v>
      </c>
      <c r="C434" s="35" t="s">
        <v>548</v>
      </c>
      <c r="D434" s="35" t="s">
        <v>485</v>
      </c>
      <c r="E434" s="1" t="s">
        <v>2474</v>
      </c>
      <c r="F434" s="35" t="s">
        <v>485</v>
      </c>
      <c r="G434" s="35" t="s">
        <v>485</v>
      </c>
      <c r="H434" s="35" t="s">
        <v>485</v>
      </c>
      <c r="I434" s="58" t="s">
        <v>2475</v>
      </c>
      <c r="J434" s="57">
        <v>9144960</v>
      </c>
      <c r="K434" s="40">
        <f>((J434-M434)/J434)*100</f>
        <v>100</v>
      </c>
      <c r="L434" s="41">
        <f>J434-M434</f>
        <v>9144960</v>
      </c>
      <c r="M434" s="38"/>
      <c r="N434" s="41">
        <f>J434-O434</f>
        <v>9144960</v>
      </c>
      <c r="O434" s="38">
        <v>0</v>
      </c>
      <c r="P434" s="27">
        <f t="shared" si="55"/>
        <v>0</v>
      </c>
      <c r="Q434" s="27">
        <f t="shared" si="54"/>
        <v>0</v>
      </c>
      <c r="R434" s="27" t="e">
        <f>Q434/U434</f>
        <v>#DIV/0!</v>
      </c>
      <c r="S434" s="38" t="e">
        <f>Q434/U434</f>
        <v>#DIV/0!</v>
      </c>
      <c r="T434" s="38" t="e">
        <f>S434*AR434</f>
        <v>#DIV/0!</v>
      </c>
      <c r="U434" s="38">
        <f t="shared" si="58"/>
        <v>0</v>
      </c>
      <c r="V434" s="38">
        <v>0</v>
      </c>
      <c r="W434" s="38">
        <v>0</v>
      </c>
      <c r="X434" s="38">
        <v>0</v>
      </c>
      <c r="Y434" s="38"/>
      <c r="Z434" s="38" t="e">
        <f t="shared" si="56"/>
        <v>#DIV/0!</v>
      </c>
      <c r="AA434" s="38"/>
      <c r="AB434" s="38" t="e">
        <f t="shared" si="57"/>
        <v>#DIV/0!</v>
      </c>
      <c r="AC434" s="38" t="e">
        <f>U434/AR434</f>
        <v>#DIV/0!</v>
      </c>
      <c r="AD434" s="38" t="e">
        <f t="shared" si="59"/>
        <v>#DIV/0!</v>
      </c>
      <c r="AE434" s="33">
        <v>45397</v>
      </c>
      <c r="AF434" s="33"/>
      <c r="AG434" s="33"/>
      <c r="AH434" s="33"/>
      <c r="AI434" s="33"/>
      <c r="AJ434" s="42"/>
      <c r="AK434" s="37"/>
      <c r="AL434" s="37"/>
      <c r="AM434" s="37"/>
      <c r="AN434" s="37"/>
      <c r="AO434" s="43"/>
      <c r="AP434" s="35"/>
      <c r="AQ434" s="35"/>
      <c r="AR434" s="44"/>
      <c r="AS434" s="37" t="s">
        <v>485</v>
      </c>
    </row>
    <row r="435" spans="1:45" ht="42" customHeight="1" x14ac:dyDescent="0.25">
      <c r="A435" s="32" t="s">
        <v>2476</v>
      </c>
      <c r="B435" s="56">
        <v>45344</v>
      </c>
      <c r="C435" s="35">
        <v>1416</v>
      </c>
      <c r="D435" s="36"/>
      <c r="E435" s="1" t="s">
        <v>2477</v>
      </c>
      <c r="F435" s="33">
        <v>45363</v>
      </c>
      <c r="G435" s="35" t="s">
        <v>2478</v>
      </c>
      <c r="H435" s="37" t="s">
        <v>556</v>
      </c>
      <c r="I435" s="58" t="s">
        <v>1141</v>
      </c>
      <c r="J435" s="57">
        <v>233179952.59999999</v>
      </c>
      <c r="K435" s="40">
        <f>((J435-M435)/J435)*100</f>
        <v>0</v>
      </c>
      <c r="L435" s="41">
        <f>J435-M435</f>
        <v>0</v>
      </c>
      <c r="M435" s="57">
        <v>233179952.59999999</v>
      </c>
      <c r="N435" s="41">
        <f>J435-O435</f>
        <v>0</v>
      </c>
      <c r="O435" s="57">
        <v>233179952.59999999</v>
      </c>
      <c r="P435" s="27">
        <f t="shared" si="55"/>
        <v>233179952.59999999</v>
      </c>
      <c r="Q435" s="27">
        <f t="shared" si="54"/>
        <v>233179952.59999999</v>
      </c>
      <c r="R435" s="27">
        <f>Q435/U435</f>
        <v>7950.2199999999993</v>
      </c>
      <c r="S435" s="38">
        <f>Q435/U435</f>
        <v>7950.2199999999993</v>
      </c>
      <c r="T435" s="38">
        <f>S435*AR435</f>
        <v>39751.1</v>
      </c>
      <c r="U435" s="38">
        <f t="shared" si="58"/>
        <v>29330</v>
      </c>
      <c r="V435" s="38">
        <f>17950+11380</f>
        <v>29330</v>
      </c>
      <c r="W435" s="38">
        <v>0</v>
      </c>
      <c r="X435" s="38">
        <v>0</v>
      </c>
      <c r="Y435" s="38">
        <v>17950</v>
      </c>
      <c r="Z435" s="38">
        <f t="shared" si="56"/>
        <v>142706449</v>
      </c>
      <c r="AA435" s="38">
        <v>11380</v>
      </c>
      <c r="AB435" s="38">
        <f t="shared" si="57"/>
        <v>90473503.599999994</v>
      </c>
      <c r="AC435" s="38">
        <f>U435/AR435</f>
        <v>5866</v>
      </c>
      <c r="AD435" s="38">
        <f t="shared" si="59"/>
        <v>5866</v>
      </c>
      <c r="AE435" s="33">
        <v>45473</v>
      </c>
      <c r="AF435" s="33"/>
      <c r="AG435" s="33"/>
      <c r="AH435" s="33">
        <v>45505</v>
      </c>
      <c r="AI435" s="33"/>
      <c r="AJ435" s="42"/>
      <c r="AK435" s="37" t="s">
        <v>1142</v>
      </c>
      <c r="AL435" s="37" t="s">
        <v>2479</v>
      </c>
      <c r="AM435" s="37" t="s">
        <v>1144</v>
      </c>
      <c r="AN435" s="37" t="s">
        <v>174</v>
      </c>
      <c r="AO435" s="43">
        <v>0</v>
      </c>
      <c r="AP435" s="35">
        <v>100</v>
      </c>
      <c r="AQ435" s="35" t="s">
        <v>164</v>
      </c>
      <c r="AR435" s="44">
        <v>5</v>
      </c>
      <c r="AS435" s="37" t="s">
        <v>52</v>
      </c>
    </row>
    <row r="436" spans="1:45" ht="42" customHeight="1" x14ac:dyDescent="0.25">
      <c r="A436" s="32" t="s">
        <v>2480</v>
      </c>
      <c r="B436" s="56">
        <v>45344</v>
      </c>
      <c r="C436" s="37" t="s">
        <v>2074</v>
      </c>
      <c r="D436" s="35" t="s">
        <v>485</v>
      </c>
      <c r="E436" s="1" t="s">
        <v>2481</v>
      </c>
      <c r="F436" s="35" t="s">
        <v>485</v>
      </c>
      <c r="G436" s="35" t="s">
        <v>485</v>
      </c>
      <c r="H436" s="35" t="s">
        <v>485</v>
      </c>
      <c r="I436" s="58" t="s">
        <v>2482</v>
      </c>
      <c r="J436" s="57">
        <v>9525545.0999999996</v>
      </c>
      <c r="K436" s="40">
        <f>((J436-M436)/J436)*100</f>
        <v>100</v>
      </c>
      <c r="L436" s="41">
        <f>J436-M436</f>
        <v>9525545.0999999996</v>
      </c>
      <c r="M436" s="38"/>
      <c r="N436" s="41">
        <f>J436-O436</f>
        <v>9525545.0999999996</v>
      </c>
      <c r="O436" s="38">
        <v>0</v>
      </c>
      <c r="P436" s="27">
        <f t="shared" si="55"/>
        <v>0</v>
      </c>
      <c r="Q436" s="27">
        <f t="shared" si="54"/>
        <v>0</v>
      </c>
      <c r="R436" s="27" t="e">
        <f>Q436/U436</f>
        <v>#DIV/0!</v>
      </c>
      <c r="S436" s="38" t="e">
        <f>Q436/U436</f>
        <v>#DIV/0!</v>
      </c>
      <c r="T436" s="38" t="e">
        <f>S436*AR436</f>
        <v>#DIV/0!</v>
      </c>
      <c r="U436" s="38">
        <f t="shared" si="58"/>
        <v>0</v>
      </c>
      <c r="V436" s="38">
        <v>0</v>
      </c>
      <c r="W436" s="38">
        <v>0</v>
      </c>
      <c r="X436" s="38">
        <v>0</v>
      </c>
      <c r="Y436" s="38"/>
      <c r="Z436" s="38" t="e">
        <f t="shared" si="56"/>
        <v>#DIV/0!</v>
      </c>
      <c r="AA436" s="38"/>
      <c r="AB436" s="38" t="e">
        <f t="shared" si="57"/>
        <v>#DIV/0!</v>
      </c>
      <c r="AC436" s="38" t="e">
        <f>U436/AR436</f>
        <v>#DIV/0!</v>
      </c>
      <c r="AD436" s="38" t="e">
        <f t="shared" si="59"/>
        <v>#DIV/0!</v>
      </c>
      <c r="AE436" s="33">
        <v>45397</v>
      </c>
      <c r="AF436" s="33"/>
      <c r="AG436" s="33"/>
      <c r="AH436" s="33"/>
      <c r="AI436" s="33"/>
      <c r="AJ436" s="42"/>
      <c r="AK436" s="37"/>
      <c r="AL436" s="37"/>
      <c r="AM436" s="37"/>
      <c r="AN436" s="37"/>
      <c r="AO436" s="43"/>
      <c r="AP436" s="35"/>
      <c r="AQ436" s="35"/>
      <c r="AR436" s="44"/>
      <c r="AS436" s="37" t="s">
        <v>485</v>
      </c>
    </row>
    <row r="437" spans="1:45" ht="42" customHeight="1" x14ac:dyDescent="0.25">
      <c r="A437" s="32" t="s">
        <v>2483</v>
      </c>
      <c r="B437" s="56">
        <v>45344</v>
      </c>
      <c r="C437" s="35">
        <v>1416</v>
      </c>
      <c r="D437" s="36"/>
      <c r="E437" s="1" t="s">
        <v>2484</v>
      </c>
      <c r="F437" s="33">
        <v>45366</v>
      </c>
      <c r="G437" s="35" t="s">
        <v>2485</v>
      </c>
      <c r="H437" s="37" t="s">
        <v>219</v>
      </c>
      <c r="I437" s="58" t="s">
        <v>1191</v>
      </c>
      <c r="J437" s="57">
        <v>8651280</v>
      </c>
      <c r="K437" s="40">
        <f>((J437-M437)/J437)*100</f>
        <v>0</v>
      </c>
      <c r="L437" s="41">
        <f>J437-M437</f>
        <v>0</v>
      </c>
      <c r="M437" s="57">
        <v>8651280</v>
      </c>
      <c r="N437" s="41">
        <f>J437-O437</f>
        <v>0</v>
      </c>
      <c r="O437" s="27">
        <v>8651280</v>
      </c>
      <c r="P437" s="27">
        <f t="shared" si="55"/>
        <v>8651280</v>
      </c>
      <c r="Q437" s="27">
        <f t="shared" si="54"/>
        <v>8651280</v>
      </c>
      <c r="R437" s="27">
        <f>Q437/U437</f>
        <v>51.04</v>
      </c>
      <c r="S437" s="38">
        <f>Q437/U437</f>
        <v>51.04</v>
      </c>
      <c r="T437" s="38">
        <f>S437*AR437</f>
        <v>25520</v>
      </c>
      <c r="U437" s="38">
        <f t="shared" si="58"/>
        <v>169500</v>
      </c>
      <c r="V437" s="38">
        <f>13000+156500</f>
        <v>169500</v>
      </c>
      <c r="W437" s="38">
        <v>0</v>
      </c>
      <c r="X437" s="38">
        <v>0</v>
      </c>
      <c r="Y437" s="38">
        <v>13000</v>
      </c>
      <c r="Z437" s="38">
        <f t="shared" si="56"/>
        <v>663520</v>
      </c>
      <c r="AA437" s="38">
        <v>156500</v>
      </c>
      <c r="AB437" s="38">
        <f t="shared" si="57"/>
        <v>7987760</v>
      </c>
      <c r="AC437" s="38">
        <f>U437/AR437</f>
        <v>339</v>
      </c>
      <c r="AD437" s="38">
        <f t="shared" si="59"/>
        <v>339</v>
      </c>
      <c r="AE437" s="33">
        <v>45458</v>
      </c>
      <c r="AF437" s="33"/>
      <c r="AG437" s="33"/>
      <c r="AH437" s="33">
        <v>45488</v>
      </c>
      <c r="AI437" s="33"/>
      <c r="AJ437" s="42"/>
      <c r="AK437" s="37" t="s">
        <v>1176</v>
      </c>
      <c r="AL437" s="37" t="s">
        <v>2486</v>
      </c>
      <c r="AM437" s="37" t="s">
        <v>1178</v>
      </c>
      <c r="AN437" s="37" t="s">
        <v>828</v>
      </c>
      <c r="AO437" s="43">
        <v>0</v>
      </c>
      <c r="AP437" s="35">
        <v>100</v>
      </c>
      <c r="AQ437" s="35" t="s">
        <v>1118</v>
      </c>
      <c r="AR437" s="44">
        <v>500</v>
      </c>
      <c r="AS437" s="37" t="s">
        <v>52</v>
      </c>
    </row>
    <row r="438" spans="1:45" ht="43.5" customHeight="1" x14ac:dyDescent="0.25">
      <c r="A438" s="32" t="s">
        <v>2487</v>
      </c>
      <c r="B438" s="56">
        <v>45344</v>
      </c>
      <c r="C438" s="35" t="s">
        <v>486</v>
      </c>
      <c r="D438" s="36"/>
      <c r="E438" s="1" t="s">
        <v>2488</v>
      </c>
      <c r="F438" s="33">
        <v>45376</v>
      </c>
      <c r="G438" s="35" t="s">
        <v>2489</v>
      </c>
      <c r="H438" s="37" t="s">
        <v>291</v>
      </c>
      <c r="I438" s="58" t="s">
        <v>2490</v>
      </c>
      <c r="J438" s="57">
        <v>542628909.89999998</v>
      </c>
      <c r="K438" s="40">
        <f>((J438-M438)/J438)*100</f>
        <v>0</v>
      </c>
      <c r="L438" s="41">
        <f>J438-M438</f>
        <v>0</v>
      </c>
      <c r="M438" s="57">
        <v>542628909.89999998</v>
      </c>
      <c r="N438" s="41">
        <f>J438-O438</f>
        <v>0</v>
      </c>
      <c r="O438" s="57">
        <v>542628909.89999998</v>
      </c>
      <c r="P438" s="27">
        <v>553402928.75999999</v>
      </c>
      <c r="Q438" s="27">
        <f t="shared" si="54"/>
        <v>553402928.75999999</v>
      </c>
      <c r="R438" s="27">
        <f>Q438/U438</f>
        <v>6.71</v>
      </c>
      <c r="S438" s="38">
        <f>Q438/U438</f>
        <v>6.71</v>
      </c>
      <c r="T438" s="38">
        <f>S438*AR438</f>
        <v>201.3</v>
      </c>
      <c r="U438" s="38">
        <f t="shared" si="58"/>
        <v>82474356</v>
      </c>
      <c r="V438" s="38">
        <f>80868690+1605666</f>
        <v>82474356</v>
      </c>
      <c r="W438" s="38">
        <v>0</v>
      </c>
      <c r="X438" s="38">
        <v>0</v>
      </c>
      <c r="Y438" s="38">
        <v>0</v>
      </c>
      <c r="Z438" s="38">
        <f t="shared" si="56"/>
        <v>0</v>
      </c>
      <c r="AA438" s="38">
        <v>0</v>
      </c>
      <c r="AB438" s="38">
        <f t="shared" si="57"/>
        <v>0</v>
      </c>
      <c r="AC438" s="38">
        <f>U438/AR438</f>
        <v>2749145.2</v>
      </c>
      <c r="AD438" s="38">
        <f t="shared" si="59"/>
        <v>2749146</v>
      </c>
      <c r="AE438" s="33">
        <v>45474</v>
      </c>
      <c r="AF438" s="33"/>
      <c r="AG438" s="33"/>
      <c r="AH438" s="33">
        <v>45505</v>
      </c>
      <c r="AI438" s="33"/>
      <c r="AJ438" s="42"/>
      <c r="AK438" s="37" t="s">
        <v>2491</v>
      </c>
      <c r="AL438" s="37" t="s">
        <v>2492</v>
      </c>
      <c r="AM438" s="37" t="s">
        <v>2493</v>
      </c>
      <c r="AN438" s="37" t="s">
        <v>50</v>
      </c>
      <c r="AO438" s="43">
        <v>100</v>
      </c>
      <c r="AP438" s="35">
        <v>0</v>
      </c>
      <c r="AQ438" s="35" t="s">
        <v>441</v>
      </c>
      <c r="AR438" s="44">
        <v>30</v>
      </c>
      <c r="AS438" s="37" t="s">
        <v>52</v>
      </c>
    </row>
    <row r="439" spans="1:45" ht="42" customHeight="1" x14ac:dyDescent="0.25">
      <c r="A439" s="32" t="s">
        <v>2494</v>
      </c>
      <c r="B439" s="56">
        <v>45344</v>
      </c>
      <c r="C439" s="35" t="s">
        <v>548</v>
      </c>
      <c r="D439" s="35" t="s">
        <v>485</v>
      </c>
      <c r="E439" s="1" t="s">
        <v>2495</v>
      </c>
      <c r="F439" s="35" t="s">
        <v>485</v>
      </c>
      <c r="G439" s="35" t="s">
        <v>485</v>
      </c>
      <c r="H439" s="35" t="s">
        <v>485</v>
      </c>
      <c r="I439" s="58" t="s">
        <v>2482</v>
      </c>
      <c r="J439" s="57">
        <v>145567236.30000001</v>
      </c>
      <c r="K439" s="40">
        <f>((J439-M439)/J439)*100</f>
        <v>100</v>
      </c>
      <c r="L439" s="41">
        <f>J439-M439</f>
        <v>145567236.30000001</v>
      </c>
      <c r="M439" s="38"/>
      <c r="N439" s="41">
        <f>J439-O439</f>
        <v>145567236.30000001</v>
      </c>
      <c r="O439" s="38">
        <v>0</v>
      </c>
      <c r="P439" s="27">
        <f t="shared" si="55"/>
        <v>0</v>
      </c>
      <c r="Q439" s="27">
        <f t="shared" si="54"/>
        <v>0</v>
      </c>
      <c r="R439" s="27" t="e">
        <f>Q439/U439</f>
        <v>#DIV/0!</v>
      </c>
      <c r="S439" s="38" t="e">
        <f>Q439/U439</f>
        <v>#DIV/0!</v>
      </c>
      <c r="T439" s="38" t="e">
        <f>S439*AR439</f>
        <v>#DIV/0!</v>
      </c>
      <c r="U439" s="38">
        <f t="shared" si="58"/>
        <v>0</v>
      </c>
      <c r="V439" s="38">
        <v>0</v>
      </c>
      <c r="W439" s="38">
        <v>0</v>
      </c>
      <c r="X439" s="38">
        <v>0</v>
      </c>
      <c r="Y439" s="38"/>
      <c r="Z439" s="38" t="e">
        <f t="shared" si="56"/>
        <v>#DIV/0!</v>
      </c>
      <c r="AA439" s="38"/>
      <c r="AB439" s="38" t="e">
        <f t="shared" si="57"/>
        <v>#DIV/0!</v>
      </c>
      <c r="AC439" s="38" t="e">
        <f>U439/AR439</f>
        <v>#DIV/0!</v>
      </c>
      <c r="AD439" s="38" t="e">
        <f t="shared" si="59"/>
        <v>#DIV/0!</v>
      </c>
      <c r="AE439" s="33">
        <v>45397</v>
      </c>
      <c r="AF439" s="33"/>
      <c r="AG439" s="33"/>
      <c r="AH439" s="33"/>
      <c r="AI439" s="33"/>
      <c r="AJ439" s="42"/>
      <c r="AK439" s="37"/>
      <c r="AL439" s="37"/>
      <c r="AM439" s="37"/>
      <c r="AN439" s="37"/>
      <c r="AO439" s="43"/>
      <c r="AP439" s="35"/>
      <c r="AQ439" s="35"/>
      <c r="AR439" s="44"/>
      <c r="AS439" s="37" t="s">
        <v>485</v>
      </c>
    </row>
    <row r="440" spans="1:45" ht="42" customHeight="1" x14ac:dyDescent="0.25">
      <c r="A440" s="32" t="s">
        <v>2496</v>
      </c>
      <c r="B440" s="56">
        <v>45344</v>
      </c>
      <c r="C440" s="35">
        <v>1416</v>
      </c>
      <c r="D440" s="36"/>
      <c r="E440" s="1" t="s">
        <v>2497</v>
      </c>
      <c r="F440" s="33">
        <v>45364</v>
      </c>
      <c r="G440" s="35" t="s">
        <v>2498</v>
      </c>
      <c r="H440" s="37" t="s">
        <v>411</v>
      </c>
      <c r="I440" s="58" t="s">
        <v>1045</v>
      </c>
      <c r="J440" s="57">
        <v>173661265.13999999</v>
      </c>
      <c r="K440" s="40">
        <f>((J440-M440)/J440)*100</f>
        <v>0</v>
      </c>
      <c r="L440" s="41">
        <f>J440-M440</f>
        <v>0</v>
      </c>
      <c r="M440" s="57">
        <v>173661265.13999999</v>
      </c>
      <c r="N440" s="41">
        <f>J440-O440</f>
        <v>0</v>
      </c>
      <c r="O440" s="57">
        <v>173661265.13999999</v>
      </c>
      <c r="P440" s="27">
        <f t="shared" si="55"/>
        <v>173661265.13999999</v>
      </c>
      <c r="Q440" s="27">
        <f t="shared" si="54"/>
        <v>173661265.13999999</v>
      </c>
      <c r="R440" s="27">
        <f>Q440/U440</f>
        <v>52768.539999999994</v>
      </c>
      <c r="S440" s="38">
        <f>Q440/U440</f>
        <v>52768.539999999994</v>
      </c>
      <c r="T440" s="38">
        <f>S440*AR440</f>
        <v>52768.539999999994</v>
      </c>
      <c r="U440" s="38">
        <f t="shared" si="58"/>
        <v>3291</v>
      </c>
      <c r="V440" s="38">
        <f>3149+142</f>
        <v>3291</v>
      </c>
      <c r="W440" s="38">
        <v>0</v>
      </c>
      <c r="X440" s="38">
        <v>0</v>
      </c>
      <c r="Y440" s="38">
        <v>3149</v>
      </c>
      <c r="Z440" s="38">
        <f t="shared" si="56"/>
        <v>166168132.45999998</v>
      </c>
      <c r="AA440" s="38">
        <v>142</v>
      </c>
      <c r="AB440" s="38">
        <f t="shared" si="57"/>
        <v>7493132.6799999988</v>
      </c>
      <c r="AC440" s="38">
        <f>U440/AR440</f>
        <v>3291</v>
      </c>
      <c r="AD440" s="38">
        <f t="shared" si="59"/>
        <v>3291</v>
      </c>
      <c r="AE440" s="33">
        <v>45536</v>
      </c>
      <c r="AF440" s="33"/>
      <c r="AG440" s="33"/>
      <c r="AH440" s="33">
        <v>45566</v>
      </c>
      <c r="AI440" s="33"/>
      <c r="AJ440" s="42"/>
      <c r="AK440" s="37" t="s">
        <v>786</v>
      </c>
      <c r="AL440" s="37" t="s">
        <v>1046</v>
      </c>
      <c r="AM440" s="37" t="s">
        <v>788</v>
      </c>
      <c r="AN440" s="37" t="s">
        <v>326</v>
      </c>
      <c r="AO440" s="43">
        <v>0</v>
      </c>
      <c r="AP440" s="35">
        <v>100</v>
      </c>
      <c r="AQ440" s="35" t="s">
        <v>164</v>
      </c>
      <c r="AR440" s="44">
        <v>1</v>
      </c>
      <c r="AS440" s="37" t="s">
        <v>52</v>
      </c>
    </row>
    <row r="441" spans="1:45" ht="42" customHeight="1" x14ac:dyDescent="0.25">
      <c r="A441" s="32" t="s">
        <v>2499</v>
      </c>
      <c r="B441" s="56">
        <v>45348</v>
      </c>
      <c r="C441" s="37" t="s">
        <v>2074</v>
      </c>
      <c r="D441" s="36"/>
      <c r="E441" s="1" t="s">
        <v>2500</v>
      </c>
      <c r="F441" s="33">
        <v>45358</v>
      </c>
      <c r="G441" s="35" t="s">
        <v>2501</v>
      </c>
      <c r="H441" s="37" t="s">
        <v>2080</v>
      </c>
      <c r="I441" s="58" t="s">
        <v>2502</v>
      </c>
      <c r="J441" s="57">
        <v>820080</v>
      </c>
      <c r="K441" s="40">
        <f>((J441-M441)/J441)*100</f>
        <v>25.555555555555554</v>
      </c>
      <c r="L441" s="41">
        <f>J441-M441</f>
        <v>209576</v>
      </c>
      <c r="M441" s="38">
        <v>610504</v>
      </c>
      <c r="N441" s="41">
        <f>J441-O441</f>
        <v>209576</v>
      </c>
      <c r="O441" s="38">
        <v>610504</v>
      </c>
      <c r="P441" s="27">
        <f t="shared" si="55"/>
        <v>610504</v>
      </c>
      <c r="Q441" s="27">
        <f t="shared" si="54"/>
        <v>610504</v>
      </c>
      <c r="R441" s="27">
        <f>Q441/U441</f>
        <v>134</v>
      </c>
      <c r="S441" s="38">
        <f>Q441/U441</f>
        <v>134</v>
      </c>
      <c r="T441" s="38" t="e">
        <f>S441*AR441</f>
        <v>#VALUE!</v>
      </c>
      <c r="U441" s="38">
        <f t="shared" si="58"/>
        <v>4556</v>
      </c>
      <c r="V441" s="38">
        <v>4556</v>
      </c>
      <c r="W441" s="38">
        <v>0</v>
      </c>
      <c r="X441" s="38">
        <v>0</v>
      </c>
      <c r="Y441" s="38">
        <v>0</v>
      </c>
      <c r="Z441" s="38">
        <f t="shared" si="56"/>
        <v>0</v>
      </c>
      <c r="AA441" s="38">
        <v>0</v>
      </c>
      <c r="AB441" s="38">
        <f t="shared" si="57"/>
        <v>0</v>
      </c>
      <c r="AC441" s="38" t="e">
        <f>U441/AR441</f>
        <v>#VALUE!</v>
      </c>
      <c r="AD441" s="38" t="e">
        <f t="shared" si="59"/>
        <v>#VALUE!</v>
      </c>
      <c r="AE441" s="33">
        <v>45413</v>
      </c>
      <c r="AF441" s="33"/>
      <c r="AG441" s="33"/>
      <c r="AH441" s="33">
        <v>45444</v>
      </c>
      <c r="AI441" s="33"/>
      <c r="AJ441" s="42"/>
      <c r="AK441" s="37" t="s">
        <v>2503</v>
      </c>
      <c r="AL441" s="37" t="s">
        <v>2504</v>
      </c>
      <c r="AM441" s="37" t="s">
        <v>2505</v>
      </c>
      <c r="AN441" s="37" t="s">
        <v>50</v>
      </c>
      <c r="AO441" s="43">
        <v>100</v>
      </c>
      <c r="AP441" s="35">
        <v>0</v>
      </c>
      <c r="AQ441" s="35" t="s">
        <v>398</v>
      </c>
      <c r="AR441" s="48" t="s">
        <v>2506</v>
      </c>
      <c r="AS441" s="37" t="s">
        <v>52</v>
      </c>
    </row>
    <row r="442" spans="1:45" ht="42" customHeight="1" x14ac:dyDescent="0.25">
      <c r="A442" s="32" t="s">
        <v>2507</v>
      </c>
      <c r="B442" s="56">
        <v>45348</v>
      </c>
      <c r="C442" s="35" t="s">
        <v>548</v>
      </c>
      <c r="D442" s="36"/>
      <c r="E442" s="1" t="s">
        <v>2508</v>
      </c>
      <c r="F442" s="33">
        <v>45369</v>
      </c>
      <c r="G442" s="35" t="s">
        <v>2509</v>
      </c>
      <c r="H442" s="37" t="s">
        <v>291</v>
      </c>
      <c r="I442" s="58" t="s">
        <v>2510</v>
      </c>
      <c r="J442" s="57">
        <v>1289346.3</v>
      </c>
      <c r="K442" s="40">
        <f>((J442-M442)/J442)*100</f>
        <v>0</v>
      </c>
      <c r="L442" s="41">
        <f>J442-M442</f>
        <v>0</v>
      </c>
      <c r="M442" s="57">
        <v>1289346.3</v>
      </c>
      <c r="N442" s="41">
        <f>J442-O442</f>
        <v>0</v>
      </c>
      <c r="O442" s="57">
        <v>1289346.3</v>
      </c>
      <c r="P442" s="27">
        <f t="shared" si="55"/>
        <v>1289346.3</v>
      </c>
      <c r="Q442" s="27">
        <f t="shared" si="54"/>
        <v>1289346.3</v>
      </c>
      <c r="R442" s="27">
        <f>Q442/U442</f>
        <v>87.89</v>
      </c>
      <c r="S442" s="38">
        <f>Q442/U442</f>
        <v>87.89</v>
      </c>
      <c r="T442" s="38">
        <f>S442*AR442</f>
        <v>263.67</v>
      </c>
      <c r="U442" s="38">
        <f t="shared" si="58"/>
        <v>14670</v>
      </c>
      <c r="V442" s="38">
        <v>14670</v>
      </c>
      <c r="W442" s="38">
        <v>0</v>
      </c>
      <c r="X442" s="38">
        <v>0</v>
      </c>
      <c r="Y442" s="38">
        <v>0</v>
      </c>
      <c r="Z442" s="38">
        <f t="shared" si="56"/>
        <v>0</v>
      </c>
      <c r="AA442" s="38">
        <v>0</v>
      </c>
      <c r="AB442" s="38">
        <f t="shared" si="57"/>
        <v>0</v>
      </c>
      <c r="AC442" s="38">
        <f>U442/AR442</f>
        <v>4890</v>
      </c>
      <c r="AD442" s="38">
        <f t="shared" si="59"/>
        <v>4890</v>
      </c>
      <c r="AE442" s="33">
        <v>45413</v>
      </c>
      <c r="AF442" s="33"/>
      <c r="AG442" s="33"/>
      <c r="AH442" s="33">
        <v>45444</v>
      </c>
      <c r="AI442" s="33"/>
      <c r="AJ442" s="42"/>
      <c r="AK442" s="37" t="s">
        <v>2511</v>
      </c>
      <c r="AL442" s="37" t="s">
        <v>2512</v>
      </c>
      <c r="AM442" s="37" t="s">
        <v>2513</v>
      </c>
      <c r="AN442" s="37" t="s">
        <v>50</v>
      </c>
      <c r="AO442" s="43">
        <v>100</v>
      </c>
      <c r="AP442" s="35">
        <v>0</v>
      </c>
      <c r="AQ442" s="35" t="s">
        <v>398</v>
      </c>
      <c r="AR442" s="44">
        <v>3</v>
      </c>
      <c r="AS442" s="37" t="s">
        <v>52</v>
      </c>
    </row>
    <row r="443" spans="1:45" ht="42" customHeight="1" x14ac:dyDescent="0.25">
      <c r="A443" s="32" t="s">
        <v>2514</v>
      </c>
      <c r="B443" s="56">
        <v>45348</v>
      </c>
      <c r="C443" s="35" t="s">
        <v>2213</v>
      </c>
      <c r="D443" s="36"/>
      <c r="E443" s="1" t="s">
        <v>2515</v>
      </c>
      <c r="F443" s="33">
        <v>45358</v>
      </c>
      <c r="G443" s="35" t="s">
        <v>2516</v>
      </c>
      <c r="H443" s="37" t="s">
        <v>2176</v>
      </c>
      <c r="I443" s="58" t="s">
        <v>2517</v>
      </c>
      <c r="J443" s="57">
        <v>2488200</v>
      </c>
      <c r="K443" s="40">
        <f>((J443-M443)/J443)*100</f>
        <v>0</v>
      </c>
      <c r="L443" s="41">
        <f>J443-M443</f>
        <v>0</v>
      </c>
      <c r="M443" s="57">
        <v>2488200</v>
      </c>
      <c r="N443" s="41">
        <f>J443-O443</f>
        <v>0</v>
      </c>
      <c r="O443" s="57">
        <v>2488200</v>
      </c>
      <c r="P443" s="27">
        <f t="shared" si="55"/>
        <v>2488200</v>
      </c>
      <c r="Q443" s="27">
        <f t="shared" si="54"/>
        <v>2488200</v>
      </c>
      <c r="R443" s="27">
        <f>Q443/U443</f>
        <v>220</v>
      </c>
      <c r="S443" s="38">
        <f>Q443/U443</f>
        <v>220</v>
      </c>
      <c r="T443" s="38">
        <f>S443*AR443</f>
        <v>3300</v>
      </c>
      <c r="U443" s="38">
        <f t="shared" si="58"/>
        <v>11310</v>
      </c>
      <c r="V443" s="38">
        <v>11310</v>
      </c>
      <c r="W443" s="38">
        <v>0</v>
      </c>
      <c r="X443" s="38">
        <v>0</v>
      </c>
      <c r="Y443" s="38">
        <v>11310</v>
      </c>
      <c r="Z443" s="38">
        <f t="shared" si="56"/>
        <v>2488200</v>
      </c>
      <c r="AA443" s="38">
        <v>0</v>
      </c>
      <c r="AB443" s="38">
        <f t="shared" si="57"/>
        <v>0</v>
      </c>
      <c r="AC443" s="38">
        <f>U443/AR443</f>
        <v>754</v>
      </c>
      <c r="AD443" s="38">
        <f t="shared" si="59"/>
        <v>754</v>
      </c>
      <c r="AE443" s="33">
        <v>45413</v>
      </c>
      <c r="AF443" s="33"/>
      <c r="AG443" s="33"/>
      <c r="AH443" s="33">
        <v>45444</v>
      </c>
      <c r="AI443" s="33"/>
      <c r="AJ443" s="42"/>
      <c r="AK443" s="37" t="s">
        <v>2518</v>
      </c>
      <c r="AL443" s="37" t="s">
        <v>2519</v>
      </c>
      <c r="AM443" s="37" t="s">
        <v>2520</v>
      </c>
      <c r="AN443" s="37" t="s">
        <v>50</v>
      </c>
      <c r="AO443" s="43">
        <v>100</v>
      </c>
      <c r="AP443" s="35">
        <v>0</v>
      </c>
      <c r="AQ443" s="35" t="s">
        <v>379</v>
      </c>
      <c r="AR443" s="44">
        <v>15</v>
      </c>
      <c r="AS443" s="37" t="s">
        <v>52</v>
      </c>
    </row>
    <row r="444" spans="1:45" ht="42" customHeight="1" x14ac:dyDescent="0.25">
      <c r="A444" s="32" t="s">
        <v>2521</v>
      </c>
      <c r="B444" s="56">
        <v>45348</v>
      </c>
      <c r="C444" s="35">
        <v>1688</v>
      </c>
      <c r="D444" s="36"/>
      <c r="E444" s="1" t="s">
        <v>2522</v>
      </c>
      <c r="F444" s="33">
        <v>45369</v>
      </c>
      <c r="G444" s="35" t="s">
        <v>2523</v>
      </c>
      <c r="H444" s="37" t="s">
        <v>45</v>
      </c>
      <c r="I444" s="58" t="s">
        <v>1881</v>
      </c>
      <c r="J444" s="57">
        <v>3496393.9</v>
      </c>
      <c r="K444" s="40">
        <f>((J444-M444)/J444)*100</f>
        <v>0</v>
      </c>
      <c r="L444" s="41">
        <f>J444-M444</f>
        <v>0</v>
      </c>
      <c r="M444" s="57">
        <v>3496393.9</v>
      </c>
      <c r="N444" s="41">
        <f>J444-O444</f>
        <v>0</v>
      </c>
      <c r="O444" s="57">
        <v>3496393.9</v>
      </c>
      <c r="P444" s="27">
        <f t="shared" si="55"/>
        <v>3496393.9</v>
      </c>
      <c r="Q444" s="27">
        <f t="shared" si="54"/>
        <v>3496393.9</v>
      </c>
      <c r="R444" s="27">
        <f>Q444/U444</f>
        <v>127.1</v>
      </c>
      <c r="S444" s="38">
        <f>Q444/U444</f>
        <v>127.1</v>
      </c>
      <c r="T444" s="38">
        <f>S444*AR444</f>
        <v>1271</v>
      </c>
      <c r="U444" s="38">
        <f t="shared" si="58"/>
        <v>27509</v>
      </c>
      <c r="V444" s="38">
        <v>27509</v>
      </c>
      <c r="W444" s="38">
        <v>0</v>
      </c>
      <c r="X444" s="38">
        <v>0</v>
      </c>
      <c r="Y444" s="38">
        <v>0</v>
      </c>
      <c r="Z444" s="38">
        <f t="shared" si="56"/>
        <v>0</v>
      </c>
      <c r="AA444" s="38">
        <v>0</v>
      </c>
      <c r="AB444" s="38">
        <f t="shared" si="57"/>
        <v>0</v>
      </c>
      <c r="AC444" s="38">
        <f>U444/AR444</f>
        <v>2750.9</v>
      </c>
      <c r="AD444" s="38">
        <f t="shared" si="59"/>
        <v>2751</v>
      </c>
      <c r="AE444" s="33">
        <v>45536</v>
      </c>
      <c r="AF444" s="33"/>
      <c r="AG444" s="33"/>
      <c r="AH444" s="33">
        <v>45566</v>
      </c>
      <c r="AI444" s="33"/>
      <c r="AJ444" s="42"/>
      <c r="AK444" s="37" t="s">
        <v>77</v>
      </c>
      <c r="AL444" s="37" t="s">
        <v>2524</v>
      </c>
      <c r="AM444" s="37" t="s">
        <v>79</v>
      </c>
      <c r="AN444" s="37" t="s">
        <v>50</v>
      </c>
      <c r="AO444" s="43">
        <v>100</v>
      </c>
      <c r="AP444" s="35">
        <v>0</v>
      </c>
      <c r="AQ444" s="35" t="s">
        <v>51</v>
      </c>
      <c r="AR444" s="44">
        <v>10</v>
      </c>
      <c r="AS444" s="37" t="s">
        <v>52</v>
      </c>
    </row>
    <row r="445" spans="1:45" ht="42" customHeight="1" x14ac:dyDescent="0.25">
      <c r="A445" s="32" t="s">
        <v>2525</v>
      </c>
      <c r="B445" s="56">
        <v>45348</v>
      </c>
      <c r="C445" s="37" t="s">
        <v>2074</v>
      </c>
      <c r="D445" s="35" t="s">
        <v>485</v>
      </c>
      <c r="E445" s="1" t="s">
        <v>2526</v>
      </c>
      <c r="F445" s="35" t="s">
        <v>485</v>
      </c>
      <c r="G445" s="35" t="s">
        <v>485</v>
      </c>
      <c r="H445" s="35" t="s">
        <v>485</v>
      </c>
      <c r="I445" s="58" t="s">
        <v>2527</v>
      </c>
      <c r="J445" s="57">
        <v>20767.32</v>
      </c>
      <c r="K445" s="40">
        <f>((J445-M445)/J445)*100</f>
        <v>100</v>
      </c>
      <c r="L445" s="41">
        <f>J445-M445</f>
        <v>20767.32</v>
      </c>
      <c r="M445" s="38"/>
      <c r="N445" s="41">
        <f>J445-O445</f>
        <v>20767.32</v>
      </c>
      <c r="O445" s="38">
        <v>0</v>
      </c>
      <c r="P445" s="27">
        <f t="shared" si="55"/>
        <v>0</v>
      </c>
      <c r="Q445" s="27">
        <f t="shared" si="54"/>
        <v>0</v>
      </c>
      <c r="R445" s="27" t="e">
        <f>Q445/U445</f>
        <v>#DIV/0!</v>
      </c>
      <c r="S445" s="38" t="e">
        <f>Q445/U445</f>
        <v>#DIV/0!</v>
      </c>
      <c r="T445" s="38" t="e">
        <f>S445*AR445</f>
        <v>#DIV/0!</v>
      </c>
      <c r="U445" s="38">
        <f t="shared" si="58"/>
        <v>0</v>
      </c>
      <c r="V445" s="38">
        <v>0</v>
      </c>
      <c r="W445" s="38">
        <v>0</v>
      </c>
      <c r="X445" s="38">
        <v>0</v>
      </c>
      <c r="Y445" s="38"/>
      <c r="Z445" s="38" t="e">
        <f t="shared" si="56"/>
        <v>#DIV/0!</v>
      </c>
      <c r="AA445" s="38"/>
      <c r="AB445" s="38" t="e">
        <f t="shared" si="57"/>
        <v>#DIV/0!</v>
      </c>
      <c r="AC445" s="38" t="e">
        <f>U445/AR445</f>
        <v>#DIV/0!</v>
      </c>
      <c r="AD445" s="38" t="e">
        <f t="shared" si="59"/>
        <v>#DIV/0!</v>
      </c>
      <c r="AE445" s="33">
        <v>45413</v>
      </c>
      <c r="AF445" s="33"/>
      <c r="AG445" s="33"/>
      <c r="AH445" s="33"/>
      <c r="AI445" s="33"/>
      <c r="AJ445" s="42"/>
      <c r="AK445" s="37"/>
      <c r="AL445" s="37"/>
      <c r="AM445" s="37"/>
      <c r="AN445" s="37"/>
      <c r="AO445" s="43"/>
      <c r="AP445" s="35"/>
      <c r="AQ445" s="35"/>
      <c r="AR445" s="44"/>
      <c r="AS445" s="37" t="s">
        <v>485</v>
      </c>
    </row>
    <row r="446" spans="1:45" ht="42" customHeight="1" x14ac:dyDescent="0.25">
      <c r="A446" s="32" t="s">
        <v>2528</v>
      </c>
      <c r="B446" s="56">
        <v>45348</v>
      </c>
      <c r="C446" s="35" t="s">
        <v>2213</v>
      </c>
      <c r="D446" s="35" t="s">
        <v>485</v>
      </c>
      <c r="E446" s="1" t="s">
        <v>2529</v>
      </c>
      <c r="F446" s="35" t="s">
        <v>485</v>
      </c>
      <c r="G446" s="35" t="s">
        <v>485</v>
      </c>
      <c r="H446" s="35" t="s">
        <v>485</v>
      </c>
      <c r="I446" s="58" t="s">
        <v>1114</v>
      </c>
      <c r="J446" s="57">
        <v>2320692</v>
      </c>
      <c r="K446" s="40">
        <f>((J446-M446)/J446)*100</f>
        <v>100</v>
      </c>
      <c r="L446" s="41">
        <f>J446-M446</f>
        <v>2320692</v>
      </c>
      <c r="M446" s="38"/>
      <c r="N446" s="41">
        <f>J446-O446</f>
        <v>2320692</v>
      </c>
      <c r="O446" s="38">
        <v>0</v>
      </c>
      <c r="P446" s="27">
        <f t="shared" si="55"/>
        <v>0</v>
      </c>
      <c r="Q446" s="27">
        <f t="shared" si="54"/>
        <v>0</v>
      </c>
      <c r="R446" s="27" t="e">
        <f>Q446/U446</f>
        <v>#DIV/0!</v>
      </c>
      <c r="S446" s="38" t="e">
        <f>Q446/U446</f>
        <v>#DIV/0!</v>
      </c>
      <c r="T446" s="38" t="e">
        <f>S446*AR446</f>
        <v>#DIV/0!</v>
      </c>
      <c r="U446" s="38">
        <f t="shared" si="58"/>
        <v>0</v>
      </c>
      <c r="V446" s="38">
        <v>0</v>
      </c>
      <c r="W446" s="38">
        <v>0</v>
      </c>
      <c r="X446" s="38">
        <v>0</v>
      </c>
      <c r="Y446" s="38"/>
      <c r="Z446" s="38" t="e">
        <f t="shared" si="56"/>
        <v>#DIV/0!</v>
      </c>
      <c r="AA446" s="38"/>
      <c r="AB446" s="38" t="e">
        <f t="shared" si="57"/>
        <v>#DIV/0!</v>
      </c>
      <c r="AC446" s="38" t="e">
        <f>U446/AR446</f>
        <v>#DIV/0!</v>
      </c>
      <c r="AD446" s="38" t="e">
        <f t="shared" si="59"/>
        <v>#DIV/0!</v>
      </c>
      <c r="AE446" s="33">
        <v>45413</v>
      </c>
      <c r="AF446" s="33"/>
      <c r="AG446" s="33"/>
      <c r="AH446" s="33"/>
      <c r="AI446" s="33"/>
      <c r="AJ446" s="42"/>
      <c r="AK446" s="37"/>
      <c r="AL446" s="37"/>
      <c r="AM446" s="37"/>
      <c r="AN446" s="37"/>
      <c r="AO446" s="43"/>
      <c r="AP446" s="35"/>
      <c r="AQ446" s="35"/>
      <c r="AR446" s="44"/>
      <c r="AS446" s="37" t="s">
        <v>485</v>
      </c>
    </row>
    <row r="447" spans="1:45" ht="42" customHeight="1" x14ac:dyDescent="0.25">
      <c r="A447" s="32" t="s">
        <v>2530</v>
      </c>
      <c r="B447" s="56">
        <v>45348</v>
      </c>
      <c r="C447" s="35" t="s">
        <v>2213</v>
      </c>
      <c r="D447" s="35" t="s">
        <v>485</v>
      </c>
      <c r="E447" s="1" t="s">
        <v>2531</v>
      </c>
      <c r="F447" s="35" t="s">
        <v>485</v>
      </c>
      <c r="G447" s="35" t="s">
        <v>485</v>
      </c>
      <c r="H447" s="35" t="s">
        <v>485</v>
      </c>
      <c r="I447" s="58" t="s">
        <v>2532</v>
      </c>
      <c r="J447" s="57">
        <v>138022.5</v>
      </c>
      <c r="K447" s="40">
        <f>((J447-M447)/J447)*100</f>
        <v>100</v>
      </c>
      <c r="L447" s="41">
        <f>J447-M447</f>
        <v>138022.5</v>
      </c>
      <c r="M447" s="38"/>
      <c r="N447" s="41">
        <f>J447-O447</f>
        <v>138022.5</v>
      </c>
      <c r="O447" s="38">
        <v>0</v>
      </c>
      <c r="P447" s="27">
        <f t="shared" si="55"/>
        <v>0</v>
      </c>
      <c r="Q447" s="27">
        <f t="shared" si="54"/>
        <v>0</v>
      </c>
      <c r="R447" s="27" t="e">
        <f>Q447/U447</f>
        <v>#DIV/0!</v>
      </c>
      <c r="S447" s="38" t="e">
        <f>Q447/U447</f>
        <v>#DIV/0!</v>
      </c>
      <c r="T447" s="38" t="e">
        <f>S447*AR447</f>
        <v>#DIV/0!</v>
      </c>
      <c r="U447" s="38">
        <f t="shared" si="58"/>
        <v>0</v>
      </c>
      <c r="V447" s="38">
        <v>0</v>
      </c>
      <c r="W447" s="38">
        <v>0</v>
      </c>
      <c r="X447" s="38">
        <v>0</v>
      </c>
      <c r="Y447" s="38"/>
      <c r="Z447" s="38" t="e">
        <f t="shared" si="56"/>
        <v>#DIV/0!</v>
      </c>
      <c r="AA447" s="38"/>
      <c r="AB447" s="38" t="e">
        <f t="shared" si="57"/>
        <v>#DIV/0!</v>
      </c>
      <c r="AC447" s="38" t="e">
        <f>U447/AR447</f>
        <v>#DIV/0!</v>
      </c>
      <c r="AD447" s="38" t="e">
        <f t="shared" si="59"/>
        <v>#DIV/0!</v>
      </c>
      <c r="AE447" s="33">
        <v>45397</v>
      </c>
      <c r="AF447" s="33"/>
      <c r="AG447" s="33"/>
      <c r="AH447" s="33"/>
      <c r="AI447" s="33"/>
      <c r="AJ447" s="42"/>
      <c r="AK447" s="37"/>
      <c r="AL447" s="37"/>
      <c r="AM447" s="37"/>
      <c r="AN447" s="37"/>
      <c r="AO447" s="43"/>
      <c r="AP447" s="35"/>
      <c r="AQ447" s="35"/>
      <c r="AR447" s="44"/>
      <c r="AS447" s="37" t="s">
        <v>485</v>
      </c>
    </row>
    <row r="448" spans="1:45" ht="42" customHeight="1" x14ac:dyDescent="0.25">
      <c r="A448" s="32" t="s">
        <v>2533</v>
      </c>
      <c r="B448" s="56">
        <v>45348</v>
      </c>
      <c r="C448" s="35">
        <v>545</v>
      </c>
      <c r="D448" s="36"/>
      <c r="E448" s="1" t="s">
        <v>2534</v>
      </c>
      <c r="F448" s="33">
        <v>45369</v>
      </c>
      <c r="G448" s="35" t="s">
        <v>2535</v>
      </c>
      <c r="H448" s="37" t="s">
        <v>1897</v>
      </c>
      <c r="I448" s="59" t="s">
        <v>2536</v>
      </c>
      <c r="J448" s="57">
        <v>91159992</v>
      </c>
      <c r="K448" s="40">
        <f>((J448-M448)/J448)*100</f>
        <v>0</v>
      </c>
      <c r="L448" s="41">
        <f>J448-M448</f>
        <v>0</v>
      </c>
      <c r="M448" s="57">
        <v>91159992</v>
      </c>
      <c r="N448" s="41">
        <f>J448-O448</f>
        <v>0</v>
      </c>
      <c r="O448" s="38">
        <v>91159992</v>
      </c>
      <c r="P448" s="27">
        <f t="shared" si="55"/>
        <v>91159992</v>
      </c>
      <c r="Q448" s="27">
        <f t="shared" si="54"/>
        <v>91159992</v>
      </c>
      <c r="R448" s="27">
        <f>Q448/U448</f>
        <v>6201.36</v>
      </c>
      <c r="S448" s="38">
        <f>Q448/U448</f>
        <v>6201.36</v>
      </c>
      <c r="T448" s="38">
        <f>S448*AR448</f>
        <v>372081.6</v>
      </c>
      <c r="U448" s="38">
        <f t="shared" si="58"/>
        <v>14700</v>
      </c>
      <c r="V448" s="38">
        <v>14700</v>
      </c>
      <c r="W448" s="38">
        <v>0</v>
      </c>
      <c r="X448" s="38">
        <v>0</v>
      </c>
      <c r="Y448" s="38">
        <v>0</v>
      </c>
      <c r="Z448" s="38">
        <f t="shared" si="56"/>
        <v>0</v>
      </c>
      <c r="AA448" s="38">
        <v>0</v>
      </c>
      <c r="AB448" s="38">
        <f t="shared" si="57"/>
        <v>0</v>
      </c>
      <c r="AC448" s="38">
        <f>U448/AR448</f>
        <v>245</v>
      </c>
      <c r="AD448" s="38">
        <f t="shared" si="59"/>
        <v>245</v>
      </c>
      <c r="AE448" s="33">
        <v>45397</v>
      </c>
      <c r="AF448" s="33"/>
      <c r="AG448" s="33"/>
      <c r="AH448" s="33">
        <v>45427</v>
      </c>
      <c r="AI448" s="33"/>
      <c r="AJ448" s="42"/>
      <c r="AK448" s="37" t="s">
        <v>437</v>
      </c>
      <c r="AL448" s="37" t="s">
        <v>1898</v>
      </c>
      <c r="AM448" s="37" t="s">
        <v>439</v>
      </c>
      <c r="AN448" s="37" t="s">
        <v>440</v>
      </c>
      <c r="AO448" s="43">
        <v>0</v>
      </c>
      <c r="AP448" s="35">
        <v>100</v>
      </c>
      <c r="AQ448" s="35" t="s">
        <v>441</v>
      </c>
      <c r="AR448" s="44">
        <v>60</v>
      </c>
      <c r="AS448" s="37" t="s">
        <v>52</v>
      </c>
    </row>
    <row r="449" spans="1:45" ht="42" customHeight="1" x14ac:dyDescent="0.25">
      <c r="A449" s="32" t="s">
        <v>2537</v>
      </c>
      <c r="B449" s="56">
        <v>45348</v>
      </c>
      <c r="C449" s="35">
        <v>545</v>
      </c>
      <c r="D449" s="36"/>
      <c r="E449" s="1" t="s">
        <v>2538</v>
      </c>
      <c r="F449" s="33">
        <v>45369</v>
      </c>
      <c r="G449" s="35" t="s">
        <v>2539</v>
      </c>
      <c r="H449" s="37" t="s">
        <v>1897</v>
      </c>
      <c r="I449" s="59" t="s">
        <v>2536</v>
      </c>
      <c r="J449" s="57">
        <v>90787910.400000006</v>
      </c>
      <c r="K449" s="40">
        <f>((J449-M449)/J449)*100</f>
        <v>0</v>
      </c>
      <c r="L449" s="41">
        <f>J449-M449</f>
        <v>0</v>
      </c>
      <c r="M449" s="57">
        <v>90787910.400000006</v>
      </c>
      <c r="N449" s="41">
        <f>J449-O449</f>
        <v>0</v>
      </c>
      <c r="O449" s="38">
        <v>90787910.400000006</v>
      </c>
      <c r="P449" s="27">
        <v>101578276.8</v>
      </c>
      <c r="Q449" s="27">
        <f t="shared" si="54"/>
        <v>101578276.8</v>
      </c>
      <c r="R449" s="27">
        <f>Q449/U449</f>
        <v>6201.36</v>
      </c>
      <c r="S449" s="38">
        <f>Q449/U449</f>
        <v>6201.36</v>
      </c>
      <c r="T449" s="38">
        <f>S449*AR449</f>
        <v>372081.6</v>
      </c>
      <c r="U449" s="38">
        <f t="shared" si="58"/>
        <v>16380</v>
      </c>
      <c r="V449" s="38">
        <v>16380</v>
      </c>
      <c r="W449" s="38">
        <v>0</v>
      </c>
      <c r="X449" s="38">
        <v>0</v>
      </c>
      <c r="Y449" s="38">
        <v>0</v>
      </c>
      <c r="Z449" s="38">
        <f t="shared" si="56"/>
        <v>0</v>
      </c>
      <c r="AA449" s="38">
        <v>0</v>
      </c>
      <c r="AB449" s="38">
        <f t="shared" si="57"/>
        <v>0</v>
      </c>
      <c r="AC449" s="38">
        <f>U449/AR449</f>
        <v>273</v>
      </c>
      <c r="AD449" s="38">
        <f t="shared" si="59"/>
        <v>273</v>
      </c>
      <c r="AE449" s="33">
        <v>45397</v>
      </c>
      <c r="AF449" s="33"/>
      <c r="AG449" s="33"/>
      <c r="AH449" s="33">
        <v>45427</v>
      </c>
      <c r="AI449" s="33"/>
      <c r="AJ449" s="42"/>
      <c r="AK449" s="37" t="s">
        <v>437</v>
      </c>
      <c r="AL449" s="37" t="s">
        <v>1898</v>
      </c>
      <c r="AM449" s="37" t="s">
        <v>439</v>
      </c>
      <c r="AN449" s="37" t="s">
        <v>440</v>
      </c>
      <c r="AO449" s="43">
        <v>0</v>
      </c>
      <c r="AP449" s="35">
        <v>100</v>
      </c>
      <c r="AQ449" s="35" t="s">
        <v>441</v>
      </c>
      <c r="AR449" s="44">
        <v>60</v>
      </c>
      <c r="AS449" s="37" t="s">
        <v>52</v>
      </c>
    </row>
    <row r="450" spans="1:45" ht="42" customHeight="1" x14ac:dyDescent="0.25">
      <c r="A450" s="32" t="s">
        <v>2540</v>
      </c>
      <c r="B450" s="56">
        <v>45348</v>
      </c>
      <c r="C450" s="35">
        <v>545</v>
      </c>
      <c r="D450" s="36"/>
      <c r="E450" s="1" t="s">
        <v>2541</v>
      </c>
      <c r="F450" s="33">
        <v>45369</v>
      </c>
      <c r="G450" s="35" t="s">
        <v>2542</v>
      </c>
      <c r="H450" s="37" t="s">
        <v>1897</v>
      </c>
      <c r="I450" s="59" t="s">
        <v>2536</v>
      </c>
      <c r="J450" s="57">
        <v>91159992</v>
      </c>
      <c r="K450" s="40">
        <f>((J450-M450)/J450)*100</f>
        <v>0</v>
      </c>
      <c r="L450" s="41">
        <f>J450-M450</f>
        <v>0</v>
      </c>
      <c r="M450" s="57">
        <v>91159992</v>
      </c>
      <c r="N450" s="41">
        <f>J450-O450</f>
        <v>0</v>
      </c>
      <c r="O450" s="38">
        <v>91159992</v>
      </c>
      <c r="P450" s="27">
        <v>94136644.799999997</v>
      </c>
      <c r="Q450" s="27">
        <f t="shared" ref="Q450:Q513" si="60">P450</f>
        <v>94136644.799999997</v>
      </c>
      <c r="R450" s="27">
        <f>Q450/U450</f>
        <v>6201.36</v>
      </c>
      <c r="S450" s="38">
        <f>Q450/U450</f>
        <v>6201.36</v>
      </c>
      <c r="T450" s="38">
        <f>S450*AR450</f>
        <v>372081.6</v>
      </c>
      <c r="U450" s="38">
        <f t="shared" si="58"/>
        <v>15180</v>
      </c>
      <c r="V450" s="38">
        <v>15180</v>
      </c>
      <c r="W450" s="38">
        <v>0</v>
      </c>
      <c r="X450" s="38">
        <v>0</v>
      </c>
      <c r="Y450" s="38">
        <v>0</v>
      </c>
      <c r="Z450" s="38">
        <f t="shared" si="56"/>
        <v>0</v>
      </c>
      <c r="AA450" s="38">
        <v>0</v>
      </c>
      <c r="AB450" s="38">
        <f t="shared" si="57"/>
        <v>0</v>
      </c>
      <c r="AC450" s="38">
        <f>U450/AR450</f>
        <v>253</v>
      </c>
      <c r="AD450" s="38">
        <f t="shared" si="59"/>
        <v>253</v>
      </c>
      <c r="AE450" s="33">
        <v>45397</v>
      </c>
      <c r="AF450" s="33"/>
      <c r="AG450" s="33"/>
      <c r="AH450" s="33">
        <v>45427</v>
      </c>
      <c r="AI450" s="33"/>
      <c r="AJ450" s="42"/>
      <c r="AK450" s="37" t="s">
        <v>437</v>
      </c>
      <c r="AL450" s="37" t="s">
        <v>1898</v>
      </c>
      <c r="AM450" s="37" t="s">
        <v>439</v>
      </c>
      <c r="AN450" s="37" t="s">
        <v>440</v>
      </c>
      <c r="AO450" s="43">
        <v>0</v>
      </c>
      <c r="AP450" s="35">
        <v>100</v>
      </c>
      <c r="AQ450" s="35" t="s">
        <v>441</v>
      </c>
      <c r="AR450" s="44">
        <v>60</v>
      </c>
      <c r="AS450" s="37" t="s">
        <v>52</v>
      </c>
    </row>
    <row r="451" spans="1:45" ht="42" customHeight="1" x14ac:dyDescent="0.25">
      <c r="A451" s="32" t="s">
        <v>2543</v>
      </c>
      <c r="B451" s="56">
        <v>45348</v>
      </c>
      <c r="C451" s="35">
        <v>545</v>
      </c>
      <c r="D451" s="36"/>
      <c r="E451" s="1" t="s">
        <v>2544</v>
      </c>
      <c r="F451" s="33">
        <v>45369</v>
      </c>
      <c r="G451" s="35" t="s">
        <v>2545</v>
      </c>
      <c r="H451" s="37" t="s">
        <v>1897</v>
      </c>
      <c r="I451" s="59" t="s">
        <v>2536</v>
      </c>
      <c r="J451" s="57">
        <v>46510200</v>
      </c>
      <c r="K451" s="40">
        <f>((J451-M451)/J451)*100</f>
        <v>0</v>
      </c>
      <c r="L451" s="41">
        <f>J451-M451</f>
        <v>0</v>
      </c>
      <c r="M451" s="57">
        <v>46510200</v>
      </c>
      <c r="N451" s="41">
        <f>J451-O451</f>
        <v>0</v>
      </c>
      <c r="O451" s="38">
        <v>46510200</v>
      </c>
      <c r="P451" s="27">
        <f>O451</f>
        <v>46510200</v>
      </c>
      <c r="Q451" s="27">
        <f t="shared" si="60"/>
        <v>46510200</v>
      </c>
      <c r="R451" s="27">
        <f>Q451/U451</f>
        <v>6201.36</v>
      </c>
      <c r="S451" s="38">
        <f>Q451/U451</f>
        <v>6201.36</v>
      </c>
      <c r="T451" s="38">
        <f>S451*AR451</f>
        <v>372081.6</v>
      </c>
      <c r="U451" s="38">
        <f t="shared" si="58"/>
        <v>7500</v>
      </c>
      <c r="V451" s="38">
        <v>7500</v>
      </c>
      <c r="W451" s="38">
        <v>0</v>
      </c>
      <c r="X451" s="38">
        <v>0</v>
      </c>
      <c r="Y451" s="38">
        <v>0</v>
      </c>
      <c r="Z451" s="38">
        <f t="shared" si="56"/>
        <v>0</v>
      </c>
      <c r="AA451" s="38">
        <v>0</v>
      </c>
      <c r="AB451" s="38">
        <f t="shared" si="57"/>
        <v>0</v>
      </c>
      <c r="AC451" s="38">
        <f>U451/AR451</f>
        <v>125</v>
      </c>
      <c r="AD451" s="38">
        <f t="shared" si="59"/>
        <v>125</v>
      </c>
      <c r="AE451" s="33">
        <v>45397</v>
      </c>
      <c r="AF451" s="33"/>
      <c r="AG451" s="33"/>
      <c r="AH451" s="33">
        <v>45427</v>
      </c>
      <c r="AI451" s="33"/>
      <c r="AJ451" s="42"/>
      <c r="AK451" s="37" t="s">
        <v>437</v>
      </c>
      <c r="AL451" s="37" t="s">
        <v>1898</v>
      </c>
      <c r="AM451" s="37" t="s">
        <v>439</v>
      </c>
      <c r="AN451" s="37" t="s">
        <v>440</v>
      </c>
      <c r="AO451" s="43">
        <v>0</v>
      </c>
      <c r="AP451" s="35">
        <v>100</v>
      </c>
      <c r="AQ451" s="35" t="s">
        <v>441</v>
      </c>
      <c r="AR451" s="44">
        <v>60</v>
      </c>
      <c r="AS451" s="37" t="s">
        <v>52</v>
      </c>
    </row>
    <row r="452" spans="1:45" ht="42" customHeight="1" x14ac:dyDescent="0.25">
      <c r="A452" s="32" t="s">
        <v>2546</v>
      </c>
      <c r="B452" s="56">
        <v>45348</v>
      </c>
      <c r="C452" s="35">
        <v>545</v>
      </c>
      <c r="D452" s="36"/>
      <c r="E452" s="1" t="s">
        <v>2547</v>
      </c>
      <c r="F452" s="33">
        <v>45369</v>
      </c>
      <c r="G452" s="35" t="s">
        <v>2548</v>
      </c>
      <c r="H452" s="37" t="s">
        <v>1897</v>
      </c>
      <c r="I452" s="59" t="s">
        <v>2536</v>
      </c>
      <c r="J452" s="57">
        <v>85950849.599999994</v>
      </c>
      <c r="K452" s="40">
        <f>((J452-M452)/J452)*100</f>
        <v>0</v>
      </c>
      <c r="L452" s="41">
        <f>J452-M452</f>
        <v>0</v>
      </c>
      <c r="M452" s="57">
        <v>85950849.599999994</v>
      </c>
      <c r="N452" s="41">
        <f>J452-O452</f>
        <v>0</v>
      </c>
      <c r="O452" s="38">
        <v>85950849.599999994</v>
      </c>
      <c r="P452" s="27">
        <f>O452</f>
        <v>85950849.599999994</v>
      </c>
      <c r="Q452" s="27">
        <f t="shared" si="60"/>
        <v>85950849.599999994</v>
      </c>
      <c r="R452" s="27">
        <f>Q452/U452</f>
        <v>6201.36</v>
      </c>
      <c r="S452" s="38">
        <f>Q452/U452</f>
        <v>6201.36</v>
      </c>
      <c r="T452" s="38">
        <f>S452*AR452</f>
        <v>372081.6</v>
      </c>
      <c r="U452" s="38">
        <f t="shared" si="58"/>
        <v>13860</v>
      </c>
      <c r="V452" s="38">
        <v>13860</v>
      </c>
      <c r="W452" s="38">
        <v>0</v>
      </c>
      <c r="X452" s="38">
        <v>0</v>
      </c>
      <c r="Y452" s="38">
        <v>0</v>
      </c>
      <c r="Z452" s="38">
        <f t="shared" si="56"/>
        <v>0</v>
      </c>
      <c r="AA452" s="38">
        <v>0</v>
      </c>
      <c r="AB452" s="38">
        <f t="shared" si="57"/>
        <v>0</v>
      </c>
      <c r="AC452" s="38">
        <f>U452/AR452</f>
        <v>231</v>
      </c>
      <c r="AD452" s="38">
        <f t="shared" si="59"/>
        <v>231</v>
      </c>
      <c r="AE452" s="33">
        <v>45397</v>
      </c>
      <c r="AF452" s="33"/>
      <c r="AG452" s="33"/>
      <c r="AH452" s="33">
        <v>45427</v>
      </c>
      <c r="AI452" s="33"/>
      <c r="AJ452" s="42"/>
      <c r="AK452" s="37" t="s">
        <v>437</v>
      </c>
      <c r="AL452" s="37" t="s">
        <v>1898</v>
      </c>
      <c r="AM452" s="37" t="s">
        <v>439</v>
      </c>
      <c r="AN452" s="37" t="s">
        <v>440</v>
      </c>
      <c r="AO452" s="43">
        <v>0</v>
      </c>
      <c r="AP452" s="35">
        <v>100</v>
      </c>
      <c r="AQ452" s="35" t="s">
        <v>441</v>
      </c>
      <c r="AR452" s="44">
        <v>60</v>
      </c>
      <c r="AS452" s="37" t="s">
        <v>52</v>
      </c>
    </row>
    <row r="453" spans="1:45" ht="42" customHeight="1" x14ac:dyDescent="0.25">
      <c r="A453" s="32" t="s">
        <v>2549</v>
      </c>
      <c r="B453" s="56">
        <v>45348</v>
      </c>
      <c r="C453" s="35">
        <v>545</v>
      </c>
      <c r="D453" s="36"/>
      <c r="E453" s="1" t="s">
        <v>2550</v>
      </c>
      <c r="F453" s="33">
        <v>45369</v>
      </c>
      <c r="G453" s="35" t="s">
        <v>2551</v>
      </c>
      <c r="H453" s="37" t="s">
        <v>1897</v>
      </c>
      <c r="I453" s="59" t="s">
        <v>461</v>
      </c>
      <c r="J453" s="57">
        <v>89299584</v>
      </c>
      <c r="K453" s="40">
        <f>((J453-M453)/J453)*100</f>
        <v>0</v>
      </c>
      <c r="L453" s="41">
        <f>J453-M453</f>
        <v>0</v>
      </c>
      <c r="M453" s="57">
        <v>89299584</v>
      </c>
      <c r="N453" s="41">
        <f>J453-O453</f>
        <v>0</v>
      </c>
      <c r="O453" s="38">
        <v>89299584</v>
      </c>
      <c r="P453" s="27">
        <v>94880808</v>
      </c>
      <c r="Q453" s="27">
        <f t="shared" si="60"/>
        <v>94880808</v>
      </c>
      <c r="R453" s="27">
        <f>Q453/U453</f>
        <v>6201.36</v>
      </c>
      <c r="S453" s="38">
        <f>Q453/U453</f>
        <v>6201.36</v>
      </c>
      <c r="T453" s="38">
        <f>S453*AR453</f>
        <v>372081.6</v>
      </c>
      <c r="U453" s="38">
        <f t="shared" si="58"/>
        <v>15300</v>
      </c>
      <c r="V453" s="38">
        <v>15300</v>
      </c>
      <c r="W453" s="38">
        <v>0</v>
      </c>
      <c r="X453" s="38">
        <v>0</v>
      </c>
      <c r="Y453" s="38">
        <v>0</v>
      </c>
      <c r="Z453" s="38">
        <f t="shared" si="56"/>
        <v>0</v>
      </c>
      <c r="AA453" s="38">
        <v>0</v>
      </c>
      <c r="AB453" s="38">
        <f t="shared" si="57"/>
        <v>0</v>
      </c>
      <c r="AC453" s="38">
        <f>U453/AR453</f>
        <v>255</v>
      </c>
      <c r="AD453" s="38">
        <f t="shared" si="59"/>
        <v>255</v>
      </c>
      <c r="AE453" s="33">
        <v>45397</v>
      </c>
      <c r="AF453" s="33"/>
      <c r="AG453" s="33"/>
      <c r="AH453" s="33">
        <v>45427</v>
      </c>
      <c r="AI453" s="33"/>
      <c r="AJ453" s="42"/>
      <c r="AK453" s="37" t="s">
        <v>437</v>
      </c>
      <c r="AL453" s="37" t="s">
        <v>1898</v>
      </c>
      <c r="AM453" s="37" t="s">
        <v>439</v>
      </c>
      <c r="AN453" s="37" t="s">
        <v>440</v>
      </c>
      <c r="AO453" s="43">
        <v>0</v>
      </c>
      <c r="AP453" s="35">
        <v>100</v>
      </c>
      <c r="AQ453" s="35" t="s">
        <v>441</v>
      </c>
      <c r="AR453" s="44">
        <v>60</v>
      </c>
      <c r="AS453" s="37" t="s">
        <v>52</v>
      </c>
    </row>
    <row r="454" spans="1:45" ht="42" customHeight="1" x14ac:dyDescent="0.25">
      <c r="A454" s="32" t="s">
        <v>2552</v>
      </c>
      <c r="B454" s="56">
        <v>45348</v>
      </c>
      <c r="C454" s="35">
        <v>545</v>
      </c>
      <c r="D454" s="36"/>
      <c r="E454" s="1" t="s">
        <v>2553</v>
      </c>
      <c r="F454" s="33">
        <v>45369</v>
      </c>
      <c r="G454" s="35" t="s">
        <v>2554</v>
      </c>
      <c r="H454" s="37" t="s">
        <v>1897</v>
      </c>
      <c r="I454" s="59" t="s">
        <v>461</v>
      </c>
      <c r="J454" s="57">
        <v>93764563.200000003</v>
      </c>
      <c r="K454" s="40">
        <f>((J454-M454)/J454)*100</f>
        <v>0</v>
      </c>
      <c r="L454" s="41">
        <f>J454-M454</f>
        <v>0</v>
      </c>
      <c r="M454" s="57">
        <v>93764563.200000003</v>
      </c>
      <c r="N454" s="41">
        <f>J454-O454</f>
        <v>0</v>
      </c>
      <c r="O454" s="38">
        <v>93764563.200000003</v>
      </c>
      <c r="P454" s="27">
        <f t="shared" ref="P454:P475" si="61">O454</f>
        <v>93764563.200000003</v>
      </c>
      <c r="Q454" s="27">
        <f t="shared" si="60"/>
        <v>93764563.200000003</v>
      </c>
      <c r="R454" s="27">
        <f>Q454/U454</f>
        <v>6201.3600000000006</v>
      </c>
      <c r="S454" s="38">
        <f>Q454/U454</f>
        <v>6201.3600000000006</v>
      </c>
      <c r="T454" s="38">
        <f>S454*AR454</f>
        <v>372081.60000000003</v>
      </c>
      <c r="U454" s="38">
        <f t="shared" si="58"/>
        <v>15120</v>
      </c>
      <c r="V454" s="38">
        <v>15120</v>
      </c>
      <c r="W454" s="38">
        <v>0</v>
      </c>
      <c r="X454" s="38">
        <v>0</v>
      </c>
      <c r="Y454" s="38">
        <v>0</v>
      </c>
      <c r="Z454" s="38">
        <f t="shared" si="56"/>
        <v>0</v>
      </c>
      <c r="AA454" s="38">
        <v>0</v>
      </c>
      <c r="AB454" s="38">
        <f t="shared" si="57"/>
        <v>0</v>
      </c>
      <c r="AC454" s="38">
        <f>U454/AR454</f>
        <v>252</v>
      </c>
      <c r="AD454" s="38">
        <f t="shared" si="59"/>
        <v>252</v>
      </c>
      <c r="AE454" s="33">
        <v>45397</v>
      </c>
      <c r="AF454" s="33"/>
      <c r="AG454" s="33"/>
      <c r="AH454" s="33">
        <v>45427</v>
      </c>
      <c r="AI454" s="33"/>
      <c r="AJ454" s="42"/>
      <c r="AK454" s="37" t="s">
        <v>437</v>
      </c>
      <c r="AL454" s="37" t="s">
        <v>1898</v>
      </c>
      <c r="AM454" s="37" t="s">
        <v>439</v>
      </c>
      <c r="AN454" s="37" t="s">
        <v>440</v>
      </c>
      <c r="AO454" s="43">
        <v>0</v>
      </c>
      <c r="AP454" s="35">
        <v>100</v>
      </c>
      <c r="AQ454" s="35" t="s">
        <v>441</v>
      </c>
      <c r="AR454" s="44">
        <v>60</v>
      </c>
      <c r="AS454" s="37" t="s">
        <v>176</v>
      </c>
    </row>
    <row r="455" spans="1:45" ht="42" customHeight="1" x14ac:dyDescent="0.25">
      <c r="A455" s="32" t="s">
        <v>2555</v>
      </c>
      <c r="B455" s="56">
        <v>45348</v>
      </c>
      <c r="C455" s="35">
        <v>545</v>
      </c>
      <c r="D455" s="36"/>
      <c r="E455" s="1" t="s">
        <v>2556</v>
      </c>
      <c r="F455" s="33">
        <v>45369</v>
      </c>
      <c r="G455" s="35" t="s">
        <v>2557</v>
      </c>
      <c r="H455" s="37" t="s">
        <v>1897</v>
      </c>
      <c r="I455" s="59" t="s">
        <v>461</v>
      </c>
      <c r="J455" s="57">
        <v>93020400</v>
      </c>
      <c r="K455" s="40">
        <f>((J455-M455)/J455)*100</f>
        <v>0</v>
      </c>
      <c r="L455" s="41">
        <f>J455-M455</f>
        <v>0</v>
      </c>
      <c r="M455" s="57">
        <v>93020400</v>
      </c>
      <c r="N455" s="41">
        <f>J455-O455</f>
        <v>0</v>
      </c>
      <c r="O455" s="38">
        <v>93020400</v>
      </c>
      <c r="P455" s="27">
        <f t="shared" si="61"/>
        <v>93020400</v>
      </c>
      <c r="Q455" s="27">
        <f t="shared" si="60"/>
        <v>93020400</v>
      </c>
      <c r="R455" s="27">
        <f>Q455/U455</f>
        <v>6201.36</v>
      </c>
      <c r="S455" s="38">
        <f>Q455/U455</f>
        <v>6201.36</v>
      </c>
      <c r="T455" s="38">
        <f>S455*AR455</f>
        <v>372081.6</v>
      </c>
      <c r="U455" s="38">
        <f t="shared" si="58"/>
        <v>15000</v>
      </c>
      <c r="V455" s="38">
        <v>4020</v>
      </c>
      <c r="W455" s="38">
        <v>10980</v>
      </c>
      <c r="X455" s="38">
        <v>0</v>
      </c>
      <c r="Y455" s="38">
        <v>0</v>
      </c>
      <c r="Z455" s="38">
        <f t="shared" si="56"/>
        <v>0</v>
      </c>
      <c r="AA455" s="38">
        <v>0</v>
      </c>
      <c r="AB455" s="38">
        <f t="shared" si="57"/>
        <v>0</v>
      </c>
      <c r="AC455" s="38">
        <f>U455/AR455</f>
        <v>250</v>
      </c>
      <c r="AD455" s="38">
        <f t="shared" si="59"/>
        <v>250</v>
      </c>
      <c r="AE455" s="33">
        <v>45397</v>
      </c>
      <c r="AF455" s="33">
        <v>45443</v>
      </c>
      <c r="AG455" s="33"/>
      <c r="AH455" s="33">
        <v>45427</v>
      </c>
      <c r="AI455" s="33"/>
      <c r="AJ455" s="42"/>
      <c r="AK455" s="37" t="s">
        <v>437</v>
      </c>
      <c r="AL455" s="37" t="s">
        <v>1898</v>
      </c>
      <c r="AM455" s="37" t="s">
        <v>439</v>
      </c>
      <c r="AN455" s="37" t="s">
        <v>440</v>
      </c>
      <c r="AO455" s="43">
        <v>0</v>
      </c>
      <c r="AP455" s="35">
        <v>100</v>
      </c>
      <c r="AQ455" s="35" t="s">
        <v>441</v>
      </c>
      <c r="AR455" s="44">
        <v>60</v>
      </c>
      <c r="AS455" s="37" t="s">
        <v>52</v>
      </c>
    </row>
    <row r="456" spans="1:45" ht="42" customHeight="1" x14ac:dyDescent="0.25">
      <c r="A456" s="32" t="s">
        <v>2558</v>
      </c>
      <c r="B456" s="56">
        <v>45349</v>
      </c>
      <c r="C456" s="35" t="s">
        <v>2213</v>
      </c>
      <c r="D456" s="36"/>
      <c r="E456" s="1" t="s">
        <v>2559</v>
      </c>
      <c r="F456" s="33">
        <v>45362</v>
      </c>
      <c r="G456" s="35" t="s">
        <v>2560</v>
      </c>
      <c r="H456" s="37" t="s">
        <v>1847</v>
      </c>
      <c r="I456" s="59" t="s">
        <v>1269</v>
      </c>
      <c r="J456" s="57">
        <v>501897</v>
      </c>
      <c r="K456" s="40">
        <f>((J456-M456)/J456)*100</f>
        <v>4.5228403437358664E-2</v>
      </c>
      <c r="L456" s="41">
        <f>J456-M456</f>
        <v>227</v>
      </c>
      <c r="M456" s="38">
        <v>501670</v>
      </c>
      <c r="N456" s="41">
        <f>J456-O456</f>
        <v>227</v>
      </c>
      <c r="O456" s="38">
        <v>501670</v>
      </c>
      <c r="P456" s="27">
        <f t="shared" si="61"/>
        <v>501670</v>
      </c>
      <c r="Q456" s="27">
        <f t="shared" si="60"/>
        <v>501670</v>
      </c>
      <c r="R456" s="27">
        <f>Q456/U456</f>
        <v>22.1</v>
      </c>
      <c r="S456" s="38">
        <f>Q456/U456</f>
        <v>22.1</v>
      </c>
      <c r="T456" s="38">
        <f>S456*AR456</f>
        <v>1105</v>
      </c>
      <c r="U456" s="38">
        <f t="shared" si="58"/>
        <v>22700</v>
      </c>
      <c r="V456" s="38">
        <v>22700</v>
      </c>
      <c r="W456" s="38">
        <v>0</v>
      </c>
      <c r="X456" s="38">
        <v>0</v>
      </c>
      <c r="Y456" s="38">
        <v>0</v>
      </c>
      <c r="Z456" s="38">
        <f t="shared" si="56"/>
        <v>0</v>
      </c>
      <c r="AA456" s="38">
        <v>22700</v>
      </c>
      <c r="AB456" s="38">
        <f t="shared" si="57"/>
        <v>501670.00000000006</v>
      </c>
      <c r="AC456" s="38">
        <f>U456/AR456</f>
        <v>454</v>
      </c>
      <c r="AD456" s="38">
        <f t="shared" si="59"/>
        <v>454</v>
      </c>
      <c r="AE456" s="33">
        <v>45413</v>
      </c>
      <c r="AF456" s="33"/>
      <c r="AG456" s="33"/>
      <c r="AH456" s="33">
        <v>45444</v>
      </c>
      <c r="AI456" s="33"/>
      <c r="AJ456" s="42"/>
      <c r="AK456" s="37" t="s">
        <v>1505</v>
      </c>
      <c r="AL456" s="37" t="s">
        <v>2561</v>
      </c>
      <c r="AM456" s="37" t="s">
        <v>1507</v>
      </c>
      <c r="AN456" s="37" t="s">
        <v>50</v>
      </c>
      <c r="AO456" s="43">
        <v>100</v>
      </c>
      <c r="AP456" s="35">
        <v>0</v>
      </c>
      <c r="AQ456" s="35" t="s">
        <v>441</v>
      </c>
      <c r="AR456" s="44">
        <v>50</v>
      </c>
      <c r="AS456" s="37" t="s">
        <v>52</v>
      </c>
    </row>
    <row r="457" spans="1:45" ht="42" customHeight="1" x14ac:dyDescent="0.25">
      <c r="A457" s="32" t="s">
        <v>2562</v>
      </c>
      <c r="B457" s="56">
        <v>45349</v>
      </c>
      <c r="C457" s="35" t="s">
        <v>2213</v>
      </c>
      <c r="D457" s="36"/>
      <c r="E457" s="1" t="s">
        <v>2563</v>
      </c>
      <c r="F457" s="33">
        <v>45362</v>
      </c>
      <c r="G457" s="35" t="s">
        <v>2564</v>
      </c>
      <c r="H457" s="37" t="s">
        <v>411</v>
      </c>
      <c r="I457" s="58" t="s">
        <v>1045</v>
      </c>
      <c r="J457" s="57">
        <v>1477519.12</v>
      </c>
      <c r="K457" s="40">
        <f>((J457-M457)/J457)*100</f>
        <v>0</v>
      </c>
      <c r="L457" s="41">
        <f>J457-M457</f>
        <v>0</v>
      </c>
      <c r="M457" s="57">
        <v>1477519.12</v>
      </c>
      <c r="N457" s="41">
        <f>J457-O457</f>
        <v>0</v>
      </c>
      <c r="O457" s="57">
        <v>1477519.12</v>
      </c>
      <c r="P457" s="27">
        <f t="shared" si="61"/>
        <v>1477519.12</v>
      </c>
      <c r="Q457" s="27">
        <f t="shared" si="60"/>
        <v>1477519.12</v>
      </c>
      <c r="R457" s="27">
        <f>Q457/U457</f>
        <v>52768.54</v>
      </c>
      <c r="S457" s="38">
        <f>Q457/U457</f>
        <v>52768.54</v>
      </c>
      <c r="T457" s="38">
        <f>S457*AR457</f>
        <v>52768.54</v>
      </c>
      <c r="U457" s="38">
        <f t="shared" si="58"/>
        <v>28</v>
      </c>
      <c r="V457" s="38">
        <v>28</v>
      </c>
      <c r="W457" s="38">
        <v>0</v>
      </c>
      <c r="X457" s="38">
        <v>0</v>
      </c>
      <c r="Y457" s="38">
        <v>28</v>
      </c>
      <c r="Z457" s="38">
        <f t="shared" si="56"/>
        <v>1477519.12</v>
      </c>
      <c r="AA457" s="38">
        <v>0</v>
      </c>
      <c r="AB457" s="38">
        <f t="shared" si="57"/>
        <v>0</v>
      </c>
      <c r="AC457" s="38">
        <f>U457/AR457</f>
        <v>28</v>
      </c>
      <c r="AD457" s="38">
        <f t="shared" si="59"/>
        <v>28</v>
      </c>
      <c r="AE457" s="33">
        <v>45536</v>
      </c>
      <c r="AF457" s="33"/>
      <c r="AG457" s="33"/>
      <c r="AH457" s="33">
        <v>45566</v>
      </c>
      <c r="AI457" s="33"/>
      <c r="AJ457" s="42"/>
      <c r="AK457" s="37" t="s">
        <v>786</v>
      </c>
      <c r="AL457" s="37" t="s">
        <v>1046</v>
      </c>
      <c r="AM457" s="37" t="s">
        <v>788</v>
      </c>
      <c r="AN457" s="37" t="s">
        <v>326</v>
      </c>
      <c r="AO457" s="43">
        <v>0</v>
      </c>
      <c r="AP457" s="35">
        <v>100</v>
      </c>
      <c r="AQ457" s="35" t="s">
        <v>164</v>
      </c>
      <c r="AR457" s="44">
        <v>1</v>
      </c>
      <c r="AS457" s="37" t="s">
        <v>52</v>
      </c>
    </row>
    <row r="458" spans="1:45" ht="42" customHeight="1" x14ac:dyDescent="0.25">
      <c r="A458" s="32" t="s">
        <v>2565</v>
      </c>
      <c r="B458" s="56">
        <v>45349</v>
      </c>
      <c r="C458" s="35" t="s">
        <v>2213</v>
      </c>
      <c r="D458" s="35" t="s">
        <v>485</v>
      </c>
      <c r="E458" s="1" t="s">
        <v>2566</v>
      </c>
      <c r="F458" s="35" t="s">
        <v>485</v>
      </c>
      <c r="G458" s="35" t="s">
        <v>485</v>
      </c>
      <c r="H458" s="35" t="s">
        <v>485</v>
      </c>
      <c r="I458" s="58" t="s">
        <v>1121</v>
      </c>
      <c r="J458" s="57">
        <v>2840763.67</v>
      </c>
      <c r="K458" s="40">
        <f>((J458-M458)/J458)*100</f>
        <v>100</v>
      </c>
      <c r="L458" s="41">
        <f>J458-M458</f>
        <v>2840763.67</v>
      </c>
      <c r="M458" s="38"/>
      <c r="N458" s="41">
        <f>J458-O458</f>
        <v>2840763.67</v>
      </c>
      <c r="O458" s="38">
        <v>0</v>
      </c>
      <c r="P458" s="27">
        <f t="shared" si="61"/>
        <v>0</v>
      </c>
      <c r="Q458" s="27">
        <f t="shared" si="60"/>
        <v>0</v>
      </c>
      <c r="R458" s="27" t="e">
        <f>Q458/U458</f>
        <v>#DIV/0!</v>
      </c>
      <c r="S458" s="38" t="e">
        <f>Q458/U458</f>
        <v>#DIV/0!</v>
      </c>
      <c r="T458" s="38" t="e">
        <f>S458*AR458</f>
        <v>#DIV/0!</v>
      </c>
      <c r="U458" s="38">
        <f t="shared" si="58"/>
        <v>0</v>
      </c>
      <c r="V458" s="38">
        <v>0</v>
      </c>
      <c r="W458" s="38">
        <v>0</v>
      </c>
      <c r="X458" s="38">
        <v>0</v>
      </c>
      <c r="Y458" s="38"/>
      <c r="Z458" s="38" t="e">
        <f t="shared" si="56"/>
        <v>#DIV/0!</v>
      </c>
      <c r="AA458" s="38"/>
      <c r="AB458" s="38" t="e">
        <f t="shared" si="57"/>
        <v>#DIV/0!</v>
      </c>
      <c r="AC458" s="38" t="e">
        <f>U458/AR458</f>
        <v>#DIV/0!</v>
      </c>
      <c r="AD458" s="38" t="e">
        <f t="shared" si="59"/>
        <v>#DIV/0!</v>
      </c>
      <c r="AE458" s="33">
        <v>45413</v>
      </c>
      <c r="AF458" s="33"/>
      <c r="AG458" s="33"/>
      <c r="AH458" s="33"/>
      <c r="AI458" s="33"/>
      <c r="AJ458" s="42"/>
      <c r="AK458" s="37"/>
      <c r="AL458" s="37"/>
      <c r="AM458" s="37"/>
      <c r="AN458" s="37"/>
      <c r="AO458" s="43"/>
      <c r="AP458" s="35"/>
      <c r="AQ458" s="35"/>
      <c r="AR458" s="44"/>
      <c r="AS458" s="37" t="s">
        <v>485</v>
      </c>
    </row>
    <row r="459" spans="1:45" ht="43.5" customHeight="1" x14ac:dyDescent="0.25">
      <c r="A459" s="32" t="s">
        <v>2567</v>
      </c>
      <c r="B459" s="56">
        <v>45349</v>
      </c>
      <c r="C459" s="35">
        <v>1416</v>
      </c>
      <c r="D459" s="36"/>
      <c r="E459" s="1" t="s">
        <v>2568</v>
      </c>
      <c r="F459" s="33">
        <v>45376</v>
      </c>
      <c r="G459" s="35" t="s">
        <v>2569</v>
      </c>
      <c r="H459" s="37" t="s">
        <v>219</v>
      </c>
      <c r="I459" s="58" t="s">
        <v>2570</v>
      </c>
      <c r="J459" s="57">
        <v>367610100</v>
      </c>
      <c r="K459" s="40">
        <f>((J459-M459)/J459)*100</f>
        <v>0</v>
      </c>
      <c r="L459" s="41">
        <f>J459-M459</f>
        <v>0</v>
      </c>
      <c r="M459" s="57">
        <v>367610100</v>
      </c>
      <c r="N459" s="41">
        <f>J459-O459</f>
        <v>0</v>
      </c>
      <c r="O459" s="57">
        <v>367610100</v>
      </c>
      <c r="P459" s="27">
        <v>374886600</v>
      </c>
      <c r="Q459" s="27">
        <f t="shared" si="60"/>
        <v>374886600</v>
      </c>
      <c r="R459" s="27">
        <f>Q459/U459</f>
        <v>220</v>
      </c>
      <c r="S459" s="38">
        <f>Q459/U459</f>
        <v>220</v>
      </c>
      <c r="T459" s="38">
        <f>S459*AR459</f>
        <v>3300</v>
      </c>
      <c r="U459" s="38">
        <f t="shared" si="58"/>
        <v>1704030</v>
      </c>
      <c r="V459" s="38">
        <f>737895+15285</f>
        <v>753180</v>
      </c>
      <c r="W459" s="38">
        <v>950850</v>
      </c>
      <c r="X459" s="38">
        <v>0</v>
      </c>
      <c r="Y459" s="38">
        <f>745320+7860</f>
        <v>753180</v>
      </c>
      <c r="Z459" s="38">
        <f>Y459*S459</f>
        <v>165699600</v>
      </c>
      <c r="AA459" s="38">
        <f>937140+13710</f>
        <v>950850</v>
      </c>
      <c r="AB459" s="38">
        <f>AA459*S459</f>
        <v>209187000</v>
      </c>
      <c r="AC459" s="38">
        <f>U459/AR459</f>
        <v>113602</v>
      </c>
      <c r="AD459" s="38">
        <f t="shared" si="59"/>
        <v>113602</v>
      </c>
      <c r="AE459" s="33">
        <v>45413</v>
      </c>
      <c r="AF459" s="33">
        <v>45505</v>
      </c>
      <c r="AG459" s="33"/>
      <c r="AH459" s="33">
        <v>45444</v>
      </c>
      <c r="AI459" s="33">
        <v>45536</v>
      </c>
      <c r="AJ459" s="42"/>
      <c r="AK459" s="37" t="s">
        <v>2518</v>
      </c>
      <c r="AL459" s="37" t="s">
        <v>2519</v>
      </c>
      <c r="AM459" s="37" t="s">
        <v>2520</v>
      </c>
      <c r="AN459" s="37" t="s">
        <v>50</v>
      </c>
      <c r="AO459" s="43">
        <v>100</v>
      </c>
      <c r="AP459" s="35">
        <v>0</v>
      </c>
      <c r="AQ459" s="35" t="s">
        <v>441</v>
      </c>
      <c r="AR459" s="44">
        <v>15</v>
      </c>
      <c r="AS459" s="37" t="s">
        <v>52</v>
      </c>
    </row>
    <row r="460" spans="1:45" ht="42.75" customHeight="1" x14ac:dyDescent="0.25">
      <c r="A460" s="32" t="s">
        <v>2571</v>
      </c>
      <c r="B460" s="56">
        <v>45349</v>
      </c>
      <c r="C460" s="35" t="s">
        <v>548</v>
      </c>
      <c r="D460" s="35" t="s">
        <v>485</v>
      </c>
      <c r="E460" s="1" t="s">
        <v>2572</v>
      </c>
      <c r="F460" s="35" t="s">
        <v>485</v>
      </c>
      <c r="G460" s="35" t="s">
        <v>485</v>
      </c>
      <c r="H460" s="35" t="s">
        <v>485</v>
      </c>
      <c r="I460" s="58" t="s">
        <v>2527</v>
      </c>
      <c r="J460" s="57">
        <v>300961.32</v>
      </c>
      <c r="K460" s="40">
        <f>((J460-M460)/J460)*100</f>
        <v>100</v>
      </c>
      <c r="L460" s="41">
        <f>J460-M460</f>
        <v>300961.32</v>
      </c>
      <c r="M460" s="38"/>
      <c r="N460" s="41">
        <f>J460-O460</f>
        <v>300961.32</v>
      </c>
      <c r="O460" s="38">
        <v>0</v>
      </c>
      <c r="P460" s="27">
        <f t="shared" si="61"/>
        <v>0</v>
      </c>
      <c r="Q460" s="27">
        <f t="shared" si="60"/>
        <v>0</v>
      </c>
      <c r="R460" s="27" t="e">
        <f>Q460/U460</f>
        <v>#DIV/0!</v>
      </c>
      <c r="S460" s="38" t="e">
        <f>Q460/U460</f>
        <v>#DIV/0!</v>
      </c>
      <c r="T460" s="38" t="e">
        <f>S460*AR460</f>
        <v>#DIV/0!</v>
      </c>
      <c r="U460" s="38">
        <f t="shared" si="58"/>
        <v>0</v>
      </c>
      <c r="V460" s="38">
        <v>0</v>
      </c>
      <c r="W460" s="38">
        <v>0</v>
      </c>
      <c r="X460" s="38">
        <v>0</v>
      </c>
      <c r="Y460" s="38"/>
      <c r="Z460" s="38" t="e">
        <f t="shared" ref="Z460:Z523" si="62">Y460*S460</f>
        <v>#DIV/0!</v>
      </c>
      <c r="AA460" s="38"/>
      <c r="AB460" s="38" t="e">
        <f t="shared" ref="AB460:AB523" si="63">AA460*S460</f>
        <v>#DIV/0!</v>
      </c>
      <c r="AC460" s="38" t="e">
        <f>U460/AR460</f>
        <v>#DIV/0!</v>
      </c>
      <c r="AD460" s="38" t="e">
        <f t="shared" si="59"/>
        <v>#DIV/0!</v>
      </c>
      <c r="AE460" s="33">
        <v>45413</v>
      </c>
      <c r="AF460" s="33"/>
      <c r="AG460" s="33"/>
      <c r="AH460" s="33"/>
      <c r="AI460" s="33"/>
      <c r="AJ460" s="42"/>
      <c r="AK460" s="37"/>
      <c r="AL460" s="37"/>
      <c r="AM460" s="37"/>
      <c r="AN460" s="37"/>
      <c r="AO460" s="43"/>
      <c r="AP460" s="35"/>
      <c r="AQ460" s="35"/>
      <c r="AR460" s="44"/>
      <c r="AS460" s="37" t="s">
        <v>485</v>
      </c>
    </row>
    <row r="461" spans="1:45" ht="42.75" customHeight="1" x14ac:dyDescent="0.25">
      <c r="A461" s="32" t="s">
        <v>2573</v>
      </c>
      <c r="B461" s="56">
        <v>45349</v>
      </c>
      <c r="C461" s="35">
        <v>1416</v>
      </c>
      <c r="D461" s="35" t="s">
        <v>485</v>
      </c>
      <c r="E461" s="1" t="s">
        <v>2574</v>
      </c>
      <c r="F461" s="35" t="s">
        <v>485</v>
      </c>
      <c r="G461" s="35" t="s">
        <v>485</v>
      </c>
      <c r="H461" s="35" t="s">
        <v>485</v>
      </c>
      <c r="I461" s="59" t="s">
        <v>1269</v>
      </c>
      <c r="J461" s="57">
        <v>2304967.5</v>
      </c>
      <c r="K461" s="40">
        <f>((J461-M461)/J461)*100</f>
        <v>100</v>
      </c>
      <c r="L461" s="41">
        <f>J461-M461</f>
        <v>2304967.5</v>
      </c>
      <c r="M461" s="38"/>
      <c r="N461" s="41">
        <f>J461-O461</f>
        <v>2304967.5</v>
      </c>
      <c r="O461" s="38">
        <v>0</v>
      </c>
      <c r="P461" s="27">
        <f t="shared" si="61"/>
        <v>0</v>
      </c>
      <c r="Q461" s="27">
        <f t="shared" si="60"/>
        <v>0</v>
      </c>
      <c r="R461" s="27" t="e">
        <f>Q461/U461</f>
        <v>#DIV/0!</v>
      </c>
      <c r="S461" s="38" t="e">
        <f>Q461/U461</f>
        <v>#DIV/0!</v>
      </c>
      <c r="T461" s="38" t="e">
        <f>S461*AR461</f>
        <v>#DIV/0!</v>
      </c>
      <c r="U461" s="38">
        <f t="shared" si="58"/>
        <v>0</v>
      </c>
      <c r="V461" s="38">
        <v>0</v>
      </c>
      <c r="W461" s="38">
        <v>0</v>
      </c>
      <c r="X461" s="38">
        <v>0</v>
      </c>
      <c r="Y461" s="38"/>
      <c r="Z461" s="38" t="e">
        <f t="shared" si="62"/>
        <v>#DIV/0!</v>
      </c>
      <c r="AA461" s="38"/>
      <c r="AB461" s="38" t="e">
        <f t="shared" si="63"/>
        <v>#DIV/0!</v>
      </c>
      <c r="AC461" s="38" t="e">
        <f>U461/AR461</f>
        <v>#DIV/0!</v>
      </c>
      <c r="AD461" s="38" t="e">
        <f t="shared" si="59"/>
        <v>#DIV/0!</v>
      </c>
      <c r="AE461" s="33">
        <v>45413</v>
      </c>
      <c r="AF461" s="33"/>
      <c r="AG461" s="33"/>
      <c r="AH461" s="33"/>
      <c r="AI461" s="33"/>
      <c r="AJ461" s="42"/>
      <c r="AK461" s="37"/>
      <c r="AL461" s="37"/>
      <c r="AM461" s="37"/>
      <c r="AN461" s="37"/>
      <c r="AO461" s="43"/>
      <c r="AP461" s="35"/>
      <c r="AQ461" s="35"/>
      <c r="AR461" s="44"/>
      <c r="AS461" s="37" t="s">
        <v>485</v>
      </c>
    </row>
    <row r="462" spans="1:45" ht="42.75" customHeight="1" x14ac:dyDescent="0.25">
      <c r="A462" s="32" t="s">
        <v>2575</v>
      </c>
      <c r="B462" s="56">
        <v>45350</v>
      </c>
      <c r="C462" s="35">
        <v>1416</v>
      </c>
      <c r="D462" s="36"/>
      <c r="E462" s="1" t="s">
        <v>2576</v>
      </c>
      <c r="F462" s="33">
        <v>45363</v>
      </c>
      <c r="G462" s="35" t="s">
        <v>2577</v>
      </c>
      <c r="H462" s="37" t="s">
        <v>1847</v>
      </c>
      <c r="I462" s="58" t="s">
        <v>2578</v>
      </c>
      <c r="J462" s="57">
        <v>92834</v>
      </c>
      <c r="K462" s="40">
        <f>((J462-M462)/J462)*100</f>
        <v>2.0466639377814164E-2</v>
      </c>
      <c r="L462" s="41">
        <f>J462-M462</f>
        <v>19</v>
      </c>
      <c r="M462" s="38">
        <v>92815</v>
      </c>
      <c r="N462" s="41">
        <f>J462-O462</f>
        <v>19</v>
      </c>
      <c r="O462" s="38">
        <v>92815</v>
      </c>
      <c r="P462" s="27">
        <f t="shared" si="61"/>
        <v>92815</v>
      </c>
      <c r="Q462" s="27">
        <f t="shared" si="60"/>
        <v>92815</v>
      </c>
      <c r="R462" s="27">
        <f>Q462/U462</f>
        <v>97.7</v>
      </c>
      <c r="S462" s="38">
        <f>Q462/U462</f>
        <v>97.7</v>
      </c>
      <c r="T462" s="38">
        <f>S462*AR462</f>
        <v>4885</v>
      </c>
      <c r="U462" s="38">
        <f t="shared" si="58"/>
        <v>950</v>
      </c>
      <c r="V462" s="38">
        <v>950</v>
      </c>
      <c r="W462" s="38">
        <v>0</v>
      </c>
      <c r="X462" s="38">
        <v>0</v>
      </c>
      <c r="Y462" s="38">
        <v>0</v>
      </c>
      <c r="Z462" s="38">
        <f t="shared" si="62"/>
        <v>0</v>
      </c>
      <c r="AA462" s="38">
        <v>950</v>
      </c>
      <c r="AB462" s="38">
        <f t="shared" si="63"/>
        <v>92815</v>
      </c>
      <c r="AC462" s="38">
        <f>U462/AR462</f>
        <v>19</v>
      </c>
      <c r="AD462" s="38">
        <f t="shared" si="59"/>
        <v>19</v>
      </c>
      <c r="AE462" s="56">
        <v>45413</v>
      </c>
      <c r="AF462" s="33"/>
      <c r="AG462" s="33"/>
      <c r="AH462" s="33">
        <v>45444</v>
      </c>
      <c r="AI462" s="33"/>
      <c r="AJ462" s="42"/>
      <c r="AK462" s="37" t="s">
        <v>1505</v>
      </c>
      <c r="AL462" s="37" t="s">
        <v>1506</v>
      </c>
      <c r="AM462" s="37" t="s">
        <v>1507</v>
      </c>
      <c r="AN462" s="37" t="s">
        <v>50</v>
      </c>
      <c r="AO462" s="43">
        <v>100</v>
      </c>
      <c r="AP462" s="35">
        <v>0</v>
      </c>
      <c r="AQ462" s="35" t="s">
        <v>441</v>
      </c>
      <c r="AR462" s="44">
        <v>50</v>
      </c>
      <c r="AS462" s="37" t="s">
        <v>52</v>
      </c>
    </row>
    <row r="463" spans="1:45" ht="42.75" customHeight="1" x14ac:dyDescent="0.25">
      <c r="A463" s="32" t="s">
        <v>2579</v>
      </c>
      <c r="B463" s="56">
        <v>45350</v>
      </c>
      <c r="C463" s="37" t="s">
        <v>2066</v>
      </c>
      <c r="D463" s="36"/>
      <c r="E463" s="1" t="s">
        <v>2580</v>
      </c>
      <c r="F463" s="33">
        <v>45363</v>
      </c>
      <c r="G463" s="35" t="s">
        <v>2581</v>
      </c>
      <c r="H463" s="37" t="s">
        <v>2315</v>
      </c>
      <c r="I463" s="58" t="s">
        <v>1784</v>
      </c>
      <c r="J463" s="57">
        <v>136479</v>
      </c>
      <c r="K463" s="40">
        <f>((J463-M463)/J463)*100</f>
        <v>8.7925614929769413E-3</v>
      </c>
      <c r="L463" s="41">
        <f>J463-M463</f>
        <v>12</v>
      </c>
      <c r="M463" s="38">
        <v>136467</v>
      </c>
      <c r="N463" s="41">
        <f>J463-O463</f>
        <v>12</v>
      </c>
      <c r="O463" s="38">
        <v>136467</v>
      </c>
      <c r="P463" s="27">
        <v>136362.6</v>
      </c>
      <c r="Q463" s="27">
        <f t="shared" si="60"/>
        <v>136362.6</v>
      </c>
      <c r="R463" s="27">
        <f>Q463/U463</f>
        <v>23.43</v>
      </c>
      <c r="S463" s="38">
        <f>Q463/U463</f>
        <v>23.43</v>
      </c>
      <c r="T463" s="38">
        <f>S463*AR463</f>
        <v>2343</v>
      </c>
      <c r="U463" s="38">
        <f t="shared" si="58"/>
        <v>5820</v>
      </c>
      <c r="V463" s="38">
        <v>5820</v>
      </c>
      <c r="W463" s="38">
        <v>0</v>
      </c>
      <c r="X463" s="38">
        <v>0</v>
      </c>
      <c r="Y463" s="38">
        <v>0</v>
      </c>
      <c r="Z463" s="38">
        <f t="shared" si="62"/>
        <v>0</v>
      </c>
      <c r="AA463" s="38">
        <v>0</v>
      </c>
      <c r="AB463" s="38">
        <f t="shared" si="63"/>
        <v>0</v>
      </c>
      <c r="AC463" s="38">
        <f>U463/AR463</f>
        <v>58.2</v>
      </c>
      <c r="AD463" s="38">
        <f t="shared" si="59"/>
        <v>59</v>
      </c>
      <c r="AE463" s="56">
        <v>45413</v>
      </c>
      <c r="AF463" s="33"/>
      <c r="AG463" s="33"/>
      <c r="AH463" s="33">
        <v>45444</v>
      </c>
      <c r="AI463" s="33"/>
      <c r="AJ463" s="42"/>
      <c r="AK463" s="37" t="s">
        <v>2317</v>
      </c>
      <c r="AL463" s="37" t="s">
        <v>2582</v>
      </c>
      <c r="AM463" s="37" t="s">
        <v>2319</v>
      </c>
      <c r="AN463" s="37" t="s">
        <v>2320</v>
      </c>
      <c r="AO463" s="43">
        <v>0</v>
      </c>
      <c r="AP463" s="35">
        <v>100</v>
      </c>
      <c r="AQ463" s="35" t="s">
        <v>164</v>
      </c>
      <c r="AR463" s="44">
        <v>100</v>
      </c>
      <c r="AS463" s="37" t="s">
        <v>52</v>
      </c>
    </row>
    <row r="464" spans="1:45" ht="43.5" customHeight="1" x14ac:dyDescent="0.25">
      <c r="A464" s="32" t="s">
        <v>2583</v>
      </c>
      <c r="B464" s="56">
        <v>45350</v>
      </c>
      <c r="C464" s="35">
        <v>1416</v>
      </c>
      <c r="D464" s="36"/>
      <c r="E464" s="1" t="s">
        <v>2584</v>
      </c>
      <c r="F464" s="33">
        <v>45376</v>
      </c>
      <c r="G464" s="35" t="s">
        <v>2585</v>
      </c>
      <c r="H464" s="37" t="s">
        <v>169</v>
      </c>
      <c r="I464" s="58" t="s">
        <v>841</v>
      </c>
      <c r="J464" s="57">
        <v>188409760</v>
      </c>
      <c r="K464" s="40">
        <f>((J464-M464)/J464)*100</f>
        <v>0</v>
      </c>
      <c r="L464" s="41">
        <f>J464-M464</f>
        <v>0</v>
      </c>
      <c r="M464" s="57">
        <v>188409760</v>
      </c>
      <c r="N464" s="41">
        <f>J464-O464</f>
        <v>0</v>
      </c>
      <c r="O464" s="57">
        <v>188409760</v>
      </c>
      <c r="P464" s="27">
        <f t="shared" si="61"/>
        <v>188409760</v>
      </c>
      <c r="Q464" s="27">
        <f t="shared" si="60"/>
        <v>188409760</v>
      </c>
      <c r="R464" s="27">
        <f>Q464/U464</f>
        <v>12.32</v>
      </c>
      <c r="S464" s="38">
        <f>Q464/U464</f>
        <v>12.32</v>
      </c>
      <c r="T464" s="38">
        <f>S464*AR464</f>
        <v>12320</v>
      </c>
      <c r="U464" s="38">
        <f t="shared" si="58"/>
        <v>15293000</v>
      </c>
      <c r="V464" s="38">
        <f>15222000+71000</f>
        <v>15293000</v>
      </c>
      <c r="W464" s="38">
        <v>0</v>
      </c>
      <c r="X464" s="38">
        <v>0</v>
      </c>
      <c r="Y464" s="38">
        <v>15222000</v>
      </c>
      <c r="Z464" s="38">
        <f t="shared" si="62"/>
        <v>187535040</v>
      </c>
      <c r="AA464" s="38">
        <v>71000</v>
      </c>
      <c r="AB464" s="38">
        <f t="shared" si="63"/>
        <v>874720</v>
      </c>
      <c r="AC464" s="38">
        <f>U464/AR464</f>
        <v>15293</v>
      </c>
      <c r="AD464" s="38">
        <f t="shared" si="59"/>
        <v>15293</v>
      </c>
      <c r="AE464" s="56">
        <v>45488</v>
      </c>
      <c r="AF464" s="33"/>
      <c r="AG464" s="33"/>
      <c r="AH464" s="33">
        <v>45519</v>
      </c>
      <c r="AI464" s="33"/>
      <c r="AJ464" s="42"/>
      <c r="AK464" s="37" t="s">
        <v>834</v>
      </c>
      <c r="AL464" s="37" t="s">
        <v>842</v>
      </c>
      <c r="AM464" s="37" t="s">
        <v>836</v>
      </c>
      <c r="AN464" s="37" t="s">
        <v>813</v>
      </c>
      <c r="AO464" s="43">
        <v>0</v>
      </c>
      <c r="AP464" s="35">
        <v>100</v>
      </c>
      <c r="AQ464" s="35" t="s">
        <v>175</v>
      </c>
      <c r="AR464" s="44">
        <v>1000</v>
      </c>
      <c r="AS464" s="37" t="s">
        <v>52</v>
      </c>
    </row>
    <row r="465" spans="1:45" ht="42.75" customHeight="1" x14ac:dyDescent="0.25">
      <c r="A465" s="32" t="s">
        <v>2586</v>
      </c>
      <c r="B465" s="56">
        <v>45350</v>
      </c>
      <c r="C465" s="35" t="s">
        <v>2213</v>
      </c>
      <c r="D465" s="36"/>
      <c r="E465" s="1" t="s">
        <v>2587</v>
      </c>
      <c r="F465" s="33">
        <v>45363</v>
      </c>
      <c r="G465" s="35" t="s">
        <v>2588</v>
      </c>
      <c r="H465" s="37" t="s">
        <v>2589</v>
      </c>
      <c r="I465" s="58" t="s">
        <v>2590</v>
      </c>
      <c r="J465" s="57">
        <v>588058.80000000005</v>
      </c>
      <c r="K465" s="40">
        <f>((J465-M465)/J465)*100</f>
        <v>0</v>
      </c>
      <c r="L465" s="41">
        <f>J465-M465</f>
        <v>0</v>
      </c>
      <c r="M465" s="57">
        <v>588058.80000000005</v>
      </c>
      <c r="N465" s="41">
        <f>J465-O465</f>
        <v>0</v>
      </c>
      <c r="O465" s="57">
        <v>588058.80000000005</v>
      </c>
      <c r="P465" s="27">
        <f t="shared" si="61"/>
        <v>588058.80000000005</v>
      </c>
      <c r="Q465" s="27">
        <f t="shared" si="60"/>
        <v>588058.80000000005</v>
      </c>
      <c r="R465" s="27">
        <f>Q465/U465</f>
        <v>7000.7000000000007</v>
      </c>
      <c r="S465" s="38">
        <f>Q465/U465</f>
        <v>7000.7000000000007</v>
      </c>
      <c r="T465" s="38">
        <f>S465*AR465</f>
        <v>147014.70000000001</v>
      </c>
      <c r="U465" s="38">
        <f t="shared" si="58"/>
        <v>84</v>
      </c>
      <c r="V465" s="38">
        <v>84</v>
      </c>
      <c r="W465" s="38">
        <v>0</v>
      </c>
      <c r="X465" s="38">
        <v>0</v>
      </c>
      <c r="Y465" s="38">
        <v>0</v>
      </c>
      <c r="Z465" s="38">
        <f t="shared" si="62"/>
        <v>0</v>
      </c>
      <c r="AA465" s="38">
        <v>84</v>
      </c>
      <c r="AB465" s="38">
        <f t="shared" si="63"/>
        <v>588058.80000000005</v>
      </c>
      <c r="AC465" s="38">
        <f>U465/AR465</f>
        <v>4</v>
      </c>
      <c r="AD465" s="38">
        <f t="shared" si="59"/>
        <v>4</v>
      </c>
      <c r="AE465" s="56">
        <v>45413</v>
      </c>
      <c r="AF465" s="33"/>
      <c r="AG465" s="33"/>
      <c r="AH465" s="33">
        <v>45444</v>
      </c>
      <c r="AI465" s="33"/>
      <c r="AJ465" s="42"/>
      <c r="AK465" s="37" t="s">
        <v>2591</v>
      </c>
      <c r="AL465" s="37" t="s">
        <v>2592</v>
      </c>
      <c r="AM465" s="37" t="s">
        <v>2593</v>
      </c>
      <c r="AN465" s="37" t="s">
        <v>50</v>
      </c>
      <c r="AO465" s="43">
        <v>100</v>
      </c>
      <c r="AP465" s="35">
        <v>0</v>
      </c>
      <c r="AQ465" s="35" t="s">
        <v>441</v>
      </c>
      <c r="AR465" s="44">
        <v>21</v>
      </c>
      <c r="AS465" s="37" t="s">
        <v>52</v>
      </c>
    </row>
    <row r="466" spans="1:45" ht="42.75" customHeight="1" x14ac:dyDescent="0.25">
      <c r="A466" s="32" t="s">
        <v>2594</v>
      </c>
      <c r="B466" s="56">
        <v>45350</v>
      </c>
      <c r="C466" s="35" t="s">
        <v>2213</v>
      </c>
      <c r="D466" s="36"/>
      <c r="E466" s="1" t="s">
        <v>2595</v>
      </c>
      <c r="F466" s="33">
        <v>45363</v>
      </c>
      <c r="G466" s="35" t="s">
        <v>2596</v>
      </c>
      <c r="H466" s="37" t="s">
        <v>2597</v>
      </c>
      <c r="I466" s="58" t="s">
        <v>2598</v>
      </c>
      <c r="J466" s="57">
        <v>1272030</v>
      </c>
      <c r="K466" s="40">
        <f>((J466-M466)/J466)*100</f>
        <v>50.334190231362463</v>
      </c>
      <c r="L466" s="41">
        <f>J466-M466</f>
        <v>640266</v>
      </c>
      <c r="M466" s="38">
        <v>631764</v>
      </c>
      <c r="N466" s="41">
        <f>J466-O466</f>
        <v>640266</v>
      </c>
      <c r="O466" s="38">
        <v>631764</v>
      </c>
      <c r="P466" s="27">
        <f t="shared" si="61"/>
        <v>631764</v>
      </c>
      <c r="Q466" s="27">
        <f t="shared" si="60"/>
        <v>631764</v>
      </c>
      <c r="R466" s="27">
        <f>Q466/U466</f>
        <v>48.3</v>
      </c>
      <c r="S466" s="38">
        <f>Q466/U466</f>
        <v>48.3</v>
      </c>
      <c r="T466" s="38">
        <f>S466*AR466</f>
        <v>1449</v>
      </c>
      <c r="U466" s="38">
        <f t="shared" si="58"/>
        <v>13080</v>
      </c>
      <c r="V466" s="38">
        <v>13080</v>
      </c>
      <c r="W466" s="38">
        <v>0</v>
      </c>
      <c r="X466" s="38">
        <v>0</v>
      </c>
      <c r="Y466" s="38">
        <v>0</v>
      </c>
      <c r="Z466" s="38">
        <f t="shared" si="62"/>
        <v>0</v>
      </c>
      <c r="AA466" s="38">
        <v>13080</v>
      </c>
      <c r="AB466" s="38">
        <f t="shared" si="63"/>
        <v>631764</v>
      </c>
      <c r="AC466" s="38">
        <f>U466/AR466</f>
        <v>436</v>
      </c>
      <c r="AD466" s="38">
        <f t="shared" si="59"/>
        <v>436</v>
      </c>
      <c r="AE466" s="56">
        <v>45413</v>
      </c>
      <c r="AF466" s="33"/>
      <c r="AG466" s="33"/>
      <c r="AH466" s="33">
        <v>45444</v>
      </c>
      <c r="AI466" s="33"/>
      <c r="AJ466" s="42"/>
      <c r="AK466" s="37" t="s">
        <v>1426</v>
      </c>
      <c r="AL466" s="37" t="s">
        <v>2599</v>
      </c>
      <c r="AM466" s="37" t="s">
        <v>2600</v>
      </c>
      <c r="AN466" s="37" t="s">
        <v>2601</v>
      </c>
      <c r="AO466" s="43">
        <v>0</v>
      </c>
      <c r="AP466" s="35">
        <v>100</v>
      </c>
      <c r="AQ466" s="35" t="s">
        <v>441</v>
      </c>
      <c r="AR466" s="44">
        <v>30</v>
      </c>
      <c r="AS466" s="37" t="s">
        <v>52</v>
      </c>
    </row>
    <row r="467" spans="1:45" ht="42.75" customHeight="1" x14ac:dyDescent="0.25">
      <c r="A467" s="32" t="s">
        <v>2602</v>
      </c>
      <c r="B467" s="56">
        <v>45350</v>
      </c>
      <c r="C467" s="35" t="s">
        <v>2213</v>
      </c>
      <c r="D467" s="36"/>
      <c r="E467" s="1" t="s">
        <v>2603</v>
      </c>
      <c r="F467" s="33">
        <v>45363</v>
      </c>
      <c r="G467" s="35" t="s">
        <v>2604</v>
      </c>
      <c r="H467" s="37" t="s">
        <v>1847</v>
      </c>
      <c r="I467" s="58" t="s">
        <v>2605</v>
      </c>
      <c r="J467" s="57">
        <v>156739.79999999999</v>
      </c>
      <c r="K467" s="40">
        <f>((J467-M467)/J467)*100</f>
        <v>8.9766606822250988E-2</v>
      </c>
      <c r="L467" s="41">
        <f>J467-M467</f>
        <v>140.69999999998254</v>
      </c>
      <c r="M467" s="38">
        <v>156599.1</v>
      </c>
      <c r="N467" s="41">
        <f>J467-O467</f>
        <v>140.69999999998254</v>
      </c>
      <c r="O467" s="38">
        <v>156599.1</v>
      </c>
      <c r="P467" s="27">
        <f t="shared" si="61"/>
        <v>156599.1</v>
      </c>
      <c r="Q467" s="27">
        <f t="shared" si="60"/>
        <v>156599.1</v>
      </c>
      <c r="R467" s="27">
        <f>Q467/U467</f>
        <v>11.13</v>
      </c>
      <c r="S467" s="38">
        <f>Q467/U467</f>
        <v>11.13</v>
      </c>
      <c r="T467" s="38" t="e">
        <f>S467*AR467</f>
        <v>#VALUE!</v>
      </c>
      <c r="U467" s="38">
        <f t="shared" si="58"/>
        <v>14070</v>
      </c>
      <c r="V467" s="38">
        <v>14070</v>
      </c>
      <c r="W467" s="38">
        <v>0</v>
      </c>
      <c r="X467" s="38">
        <v>0</v>
      </c>
      <c r="Y467" s="38">
        <v>0</v>
      </c>
      <c r="Z467" s="38">
        <f t="shared" si="62"/>
        <v>0</v>
      </c>
      <c r="AA467" s="38">
        <v>14070</v>
      </c>
      <c r="AB467" s="38">
        <f t="shared" si="63"/>
        <v>156599.1</v>
      </c>
      <c r="AC467" s="38" t="e">
        <f>U467/AR467</f>
        <v>#VALUE!</v>
      </c>
      <c r="AD467" s="38" t="e">
        <f t="shared" si="59"/>
        <v>#VALUE!</v>
      </c>
      <c r="AE467" s="56">
        <v>45413</v>
      </c>
      <c r="AF467" s="33"/>
      <c r="AG467" s="33"/>
      <c r="AH467" s="33">
        <v>45444</v>
      </c>
      <c r="AI467" s="33"/>
      <c r="AJ467" s="42"/>
      <c r="AK467" s="37" t="s">
        <v>2606</v>
      </c>
      <c r="AL467" s="37" t="s">
        <v>2607</v>
      </c>
      <c r="AM467" s="37" t="s">
        <v>2608</v>
      </c>
      <c r="AN467" s="37" t="s">
        <v>50</v>
      </c>
      <c r="AO467" s="43">
        <v>100</v>
      </c>
      <c r="AP467" s="35">
        <v>0</v>
      </c>
      <c r="AQ467" s="35" t="s">
        <v>441</v>
      </c>
      <c r="AR467" s="48" t="s">
        <v>2609</v>
      </c>
      <c r="AS467" s="37" t="s">
        <v>52</v>
      </c>
    </row>
    <row r="468" spans="1:45" ht="42.75" customHeight="1" x14ac:dyDescent="0.25">
      <c r="A468" s="32" t="s">
        <v>2610</v>
      </c>
      <c r="B468" s="56">
        <v>45350</v>
      </c>
      <c r="C468" s="35" t="s">
        <v>2213</v>
      </c>
      <c r="D468" s="36"/>
      <c r="E468" s="1" t="s">
        <v>2611</v>
      </c>
      <c r="F468" s="33">
        <v>45363</v>
      </c>
      <c r="G468" s="35" t="s">
        <v>2612</v>
      </c>
      <c r="H468" s="37" t="s">
        <v>1847</v>
      </c>
      <c r="I468" s="58" t="s">
        <v>2613</v>
      </c>
      <c r="J468" s="57">
        <v>155554.56</v>
      </c>
      <c r="K468" s="40">
        <f>((J468-M468)/J468)*100</f>
        <v>1.8360117504750532E-2</v>
      </c>
      <c r="L468" s="41">
        <f>J468-M468</f>
        <v>28.559999999997672</v>
      </c>
      <c r="M468" s="38">
        <v>155526</v>
      </c>
      <c r="N468" s="41">
        <f>J468-O468</f>
        <v>28.559999999997672</v>
      </c>
      <c r="O468" s="38">
        <v>155526</v>
      </c>
      <c r="P468" s="27">
        <f t="shared" si="61"/>
        <v>155526</v>
      </c>
      <c r="Q468" s="27">
        <f t="shared" si="60"/>
        <v>155526</v>
      </c>
      <c r="R468" s="27">
        <f>Q468/U468</f>
        <v>925.75</v>
      </c>
      <c r="S468" s="38">
        <f>Q468/U468</f>
        <v>925.75</v>
      </c>
      <c r="T468" s="38">
        <f>S468*AR468</f>
        <v>46287.5</v>
      </c>
      <c r="U468" s="38">
        <f t="shared" si="58"/>
        <v>168</v>
      </c>
      <c r="V468" s="38">
        <v>168</v>
      </c>
      <c r="W468" s="38">
        <v>0</v>
      </c>
      <c r="X468" s="38">
        <v>0</v>
      </c>
      <c r="Y468" s="38">
        <v>0</v>
      </c>
      <c r="Z468" s="38">
        <f t="shared" si="62"/>
        <v>0</v>
      </c>
      <c r="AA468" s="38">
        <v>168</v>
      </c>
      <c r="AB468" s="38">
        <f t="shared" si="63"/>
        <v>155526</v>
      </c>
      <c r="AC468" s="38">
        <f>U468/AR468</f>
        <v>3.36</v>
      </c>
      <c r="AD468" s="38">
        <f t="shared" si="59"/>
        <v>4</v>
      </c>
      <c r="AE468" s="56">
        <v>45413</v>
      </c>
      <c r="AF468" s="33"/>
      <c r="AG468" s="33"/>
      <c r="AH468" s="33">
        <v>45444</v>
      </c>
      <c r="AI468" s="33"/>
      <c r="AJ468" s="42"/>
      <c r="AK468" s="37" t="s">
        <v>1433</v>
      </c>
      <c r="AL468" s="37" t="s">
        <v>2614</v>
      </c>
      <c r="AM468" s="37" t="s">
        <v>2615</v>
      </c>
      <c r="AN468" s="37" t="s">
        <v>50</v>
      </c>
      <c r="AO468" s="43">
        <v>100</v>
      </c>
      <c r="AP468" s="35">
        <v>0</v>
      </c>
      <c r="AQ468" s="35" t="s">
        <v>164</v>
      </c>
      <c r="AR468" s="44">
        <v>50</v>
      </c>
      <c r="AS468" s="37" t="s">
        <v>52</v>
      </c>
    </row>
    <row r="469" spans="1:45" ht="42.75" customHeight="1" x14ac:dyDescent="0.25">
      <c r="A469" s="32" t="s">
        <v>2616</v>
      </c>
      <c r="B469" s="56">
        <v>45350</v>
      </c>
      <c r="C469" s="35" t="s">
        <v>2213</v>
      </c>
      <c r="D469" s="36"/>
      <c r="E469" s="1" t="s">
        <v>2617</v>
      </c>
      <c r="F469" s="33">
        <v>45363</v>
      </c>
      <c r="G469" s="35" t="s">
        <v>2618</v>
      </c>
      <c r="H469" s="37" t="s">
        <v>1847</v>
      </c>
      <c r="I469" s="58" t="s">
        <v>2619</v>
      </c>
      <c r="J469" s="57">
        <v>52561.5</v>
      </c>
      <c r="K469" s="40">
        <f>((J469-M469)/J469)*100</f>
        <v>6.3734862970044617E-2</v>
      </c>
      <c r="L469" s="41">
        <f>J469-M469</f>
        <v>33.5</v>
      </c>
      <c r="M469" s="38">
        <v>52528</v>
      </c>
      <c r="N469" s="41">
        <f>J469-O469</f>
        <v>33.5</v>
      </c>
      <c r="O469" s="38">
        <v>52528</v>
      </c>
      <c r="P469" s="27">
        <f t="shared" si="61"/>
        <v>52528</v>
      </c>
      <c r="Q469" s="27">
        <f t="shared" si="60"/>
        <v>52528</v>
      </c>
      <c r="R469" s="27">
        <f>Q469/U469</f>
        <v>15.68</v>
      </c>
      <c r="S469" s="38">
        <f>Q469/U469</f>
        <v>15.68</v>
      </c>
      <c r="T469" s="38">
        <f>S469*AR469</f>
        <v>784</v>
      </c>
      <c r="U469" s="38">
        <f t="shared" si="58"/>
        <v>3350</v>
      </c>
      <c r="V469" s="38">
        <v>3350</v>
      </c>
      <c r="W469" s="38">
        <v>0</v>
      </c>
      <c r="X469" s="38">
        <v>0</v>
      </c>
      <c r="Y469" s="38">
        <v>0</v>
      </c>
      <c r="Z469" s="38">
        <f t="shared" si="62"/>
        <v>0</v>
      </c>
      <c r="AA469" s="38">
        <v>3350</v>
      </c>
      <c r="AB469" s="38">
        <f t="shared" si="63"/>
        <v>52528</v>
      </c>
      <c r="AC469" s="38">
        <f>U469/AR469</f>
        <v>67</v>
      </c>
      <c r="AD469" s="38">
        <f t="shared" si="59"/>
        <v>67</v>
      </c>
      <c r="AE469" s="56">
        <v>45413</v>
      </c>
      <c r="AF469" s="33"/>
      <c r="AG469" s="33"/>
      <c r="AH469" s="33">
        <v>45444</v>
      </c>
      <c r="AI469" s="33"/>
      <c r="AJ469" s="42"/>
      <c r="AK469" s="37" t="s">
        <v>1505</v>
      </c>
      <c r="AL469" s="37" t="s">
        <v>2620</v>
      </c>
      <c r="AM469" s="37" t="s">
        <v>1507</v>
      </c>
      <c r="AN469" s="37" t="s">
        <v>50</v>
      </c>
      <c r="AO469" s="43">
        <v>100</v>
      </c>
      <c r="AP469" s="35">
        <v>0</v>
      </c>
      <c r="AQ469" s="35" t="s">
        <v>441</v>
      </c>
      <c r="AR469" s="44">
        <v>50</v>
      </c>
      <c r="AS469" s="37" t="s">
        <v>52</v>
      </c>
    </row>
    <row r="470" spans="1:45" ht="42.75" customHeight="1" x14ac:dyDescent="0.25">
      <c r="A470" s="32" t="s">
        <v>2621</v>
      </c>
      <c r="B470" s="56">
        <v>45350</v>
      </c>
      <c r="C470" s="35">
        <v>1416</v>
      </c>
      <c r="D470" s="35" t="s">
        <v>485</v>
      </c>
      <c r="E470" s="1" t="s">
        <v>2622</v>
      </c>
      <c r="F470" s="35" t="s">
        <v>485</v>
      </c>
      <c r="G470" s="35" t="s">
        <v>485</v>
      </c>
      <c r="H470" s="35" t="s">
        <v>485</v>
      </c>
      <c r="I470" s="58" t="s">
        <v>2623</v>
      </c>
      <c r="J470" s="57">
        <v>449689624.02999997</v>
      </c>
      <c r="K470" s="40">
        <f>((J470-M470)/J470)*100</f>
        <v>100</v>
      </c>
      <c r="L470" s="41">
        <f>J470-M470</f>
        <v>449689624.02999997</v>
      </c>
      <c r="M470" s="38"/>
      <c r="N470" s="41">
        <f>J470-O470</f>
        <v>449689624.02999997</v>
      </c>
      <c r="O470" s="38">
        <v>0</v>
      </c>
      <c r="P470" s="27">
        <f t="shared" si="61"/>
        <v>0</v>
      </c>
      <c r="Q470" s="27">
        <f t="shared" si="60"/>
        <v>0</v>
      </c>
      <c r="R470" s="27" t="e">
        <f>Q470/U470</f>
        <v>#DIV/0!</v>
      </c>
      <c r="S470" s="38" t="e">
        <f>Q470/U470</f>
        <v>#DIV/0!</v>
      </c>
      <c r="T470" s="38" t="e">
        <f>S470*AR470</f>
        <v>#DIV/0!</v>
      </c>
      <c r="U470" s="38">
        <f t="shared" si="58"/>
        <v>0</v>
      </c>
      <c r="V470" s="38">
        <v>0</v>
      </c>
      <c r="W470" s="38">
        <v>0</v>
      </c>
      <c r="X470" s="38">
        <v>0</v>
      </c>
      <c r="Y470" s="38"/>
      <c r="Z470" s="38" t="e">
        <f t="shared" si="62"/>
        <v>#DIV/0!</v>
      </c>
      <c r="AA470" s="38"/>
      <c r="AB470" s="38" t="e">
        <f t="shared" si="63"/>
        <v>#DIV/0!</v>
      </c>
      <c r="AC470" s="38" t="e">
        <f>U470/AR470</f>
        <v>#DIV/0!</v>
      </c>
      <c r="AD470" s="38" t="e">
        <f t="shared" si="59"/>
        <v>#DIV/0!</v>
      </c>
      <c r="AE470" s="56">
        <v>45413</v>
      </c>
      <c r="AF470" s="33"/>
      <c r="AG470" s="33"/>
      <c r="AH470" s="33"/>
      <c r="AI470" s="33"/>
      <c r="AJ470" s="42"/>
      <c r="AK470" s="37"/>
      <c r="AL470" s="37"/>
      <c r="AM470" s="37"/>
      <c r="AN470" s="37"/>
      <c r="AO470" s="43"/>
      <c r="AP470" s="35"/>
      <c r="AQ470" s="35"/>
      <c r="AR470" s="44"/>
      <c r="AS470" s="37" t="s">
        <v>485</v>
      </c>
    </row>
    <row r="471" spans="1:45" ht="42.75" customHeight="1" x14ac:dyDescent="0.25">
      <c r="A471" s="32" t="s">
        <v>2624</v>
      </c>
      <c r="B471" s="56">
        <v>45350</v>
      </c>
      <c r="C471" s="35">
        <v>1416</v>
      </c>
      <c r="D471" s="36"/>
      <c r="E471" s="1" t="s">
        <v>2625</v>
      </c>
      <c r="F471" s="33">
        <v>45370</v>
      </c>
      <c r="G471" s="35" t="s">
        <v>2626</v>
      </c>
      <c r="H471" s="37" t="s">
        <v>291</v>
      </c>
      <c r="I471" s="58" t="s">
        <v>2619</v>
      </c>
      <c r="J471" s="57">
        <v>7595529</v>
      </c>
      <c r="K471" s="40">
        <f>((J471-M471)/J471)*100</f>
        <v>0</v>
      </c>
      <c r="L471" s="41">
        <f>J471-M471</f>
        <v>0</v>
      </c>
      <c r="M471" s="38">
        <v>7595529</v>
      </c>
      <c r="N471" s="41">
        <f>J471-O471</f>
        <v>0</v>
      </c>
      <c r="O471" s="38">
        <v>7595529</v>
      </c>
      <c r="P471" s="27">
        <f t="shared" si="61"/>
        <v>7595529</v>
      </c>
      <c r="Q471" s="27">
        <f t="shared" si="60"/>
        <v>7595529</v>
      </c>
      <c r="R471" s="27">
        <f>Q471/U471</f>
        <v>15.69</v>
      </c>
      <c r="S471" s="38">
        <f>Q471/U471</f>
        <v>15.69</v>
      </c>
      <c r="T471" s="38">
        <f>S471*AR471</f>
        <v>784.5</v>
      </c>
      <c r="U471" s="38">
        <f t="shared" si="58"/>
        <v>484100</v>
      </c>
      <c r="V471" s="38">
        <v>484100</v>
      </c>
      <c r="W471" s="38">
        <v>0</v>
      </c>
      <c r="X471" s="38">
        <v>0</v>
      </c>
      <c r="Y471" s="38">
        <v>0</v>
      </c>
      <c r="Z471" s="38">
        <f t="shared" si="62"/>
        <v>0</v>
      </c>
      <c r="AA471" s="38">
        <v>484100</v>
      </c>
      <c r="AB471" s="38">
        <f t="shared" si="63"/>
        <v>7595529</v>
      </c>
      <c r="AC471" s="38">
        <f>U471/AR471</f>
        <v>9682</v>
      </c>
      <c r="AD471" s="38">
        <f t="shared" si="59"/>
        <v>9682</v>
      </c>
      <c r="AE471" s="56">
        <v>45413</v>
      </c>
      <c r="AF471" s="33"/>
      <c r="AG471" s="33"/>
      <c r="AH471" s="33">
        <v>45444</v>
      </c>
      <c r="AI471" s="33"/>
      <c r="AJ471" s="42"/>
      <c r="AK471" s="37" t="s">
        <v>1505</v>
      </c>
      <c r="AL471" s="37" t="s">
        <v>2620</v>
      </c>
      <c r="AM471" s="37" t="s">
        <v>1507</v>
      </c>
      <c r="AN471" s="37" t="s">
        <v>50</v>
      </c>
      <c r="AO471" s="43">
        <v>100</v>
      </c>
      <c r="AP471" s="35">
        <v>0</v>
      </c>
      <c r="AQ471" s="35" t="s">
        <v>441</v>
      </c>
      <c r="AR471" s="44">
        <v>50</v>
      </c>
      <c r="AS471" s="37" t="s">
        <v>52</v>
      </c>
    </row>
    <row r="472" spans="1:45" ht="42.75" customHeight="1" x14ac:dyDescent="0.25">
      <c r="A472" s="32" t="s">
        <v>2627</v>
      </c>
      <c r="B472" s="56">
        <v>45350</v>
      </c>
      <c r="C472" s="35">
        <v>1416</v>
      </c>
      <c r="D472" s="36"/>
      <c r="E472" s="1" t="s">
        <v>2628</v>
      </c>
      <c r="F472" s="33">
        <v>45376</v>
      </c>
      <c r="G472" s="35" t="s">
        <v>2629</v>
      </c>
      <c r="H472" s="37" t="s">
        <v>411</v>
      </c>
      <c r="I472" s="58" t="s">
        <v>2630</v>
      </c>
      <c r="J472" s="57">
        <v>12242301.279999999</v>
      </c>
      <c r="K472" s="40">
        <f>((J472-M472)/J472)*100</f>
        <v>0</v>
      </c>
      <c r="L472" s="41">
        <f>J472-M472</f>
        <v>0</v>
      </c>
      <c r="M472" s="57">
        <v>12242301.279999999</v>
      </c>
      <c r="N472" s="41">
        <f>J472-O472</f>
        <v>0</v>
      </c>
      <c r="O472" s="57">
        <v>12242301.279999999</v>
      </c>
      <c r="P472" s="27">
        <f t="shared" si="61"/>
        <v>12242301.279999999</v>
      </c>
      <c r="Q472" s="27">
        <f t="shared" si="60"/>
        <v>12242301.279999999</v>
      </c>
      <c r="R472" s="27">
        <f>Q472/U472</f>
        <v>263842.7</v>
      </c>
      <c r="S472" s="38">
        <f>Q472/U472</f>
        <v>263842.7</v>
      </c>
      <c r="T472" s="38">
        <f>S472*AR472</f>
        <v>105537.08000000002</v>
      </c>
      <c r="U472" s="38">
        <f t="shared" si="58"/>
        <v>46.4</v>
      </c>
      <c r="V472" s="38">
        <v>13.6</v>
      </c>
      <c r="W472" s="38">
        <v>32.799999999999997</v>
      </c>
      <c r="X472" s="38">
        <v>0</v>
      </c>
      <c r="Y472" s="38">
        <v>0</v>
      </c>
      <c r="Z472" s="38">
        <f t="shared" si="62"/>
        <v>0</v>
      </c>
      <c r="AA472" s="38">
        <f>13.6+32.8</f>
        <v>46.4</v>
      </c>
      <c r="AB472" s="38">
        <f t="shared" si="63"/>
        <v>12242301.279999999</v>
      </c>
      <c r="AC472" s="38">
        <f>U472/AR472</f>
        <v>115.99999999999999</v>
      </c>
      <c r="AD472" s="38">
        <f t="shared" si="59"/>
        <v>116</v>
      </c>
      <c r="AE472" s="56">
        <v>45427</v>
      </c>
      <c r="AF472" s="33">
        <v>45536</v>
      </c>
      <c r="AG472" s="33"/>
      <c r="AH472" s="33">
        <v>45458</v>
      </c>
      <c r="AI472" s="33">
        <v>45566</v>
      </c>
      <c r="AJ472" s="42"/>
      <c r="AK472" s="37" t="s">
        <v>786</v>
      </c>
      <c r="AL472" s="37" t="s">
        <v>1106</v>
      </c>
      <c r="AM472" s="37" t="s">
        <v>788</v>
      </c>
      <c r="AN472" s="37" t="s">
        <v>326</v>
      </c>
      <c r="AO472" s="43">
        <v>0</v>
      </c>
      <c r="AP472" s="35">
        <v>100</v>
      </c>
      <c r="AQ472" s="35" t="s">
        <v>164</v>
      </c>
      <c r="AR472" s="49">
        <v>0.4</v>
      </c>
      <c r="AS472" s="37" t="s">
        <v>52</v>
      </c>
    </row>
    <row r="473" spans="1:45" ht="42.75" customHeight="1" x14ac:dyDescent="0.25">
      <c r="A473" s="32" t="s">
        <v>2631</v>
      </c>
      <c r="B473" s="56">
        <v>45350</v>
      </c>
      <c r="C473" s="35">
        <v>1416</v>
      </c>
      <c r="D473" s="35" t="s">
        <v>485</v>
      </c>
      <c r="E473" s="1" t="s">
        <v>2632</v>
      </c>
      <c r="F473" s="35" t="s">
        <v>485</v>
      </c>
      <c r="G473" s="35" t="s">
        <v>485</v>
      </c>
      <c r="H473" s="35" t="s">
        <v>485</v>
      </c>
      <c r="I473" s="58" t="s">
        <v>306</v>
      </c>
      <c r="J473" s="57">
        <v>974646.96</v>
      </c>
      <c r="K473" s="40">
        <f>((J473-M473)/J473)*100</f>
        <v>100</v>
      </c>
      <c r="L473" s="41">
        <f>J473-M473</f>
        <v>974646.96</v>
      </c>
      <c r="M473" s="38"/>
      <c r="N473" s="41">
        <f>J473-O473</f>
        <v>974646.96</v>
      </c>
      <c r="O473" s="38">
        <v>0</v>
      </c>
      <c r="P473" s="27">
        <f t="shared" si="61"/>
        <v>0</v>
      </c>
      <c r="Q473" s="27">
        <f t="shared" si="60"/>
        <v>0</v>
      </c>
      <c r="R473" s="27" t="e">
        <f>Q473/U473</f>
        <v>#DIV/0!</v>
      </c>
      <c r="S473" s="38" t="e">
        <f>Q473/U473</f>
        <v>#DIV/0!</v>
      </c>
      <c r="T473" s="38" t="e">
        <f>S473*AR473</f>
        <v>#DIV/0!</v>
      </c>
      <c r="U473" s="38">
        <f t="shared" si="58"/>
        <v>0</v>
      </c>
      <c r="V473" s="38">
        <v>0</v>
      </c>
      <c r="W473" s="38">
        <v>0</v>
      </c>
      <c r="X473" s="38">
        <v>0</v>
      </c>
      <c r="Y473" s="38"/>
      <c r="Z473" s="38" t="e">
        <f t="shared" si="62"/>
        <v>#DIV/0!</v>
      </c>
      <c r="AA473" s="38"/>
      <c r="AB473" s="38" t="e">
        <f t="shared" si="63"/>
        <v>#DIV/0!</v>
      </c>
      <c r="AC473" s="38" t="e">
        <f>U473/AR473</f>
        <v>#DIV/0!</v>
      </c>
      <c r="AD473" s="38" t="e">
        <f t="shared" si="59"/>
        <v>#DIV/0!</v>
      </c>
      <c r="AE473" s="56">
        <v>45413</v>
      </c>
      <c r="AF473" s="33"/>
      <c r="AG473" s="33"/>
      <c r="AH473" s="33"/>
      <c r="AI473" s="33"/>
      <c r="AJ473" s="42"/>
      <c r="AK473" s="37"/>
      <c r="AL473" s="37"/>
      <c r="AM473" s="37"/>
      <c r="AN473" s="37"/>
      <c r="AO473" s="43"/>
      <c r="AP473" s="35"/>
      <c r="AQ473" s="35"/>
      <c r="AR473" s="44"/>
      <c r="AS473" s="37" t="s">
        <v>485</v>
      </c>
    </row>
    <row r="474" spans="1:45" ht="42.75" customHeight="1" x14ac:dyDescent="0.25">
      <c r="A474" s="32" t="s">
        <v>2633</v>
      </c>
      <c r="B474" s="56">
        <v>45350</v>
      </c>
      <c r="C474" s="35">
        <v>1512</v>
      </c>
      <c r="D474" s="35" t="s">
        <v>485</v>
      </c>
      <c r="E474" s="1" t="s">
        <v>2634</v>
      </c>
      <c r="F474" s="35" t="s">
        <v>485</v>
      </c>
      <c r="G474" s="35" t="s">
        <v>485</v>
      </c>
      <c r="H474" s="35" t="s">
        <v>485</v>
      </c>
      <c r="I474" s="58" t="s">
        <v>2635</v>
      </c>
      <c r="J474" s="57">
        <v>5142859.2</v>
      </c>
      <c r="K474" s="40">
        <f>((J474-M474)/J474)*100</f>
        <v>100</v>
      </c>
      <c r="L474" s="41">
        <f>J474-M474</f>
        <v>5142859.2</v>
      </c>
      <c r="M474" s="38"/>
      <c r="N474" s="41">
        <f>J474-O474</f>
        <v>5142859.2</v>
      </c>
      <c r="O474" s="38">
        <v>0</v>
      </c>
      <c r="P474" s="27">
        <f t="shared" si="61"/>
        <v>0</v>
      </c>
      <c r="Q474" s="27">
        <f t="shared" si="60"/>
        <v>0</v>
      </c>
      <c r="R474" s="27" t="e">
        <f>Q474/U474</f>
        <v>#DIV/0!</v>
      </c>
      <c r="S474" s="38" t="e">
        <f>Q474/U474</f>
        <v>#DIV/0!</v>
      </c>
      <c r="T474" s="38" t="e">
        <f>S474*AR474</f>
        <v>#DIV/0!</v>
      </c>
      <c r="U474" s="38">
        <f t="shared" ref="U474:U537" si="64">V474+W474+X474</f>
        <v>0</v>
      </c>
      <c r="V474" s="38">
        <v>0</v>
      </c>
      <c r="W474" s="38">
        <v>0</v>
      </c>
      <c r="X474" s="38">
        <v>0</v>
      </c>
      <c r="Y474" s="38"/>
      <c r="Z474" s="38" t="e">
        <f t="shared" si="62"/>
        <v>#DIV/0!</v>
      </c>
      <c r="AA474" s="38"/>
      <c r="AB474" s="38" t="e">
        <f t="shared" si="63"/>
        <v>#DIV/0!</v>
      </c>
      <c r="AC474" s="38" t="e">
        <f>U474/AR474</f>
        <v>#DIV/0!</v>
      </c>
      <c r="AD474" s="38" t="e">
        <f t="shared" si="59"/>
        <v>#DIV/0!</v>
      </c>
      <c r="AE474" s="56">
        <v>45413</v>
      </c>
      <c r="AF474" s="33"/>
      <c r="AG474" s="33"/>
      <c r="AH474" s="33"/>
      <c r="AI474" s="33"/>
      <c r="AJ474" s="42"/>
      <c r="AK474" s="37"/>
      <c r="AL474" s="37"/>
      <c r="AM474" s="37"/>
      <c r="AN474" s="37"/>
      <c r="AO474" s="43"/>
      <c r="AP474" s="35"/>
      <c r="AQ474" s="35"/>
      <c r="AR474" s="44"/>
      <c r="AS474" s="37" t="s">
        <v>485</v>
      </c>
    </row>
    <row r="475" spans="1:45" ht="42.75" customHeight="1" x14ac:dyDescent="0.25">
      <c r="A475" s="32" t="s">
        <v>2636</v>
      </c>
      <c r="B475" s="56">
        <v>45350</v>
      </c>
      <c r="C475" s="35">
        <v>1416</v>
      </c>
      <c r="D475" s="35" t="s">
        <v>485</v>
      </c>
      <c r="E475" s="1" t="s">
        <v>2637</v>
      </c>
      <c r="F475" s="35" t="s">
        <v>485</v>
      </c>
      <c r="G475" s="35" t="s">
        <v>485</v>
      </c>
      <c r="H475" s="35" t="s">
        <v>485</v>
      </c>
      <c r="I475" s="58" t="s">
        <v>1205</v>
      </c>
      <c r="J475" s="57">
        <v>89366255</v>
      </c>
      <c r="K475" s="40">
        <f>((J475-M475)/J475)*100</f>
        <v>100</v>
      </c>
      <c r="L475" s="41">
        <f>J475-M475</f>
        <v>89366255</v>
      </c>
      <c r="M475" s="38"/>
      <c r="N475" s="41">
        <f>J475-O475</f>
        <v>89366255</v>
      </c>
      <c r="O475" s="38">
        <v>0</v>
      </c>
      <c r="P475" s="27">
        <f t="shared" si="61"/>
        <v>0</v>
      </c>
      <c r="Q475" s="27">
        <f t="shared" si="60"/>
        <v>0</v>
      </c>
      <c r="R475" s="27" t="e">
        <f>Q475/U475</f>
        <v>#DIV/0!</v>
      </c>
      <c r="S475" s="38" t="e">
        <f>Q475/U475</f>
        <v>#DIV/0!</v>
      </c>
      <c r="T475" s="38" t="e">
        <f>S475*AR475</f>
        <v>#DIV/0!</v>
      </c>
      <c r="U475" s="38">
        <f t="shared" si="64"/>
        <v>0</v>
      </c>
      <c r="V475" s="38">
        <v>0</v>
      </c>
      <c r="W475" s="38">
        <v>0</v>
      </c>
      <c r="X475" s="38">
        <v>0</v>
      </c>
      <c r="Y475" s="38"/>
      <c r="Z475" s="38" t="e">
        <f t="shared" si="62"/>
        <v>#DIV/0!</v>
      </c>
      <c r="AA475" s="38"/>
      <c r="AB475" s="38" t="e">
        <f t="shared" si="63"/>
        <v>#DIV/0!</v>
      </c>
      <c r="AC475" s="38" t="e">
        <f>U475/AR475</f>
        <v>#DIV/0!</v>
      </c>
      <c r="AD475" s="38" t="e">
        <f t="shared" si="59"/>
        <v>#DIV/0!</v>
      </c>
      <c r="AE475" s="56">
        <v>45413</v>
      </c>
      <c r="AF475" s="33"/>
      <c r="AG475" s="33"/>
      <c r="AH475" s="33"/>
      <c r="AI475" s="33"/>
      <c r="AJ475" s="42"/>
      <c r="AK475" s="37"/>
      <c r="AL475" s="37"/>
      <c r="AM475" s="37"/>
      <c r="AN475" s="37"/>
      <c r="AO475" s="43"/>
      <c r="AP475" s="35"/>
      <c r="AQ475" s="35"/>
      <c r="AR475" s="44"/>
      <c r="AS475" s="37" t="s">
        <v>485</v>
      </c>
    </row>
    <row r="476" spans="1:45" ht="42.75" customHeight="1" x14ac:dyDescent="0.25">
      <c r="A476" s="32" t="s">
        <v>2638</v>
      </c>
      <c r="B476" s="56">
        <v>45350</v>
      </c>
      <c r="C476" s="35">
        <v>545</v>
      </c>
      <c r="D476" s="36"/>
      <c r="E476" s="1" t="s">
        <v>2639</v>
      </c>
      <c r="F476" s="33">
        <v>45371</v>
      </c>
      <c r="G476" s="35" t="s">
        <v>2640</v>
      </c>
      <c r="H476" s="37" t="s">
        <v>219</v>
      </c>
      <c r="I476" s="58" t="s">
        <v>403</v>
      </c>
      <c r="J476" s="57">
        <v>234422920.80000001</v>
      </c>
      <c r="K476" s="40">
        <f>((J476-M476)/J476)*100</f>
        <v>0</v>
      </c>
      <c r="L476" s="41">
        <f>J476-M476</f>
        <v>0</v>
      </c>
      <c r="M476" s="38">
        <v>234422920.80000001</v>
      </c>
      <c r="N476" s="41">
        <f>J476-O476</f>
        <v>0</v>
      </c>
      <c r="O476" s="38">
        <v>234422920.80000001</v>
      </c>
      <c r="P476" s="27">
        <v>303881564</v>
      </c>
      <c r="Q476" s="27">
        <f t="shared" si="60"/>
        <v>303881564</v>
      </c>
      <c r="R476" s="27">
        <f>Q476/U476</f>
        <v>868233.04</v>
      </c>
      <c r="S476" s="38">
        <f>Q476/U476</f>
        <v>868233.04</v>
      </c>
      <c r="T476" s="38">
        <f>S476*AR476</f>
        <v>4341165.2</v>
      </c>
      <c r="U476" s="38">
        <f t="shared" si="64"/>
        <v>350</v>
      </c>
      <c r="V476" s="38">
        <v>350</v>
      </c>
      <c r="W476" s="38">
        <v>0</v>
      </c>
      <c r="X476" s="38">
        <v>0</v>
      </c>
      <c r="Y476" s="38">
        <v>0</v>
      </c>
      <c r="Z476" s="38">
        <f t="shared" si="62"/>
        <v>0</v>
      </c>
      <c r="AA476" s="38">
        <v>0</v>
      </c>
      <c r="AB476" s="38">
        <f t="shared" si="63"/>
        <v>0</v>
      </c>
      <c r="AC476" s="38">
        <f>U476/AR476</f>
        <v>70</v>
      </c>
      <c r="AD476" s="38">
        <f t="shared" si="59"/>
        <v>70</v>
      </c>
      <c r="AE476" s="56">
        <v>45397</v>
      </c>
      <c r="AF476" s="33"/>
      <c r="AG476" s="33"/>
      <c r="AH476" s="33">
        <v>45427</v>
      </c>
      <c r="AI476" s="33"/>
      <c r="AJ476" s="42"/>
      <c r="AK476" s="37" t="s">
        <v>1553</v>
      </c>
      <c r="AL476" s="37" t="s">
        <v>1554</v>
      </c>
      <c r="AM476" s="37" t="s">
        <v>1555</v>
      </c>
      <c r="AN476" s="37" t="s">
        <v>224</v>
      </c>
      <c r="AO476" s="43">
        <v>0</v>
      </c>
      <c r="AP476" s="35">
        <v>100</v>
      </c>
      <c r="AQ476" s="35" t="s">
        <v>164</v>
      </c>
      <c r="AR476" s="44">
        <v>5</v>
      </c>
      <c r="AS476" s="37" t="s">
        <v>52</v>
      </c>
    </row>
    <row r="477" spans="1:45" ht="42.75" customHeight="1" x14ac:dyDescent="0.25">
      <c r="A477" s="32" t="s">
        <v>2641</v>
      </c>
      <c r="B477" s="56">
        <v>45350</v>
      </c>
      <c r="C477" s="35" t="s">
        <v>2642</v>
      </c>
      <c r="D477" s="35" t="s">
        <v>485</v>
      </c>
      <c r="E477" s="1" t="s">
        <v>2643</v>
      </c>
      <c r="F477" s="35" t="s">
        <v>485</v>
      </c>
      <c r="G477" s="35" t="s">
        <v>485</v>
      </c>
      <c r="H477" s="35" t="s">
        <v>485</v>
      </c>
      <c r="I477" s="58" t="s">
        <v>2644</v>
      </c>
      <c r="J477" s="57">
        <v>200970</v>
      </c>
      <c r="K477" s="40">
        <f>((J477-M477)/J477)*100</f>
        <v>100</v>
      </c>
      <c r="L477" s="41">
        <f>J477-M477</f>
        <v>200970</v>
      </c>
      <c r="M477" s="38"/>
      <c r="N477" s="41">
        <f>J477-O477</f>
        <v>200970</v>
      </c>
      <c r="O477" s="38">
        <v>0</v>
      </c>
      <c r="P477" s="27">
        <f t="shared" ref="P477:Q514" si="65">O477</f>
        <v>0</v>
      </c>
      <c r="Q477" s="27">
        <f t="shared" si="60"/>
        <v>0</v>
      </c>
      <c r="R477" s="27" t="e">
        <f>Q477/U477</f>
        <v>#DIV/0!</v>
      </c>
      <c r="S477" s="38" t="e">
        <f>Q477/U477</f>
        <v>#DIV/0!</v>
      </c>
      <c r="T477" s="38" t="e">
        <f>S477*AR477</f>
        <v>#DIV/0!</v>
      </c>
      <c r="U477" s="38">
        <f t="shared" si="64"/>
        <v>0</v>
      </c>
      <c r="V477" s="38">
        <v>0</v>
      </c>
      <c r="W477" s="38">
        <v>0</v>
      </c>
      <c r="X477" s="38">
        <v>0</v>
      </c>
      <c r="Y477" s="38"/>
      <c r="Z477" s="38" t="e">
        <f t="shared" si="62"/>
        <v>#DIV/0!</v>
      </c>
      <c r="AA477" s="38"/>
      <c r="AB477" s="38" t="e">
        <f t="shared" si="63"/>
        <v>#DIV/0!</v>
      </c>
      <c r="AC477" s="38" t="e">
        <f>U477/AR477</f>
        <v>#DIV/0!</v>
      </c>
      <c r="AD477" s="38" t="e">
        <f t="shared" si="59"/>
        <v>#DIV/0!</v>
      </c>
      <c r="AE477" s="56">
        <v>45413</v>
      </c>
      <c r="AF477" s="33"/>
      <c r="AG477" s="33"/>
      <c r="AH477" s="33"/>
      <c r="AI477" s="33"/>
      <c r="AJ477" s="42"/>
      <c r="AK477" s="37"/>
      <c r="AL477" s="37"/>
      <c r="AM477" s="37"/>
      <c r="AN477" s="37"/>
      <c r="AO477" s="43"/>
      <c r="AP477" s="35"/>
      <c r="AQ477" s="35"/>
      <c r="AR477" s="44"/>
      <c r="AS477" s="37" t="s">
        <v>485</v>
      </c>
    </row>
    <row r="478" spans="1:45" ht="42.75" customHeight="1" x14ac:dyDescent="0.25">
      <c r="A478" s="32" t="s">
        <v>2645</v>
      </c>
      <c r="B478" s="56">
        <v>45350</v>
      </c>
      <c r="C478" s="35" t="s">
        <v>2213</v>
      </c>
      <c r="D478" s="36"/>
      <c r="E478" s="1" t="s">
        <v>2646</v>
      </c>
      <c r="F478" s="33">
        <v>45363</v>
      </c>
      <c r="G478" s="35" t="s">
        <v>2647</v>
      </c>
      <c r="H478" s="37" t="s">
        <v>1847</v>
      </c>
      <c r="I478" s="58" t="s">
        <v>2648</v>
      </c>
      <c r="J478" s="57">
        <v>54850.2</v>
      </c>
      <c r="K478" s="40">
        <f>((J478-M478)/J478)*100</f>
        <v>3.3181282839437394E-2</v>
      </c>
      <c r="L478" s="41">
        <f>J478-M478</f>
        <v>18.19999999999709</v>
      </c>
      <c r="M478" s="38">
        <v>54832</v>
      </c>
      <c r="N478" s="41">
        <f>J478-O478</f>
        <v>18.19999999999709</v>
      </c>
      <c r="O478" s="38">
        <v>54832</v>
      </c>
      <c r="P478" s="27">
        <v>54827.6</v>
      </c>
      <c r="Q478" s="27">
        <f t="shared" si="60"/>
        <v>54827.6</v>
      </c>
      <c r="R478" s="27">
        <f>Q478/U478</f>
        <v>24.259999999999998</v>
      </c>
      <c r="S478" s="38">
        <f>Q478/U478</f>
        <v>24.259999999999998</v>
      </c>
      <c r="T478" s="38">
        <f>S478*AR478</f>
        <v>2426</v>
      </c>
      <c r="U478" s="38">
        <f t="shared" si="64"/>
        <v>2260</v>
      </c>
      <c r="V478" s="38">
        <v>2260</v>
      </c>
      <c r="W478" s="38">
        <v>0</v>
      </c>
      <c r="X478" s="38">
        <v>0</v>
      </c>
      <c r="Y478" s="38">
        <v>0</v>
      </c>
      <c r="Z478" s="38">
        <f t="shared" si="62"/>
        <v>0</v>
      </c>
      <c r="AA478" s="38">
        <v>2260</v>
      </c>
      <c r="AB478" s="38">
        <f t="shared" si="63"/>
        <v>54827.6</v>
      </c>
      <c r="AC478" s="38">
        <f>U478/AR478</f>
        <v>22.6</v>
      </c>
      <c r="AD478" s="38">
        <f t="shared" si="59"/>
        <v>23</v>
      </c>
      <c r="AE478" s="56">
        <v>45413</v>
      </c>
      <c r="AF478" s="33"/>
      <c r="AG478" s="33"/>
      <c r="AH478" s="33">
        <v>45444</v>
      </c>
      <c r="AI478" s="33"/>
      <c r="AJ478" s="42"/>
      <c r="AK478" s="37" t="s">
        <v>2649</v>
      </c>
      <c r="AL478" s="37" t="s">
        <v>2650</v>
      </c>
      <c r="AM478" s="37" t="s">
        <v>2651</v>
      </c>
      <c r="AN478" s="37" t="s">
        <v>50</v>
      </c>
      <c r="AO478" s="43">
        <v>100</v>
      </c>
      <c r="AP478" s="35">
        <v>0</v>
      </c>
      <c r="AQ478" s="35" t="s">
        <v>441</v>
      </c>
      <c r="AR478" s="44">
        <v>100</v>
      </c>
      <c r="AS478" s="37" t="s">
        <v>52</v>
      </c>
    </row>
    <row r="479" spans="1:45" ht="42.75" customHeight="1" x14ac:dyDescent="0.25">
      <c r="A479" s="32" t="s">
        <v>2652</v>
      </c>
      <c r="B479" s="56">
        <v>45350</v>
      </c>
      <c r="C479" s="35" t="s">
        <v>2213</v>
      </c>
      <c r="D479" s="35" t="s">
        <v>485</v>
      </c>
      <c r="E479" s="1" t="s">
        <v>2653</v>
      </c>
      <c r="F479" s="35" t="s">
        <v>485</v>
      </c>
      <c r="G479" s="35" t="s">
        <v>485</v>
      </c>
      <c r="H479" s="35" t="s">
        <v>485</v>
      </c>
      <c r="I479" s="58" t="s">
        <v>306</v>
      </c>
      <c r="J479" s="57">
        <v>1387.68</v>
      </c>
      <c r="K479" s="40">
        <f>((J479-M479)/J479)*100</f>
        <v>100</v>
      </c>
      <c r="L479" s="41">
        <f>J479-M479</f>
        <v>1387.68</v>
      </c>
      <c r="M479" s="38"/>
      <c r="N479" s="41">
        <f>J479-O479</f>
        <v>1387.68</v>
      </c>
      <c r="O479" s="38">
        <v>0</v>
      </c>
      <c r="P479" s="27">
        <f t="shared" si="65"/>
        <v>0</v>
      </c>
      <c r="Q479" s="27">
        <f t="shared" si="60"/>
        <v>0</v>
      </c>
      <c r="R479" s="27" t="e">
        <f>Q479/U479</f>
        <v>#DIV/0!</v>
      </c>
      <c r="S479" s="38" t="e">
        <f>Q479/U479</f>
        <v>#DIV/0!</v>
      </c>
      <c r="T479" s="38" t="e">
        <f>S479*AR479</f>
        <v>#DIV/0!</v>
      </c>
      <c r="U479" s="38">
        <f t="shared" si="64"/>
        <v>0</v>
      </c>
      <c r="V479" s="38">
        <v>0</v>
      </c>
      <c r="W479" s="38">
        <v>0</v>
      </c>
      <c r="X479" s="38">
        <v>0</v>
      </c>
      <c r="Y479" s="38"/>
      <c r="Z479" s="38" t="e">
        <f t="shared" si="62"/>
        <v>#DIV/0!</v>
      </c>
      <c r="AA479" s="38"/>
      <c r="AB479" s="38" t="e">
        <f t="shared" si="63"/>
        <v>#DIV/0!</v>
      </c>
      <c r="AC479" s="38" t="e">
        <f>U479/AR479</f>
        <v>#DIV/0!</v>
      </c>
      <c r="AD479" s="38" t="e">
        <f t="shared" si="59"/>
        <v>#DIV/0!</v>
      </c>
      <c r="AE479" s="56">
        <v>45413</v>
      </c>
      <c r="AF479" s="33"/>
      <c r="AG479" s="33"/>
      <c r="AH479" s="33"/>
      <c r="AI479" s="33"/>
      <c r="AJ479" s="42"/>
      <c r="AK479" s="37"/>
      <c r="AL479" s="37"/>
      <c r="AM479" s="37"/>
      <c r="AN479" s="37"/>
      <c r="AO479" s="43"/>
      <c r="AP479" s="35"/>
      <c r="AQ479" s="35"/>
      <c r="AR479" s="44"/>
      <c r="AS479" s="37" t="s">
        <v>485</v>
      </c>
    </row>
    <row r="480" spans="1:45" ht="42.75" customHeight="1" x14ac:dyDescent="0.25">
      <c r="A480" s="32" t="s">
        <v>2654</v>
      </c>
      <c r="B480" s="56">
        <v>45350</v>
      </c>
      <c r="C480" s="35">
        <v>1512</v>
      </c>
      <c r="D480" s="35" t="s">
        <v>485</v>
      </c>
      <c r="E480" s="1" t="s">
        <v>2655</v>
      </c>
      <c r="F480" s="35" t="s">
        <v>485</v>
      </c>
      <c r="G480" s="35" t="s">
        <v>485</v>
      </c>
      <c r="H480" s="35" t="s">
        <v>485</v>
      </c>
      <c r="I480" s="58" t="s">
        <v>2656</v>
      </c>
      <c r="J480" s="57">
        <v>1044138.14</v>
      </c>
      <c r="K480" s="40">
        <f>((J480-M480)/J480)*100</f>
        <v>100</v>
      </c>
      <c r="L480" s="41">
        <f>J480-M480</f>
        <v>1044138.14</v>
      </c>
      <c r="M480" s="38"/>
      <c r="N480" s="41">
        <f>J480-O480</f>
        <v>1044138.14</v>
      </c>
      <c r="O480" s="38">
        <v>0</v>
      </c>
      <c r="P480" s="27">
        <f t="shared" si="65"/>
        <v>0</v>
      </c>
      <c r="Q480" s="27">
        <f t="shared" si="60"/>
        <v>0</v>
      </c>
      <c r="R480" s="27" t="e">
        <f>Q480/U480</f>
        <v>#DIV/0!</v>
      </c>
      <c r="S480" s="38" t="e">
        <f>Q480/U480</f>
        <v>#DIV/0!</v>
      </c>
      <c r="T480" s="38" t="e">
        <f>S480*AR480</f>
        <v>#DIV/0!</v>
      </c>
      <c r="U480" s="38">
        <f t="shared" si="64"/>
        <v>0</v>
      </c>
      <c r="V480" s="38">
        <v>0</v>
      </c>
      <c r="W480" s="38">
        <v>0</v>
      </c>
      <c r="X480" s="38">
        <v>0</v>
      </c>
      <c r="Y480" s="38"/>
      <c r="Z480" s="38" t="e">
        <f t="shared" si="62"/>
        <v>#DIV/0!</v>
      </c>
      <c r="AA480" s="38"/>
      <c r="AB480" s="38" t="e">
        <f t="shared" si="63"/>
        <v>#DIV/0!</v>
      </c>
      <c r="AC480" s="38" t="e">
        <f>U480/AR480</f>
        <v>#DIV/0!</v>
      </c>
      <c r="AD480" s="38" t="e">
        <f t="shared" si="59"/>
        <v>#DIV/0!</v>
      </c>
      <c r="AE480" s="56">
        <v>45413</v>
      </c>
      <c r="AF480" s="33"/>
      <c r="AG480" s="33"/>
      <c r="AH480" s="33"/>
      <c r="AI480" s="33"/>
      <c r="AJ480" s="42"/>
      <c r="AK480" s="37"/>
      <c r="AL480" s="37"/>
      <c r="AM480" s="37"/>
      <c r="AN480" s="37"/>
      <c r="AO480" s="43"/>
      <c r="AP480" s="35"/>
      <c r="AQ480" s="35"/>
      <c r="AR480" s="44"/>
      <c r="AS480" s="37" t="s">
        <v>485</v>
      </c>
    </row>
    <row r="481" spans="1:45" ht="42.75" customHeight="1" x14ac:dyDescent="0.25">
      <c r="A481" s="32" t="s">
        <v>2657</v>
      </c>
      <c r="B481" s="56">
        <v>45350</v>
      </c>
      <c r="C481" s="35">
        <v>1512</v>
      </c>
      <c r="D481" s="35" t="s">
        <v>485</v>
      </c>
      <c r="E481" s="1" t="s">
        <v>2658</v>
      </c>
      <c r="F481" s="35" t="s">
        <v>485</v>
      </c>
      <c r="G481" s="35" t="s">
        <v>485</v>
      </c>
      <c r="H481" s="35" t="s">
        <v>485</v>
      </c>
      <c r="I481" s="58" t="s">
        <v>2644</v>
      </c>
      <c r="J481" s="57">
        <v>12580200</v>
      </c>
      <c r="K481" s="40">
        <f>((J481-M481)/J481)*100</f>
        <v>100</v>
      </c>
      <c r="L481" s="41">
        <f>J481-M481</f>
        <v>12580200</v>
      </c>
      <c r="M481" s="38"/>
      <c r="N481" s="41">
        <f>J481-O481</f>
        <v>12580200</v>
      </c>
      <c r="O481" s="38">
        <v>0</v>
      </c>
      <c r="P481" s="27">
        <f t="shared" si="65"/>
        <v>0</v>
      </c>
      <c r="Q481" s="27">
        <f t="shared" si="60"/>
        <v>0</v>
      </c>
      <c r="R481" s="27" t="e">
        <f>Q481/U481</f>
        <v>#DIV/0!</v>
      </c>
      <c r="S481" s="38" t="e">
        <f>Q481/U481</f>
        <v>#DIV/0!</v>
      </c>
      <c r="T481" s="38" t="e">
        <f>S481*AR481</f>
        <v>#DIV/0!</v>
      </c>
      <c r="U481" s="38">
        <f t="shared" si="64"/>
        <v>0</v>
      </c>
      <c r="V481" s="38">
        <v>0</v>
      </c>
      <c r="W481" s="38">
        <v>0</v>
      </c>
      <c r="X481" s="38">
        <v>0</v>
      </c>
      <c r="Y481" s="38"/>
      <c r="Z481" s="38" t="e">
        <f t="shared" si="62"/>
        <v>#DIV/0!</v>
      </c>
      <c r="AA481" s="38"/>
      <c r="AB481" s="38" t="e">
        <f t="shared" si="63"/>
        <v>#DIV/0!</v>
      </c>
      <c r="AC481" s="38" t="e">
        <f>U481/AR481</f>
        <v>#DIV/0!</v>
      </c>
      <c r="AD481" s="38" t="e">
        <f t="shared" ref="AD481:AD544" si="66">_xlfn.CEILING.MATH(AC481)</f>
        <v>#DIV/0!</v>
      </c>
      <c r="AE481" s="56">
        <v>45413</v>
      </c>
      <c r="AF481" s="33"/>
      <c r="AG481" s="33"/>
      <c r="AH481" s="33"/>
      <c r="AI481" s="33"/>
      <c r="AJ481" s="42"/>
      <c r="AK481" s="37"/>
      <c r="AL481" s="37"/>
      <c r="AM481" s="37"/>
      <c r="AN481" s="37"/>
      <c r="AO481" s="43"/>
      <c r="AP481" s="35"/>
      <c r="AQ481" s="35"/>
      <c r="AR481" s="44"/>
      <c r="AS481" s="37" t="s">
        <v>485</v>
      </c>
    </row>
    <row r="482" spans="1:45" ht="42.75" customHeight="1" x14ac:dyDescent="0.25">
      <c r="A482" s="32" t="s">
        <v>2659</v>
      </c>
      <c r="B482" s="56">
        <v>45350</v>
      </c>
      <c r="C482" s="35" t="s">
        <v>2213</v>
      </c>
      <c r="D482" s="35" t="s">
        <v>485</v>
      </c>
      <c r="E482" s="1" t="s">
        <v>2660</v>
      </c>
      <c r="F482" s="35" t="s">
        <v>485</v>
      </c>
      <c r="G482" s="35" t="s">
        <v>485</v>
      </c>
      <c r="H482" s="35" t="s">
        <v>485</v>
      </c>
      <c r="I482" s="58" t="s">
        <v>793</v>
      </c>
      <c r="J482" s="57">
        <v>480955.06</v>
      </c>
      <c r="K482" s="40">
        <f>((J482-M482)/J482)*100</f>
        <v>100</v>
      </c>
      <c r="L482" s="41">
        <f>J482-M482</f>
        <v>480955.06</v>
      </c>
      <c r="M482" s="38"/>
      <c r="N482" s="41">
        <f>J482-O482</f>
        <v>480955.06</v>
      </c>
      <c r="O482" s="38">
        <v>0</v>
      </c>
      <c r="P482" s="27">
        <f t="shared" si="65"/>
        <v>0</v>
      </c>
      <c r="Q482" s="27">
        <f t="shared" si="60"/>
        <v>0</v>
      </c>
      <c r="R482" s="27" t="e">
        <f>Q482/U482</f>
        <v>#DIV/0!</v>
      </c>
      <c r="S482" s="38" t="e">
        <f>Q482/U482</f>
        <v>#DIV/0!</v>
      </c>
      <c r="T482" s="38" t="e">
        <f>S482*AR482</f>
        <v>#DIV/0!</v>
      </c>
      <c r="U482" s="38">
        <f t="shared" si="64"/>
        <v>0</v>
      </c>
      <c r="V482" s="38">
        <v>0</v>
      </c>
      <c r="W482" s="38">
        <v>0</v>
      </c>
      <c r="X482" s="38">
        <v>0</v>
      </c>
      <c r="Y482" s="38"/>
      <c r="Z482" s="38" t="e">
        <f t="shared" si="62"/>
        <v>#DIV/0!</v>
      </c>
      <c r="AA482" s="38"/>
      <c r="AB482" s="38" t="e">
        <f t="shared" si="63"/>
        <v>#DIV/0!</v>
      </c>
      <c r="AC482" s="38" t="e">
        <f>U482/AR482</f>
        <v>#DIV/0!</v>
      </c>
      <c r="AD482" s="38" t="e">
        <f t="shared" si="66"/>
        <v>#DIV/0!</v>
      </c>
      <c r="AE482" s="56">
        <v>45473</v>
      </c>
      <c r="AF482" s="33"/>
      <c r="AG482" s="33"/>
      <c r="AH482" s="33"/>
      <c r="AI482" s="33"/>
      <c r="AJ482" s="42"/>
      <c r="AK482" s="37"/>
      <c r="AL482" s="37"/>
      <c r="AM482" s="37"/>
      <c r="AN482" s="37"/>
      <c r="AO482" s="43"/>
      <c r="AP482" s="35"/>
      <c r="AQ482" s="35"/>
      <c r="AR482" s="44"/>
      <c r="AS482" s="37" t="s">
        <v>485</v>
      </c>
    </row>
    <row r="483" spans="1:45" ht="42.75" customHeight="1" x14ac:dyDescent="0.25">
      <c r="A483" s="32" t="s">
        <v>2661</v>
      </c>
      <c r="B483" s="56">
        <v>45350</v>
      </c>
      <c r="C483" s="35">
        <v>1416</v>
      </c>
      <c r="D483" s="35" t="s">
        <v>485</v>
      </c>
      <c r="E483" s="1" t="s">
        <v>2662</v>
      </c>
      <c r="F483" s="35" t="s">
        <v>485</v>
      </c>
      <c r="G483" s="35" t="s">
        <v>485</v>
      </c>
      <c r="H483" s="35" t="s">
        <v>485</v>
      </c>
      <c r="I483" s="58" t="s">
        <v>793</v>
      </c>
      <c r="J483" s="57">
        <v>56993174.140000001</v>
      </c>
      <c r="K483" s="40">
        <f>((J483-M483)/J483)*100</f>
        <v>100</v>
      </c>
      <c r="L483" s="41">
        <f>J483-M483</f>
        <v>56993174.140000001</v>
      </c>
      <c r="M483" s="38"/>
      <c r="N483" s="41">
        <f>J483-O483</f>
        <v>56993174.140000001</v>
      </c>
      <c r="O483" s="38">
        <v>0</v>
      </c>
      <c r="P483" s="27">
        <f t="shared" si="65"/>
        <v>0</v>
      </c>
      <c r="Q483" s="27">
        <f t="shared" si="60"/>
        <v>0</v>
      </c>
      <c r="R483" s="27" t="e">
        <f>Q483/U483</f>
        <v>#DIV/0!</v>
      </c>
      <c r="S483" s="38" t="e">
        <f>Q483/U483</f>
        <v>#DIV/0!</v>
      </c>
      <c r="T483" s="38" t="e">
        <f>S483*AR483</f>
        <v>#DIV/0!</v>
      </c>
      <c r="U483" s="38">
        <f t="shared" si="64"/>
        <v>0</v>
      </c>
      <c r="V483" s="38">
        <v>0</v>
      </c>
      <c r="W483" s="38">
        <v>0</v>
      </c>
      <c r="X483" s="38">
        <v>0</v>
      </c>
      <c r="Y483" s="38"/>
      <c r="Z483" s="38" t="e">
        <f t="shared" si="62"/>
        <v>#DIV/0!</v>
      </c>
      <c r="AA483" s="38"/>
      <c r="AB483" s="38" t="e">
        <f t="shared" si="63"/>
        <v>#DIV/0!</v>
      </c>
      <c r="AC483" s="38" t="e">
        <f>U483/AR483</f>
        <v>#DIV/0!</v>
      </c>
      <c r="AD483" s="38" t="e">
        <f t="shared" si="66"/>
        <v>#DIV/0!</v>
      </c>
      <c r="AE483" s="56">
        <v>45473</v>
      </c>
      <c r="AF483" s="33"/>
      <c r="AG483" s="33"/>
      <c r="AH483" s="33"/>
      <c r="AI483" s="33"/>
      <c r="AJ483" s="42"/>
      <c r="AK483" s="37"/>
      <c r="AL483" s="37"/>
      <c r="AM483" s="37"/>
      <c r="AN483" s="37"/>
      <c r="AO483" s="43"/>
      <c r="AP483" s="35"/>
      <c r="AQ483" s="35"/>
      <c r="AR483" s="44"/>
      <c r="AS483" s="37" t="s">
        <v>485</v>
      </c>
    </row>
    <row r="484" spans="1:45" ht="43.5" customHeight="1" x14ac:dyDescent="0.25">
      <c r="A484" s="32" t="s">
        <v>2663</v>
      </c>
      <c r="B484" s="56">
        <v>45350</v>
      </c>
      <c r="C484" s="35">
        <v>545</v>
      </c>
      <c r="D484" s="36"/>
      <c r="E484" s="1" t="s">
        <v>2664</v>
      </c>
      <c r="F484" s="33">
        <v>45364</v>
      </c>
      <c r="G484" s="35" t="s">
        <v>2665</v>
      </c>
      <c r="H484" s="37" t="s">
        <v>331</v>
      </c>
      <c r="I484" s="58" t="s">
        <v>2341</v>
      </c>
      <c r="J484" s="57">
        <v>1454472</v>
      </c>
      <c r="K484" s="40">
        <f>((J484-M484)/J484)*100</f>
        <v>0</v>
      </c>
      <c r="L484" s="41">
        <f>J484-M484</f>
        <v>0</v>
      </c>
      <c r="M484" s="57">
        <v>1454472</v>
      </c>
      <c r="N484" s="41">
        <f>J484-O484</f>
        <v>3.6000000000931323</v>
      </c>
      <c r="O484" s="38">
        <v>1454468.4</v>
      </c>
      <c r="P484" s="27">
        <f t="shared" si="65"/>
        <v>1454468.4</v>
      </c>
      <c r="Q484" s="27">
        <f t="shared" si="60"/>
        <v>1454468.4</v>
      </c>
      <c r="R484" s="27">
        <f>Q484/U484</f>
        <v>4040.1899999999996</v>
      </c>
      <c r="S484" s="38">
        <f>Q484/U484</f>
        <v>4040.1899999999996</v>
      </c>
      <c r="T484" s="38">
        <f>S484*AR484</f>
        <v>242411.39999999997</v>
      </c>
      <c r="U484" s="38">
        <f t="shared" si="64"/>
        <v>360</v>
      </c>
      <c r="V484" s="38">
        <v>360</v>
      </c>
      <c r="W484" s="38">
        <v>0</v>
      </c>
      <c r="X484" s="38">
        <v>0</v>
      </c>
      <c r="Y484" s="38">
        <v>0</v>
      </c>
      <c r="Z484" s="38">
        <f t="shared" si="62"/>
        <v>0</v>
      </c>
      <c r="AA484" s="38">
        <v>360</v>
      </c>
      <c r="AB484" s="38">
        <f t="shared" si="63"/>
        <v>1454468.4</v>
      </c>
      <c r="AC484" s="38">
        <f>U484/AR484</f>
        <v>6</v>
      </c>
      <c r="AD484" s="38">
        <f t="shared" si="66"/>
        <v>6</v>
      </c>
      <c r="AE484" s="33">
        <v>45366</v>
      </c>
      <c r="AF484" s="33"/>
      <c r="AG484" s="33"/>
      <c r="AH484" s="33">
        <v>45397</v>
      </c>
      <c r="AI484" s="33"/>
      <c r="AJ484" s="42"/>
      <c r="AK484" s="37" t="s">
        <v>639</v>
      </c>
      <c r="AL484" s="37" t="s">
        <v>2666</v>
      </c>
      <c r="AM484" s="37" t="s">
        <v>641</v>
      </c>
      <c r="AN484" s="37" t="s">
        <v>174</v>
      </c>
      <c r="AO484" s="43">
        <v>0</v>
      </c>
      <c r="AP484" s="35">
        <v>100</v>
      </c>
      <c r="AQ484" s="35" t="s">
        <v>441</v>
      </c>
      <c r="AR484" s="44">
        <v>60</v>
      </c>
      <c r="AS484" s="37" t="s">
        <v>176</v>
      </c>
    </row>
    <row r="485" spans="1:45" ht="43.5" customHeight="1" x14ac:dyDescent="0.25">
      <c r="A485" s="32" t="s">
        <v>2667</v>
      </c>
      <c r="B485" s="56">
        <v>45351</v>
      </c>
      <c r="C485" s="37" t="s">
        <v>2066</v>
      </c>
      <c r="D485" s="35" t="s">
        <v>485</v>
      </c>
      <c r="E485" s="1" t="s">
        <v>2668</v>
      </c>
      <c r="F485" s="35" t="s">
        <v>485</v>
      </c>
      <c r="G485" s="35" t="s">
        <v>485</v>
      </c>
      <c r="H485" s="35" t="s">
        <v>485</v>
      </c>
      <c r="I485" s="58" t="s">
        <v>508</v>
      </c>
      <c r="J485" s="57">
        <v>21279</v>
      </c>
      <c r="K485" s="40">
        <f>((J485-M485)/J485)*100</f>
        <v>100</v>
      </c>
      <c r="L485" s="41">
        <f>J485-M485</f>
        <v>21279</v>
      </c>
      <c r="M485" s="38"/>
      <c r="N485" s="41">
        <f>J485-O485</f>
        <v>21279</v>
      </c>
      <c r="O485" s="38">
        <v>0</v>
      </c>
      <c r="P485" s="27">
        <f t="shared" si="65"/>
        <v>0</v>
      </c>
      <c r="Q485" s="27">
        <f t="shared" si="60"/>
        <v>0</v>
      </c>
      <c r="R485" s="27" t="e">
        <f>Q485/U485</f>
        <v>#DIV/0!</v>
      </c>
      <c r="S485" s="38" t="e">
        <f>Q485/U485</f>
        <v>#DIV/0!</v>
      </c>
      <c r="T485" s="38" t="e">
        <f>S485*AR485</f>
        <v>#DIV/0!</v>
      </c>
      <c r="U485" s="38">
        <f t="shared" si="64"/>
        <v>0</v>
      </c>
      <c r="V485" s="38">
        <v>0</v>
      </c>
      <c r="W485" s="38">
        <v>0</v>
      </c>
      <c r="X485" s="38">
        <v>0</v>
      </c>
      <c r="Y485" s="38"/>
      <c r="Z485" s="38" t="e">
        <f t="shared" si="62"/>
        <v>#DIV/0!</v>
      </c>
      <c r="AA485" s="38"/>
      <c r="AB485" s="38" t="e">
        <f t="shared" si="63"/>
        <v>#DIV/0!</v>
      </c>
      <c r="AC485" s="38" t="e">
        <f>U485/AR485</f>
        <v>#DIV/0!</v>
      </c>
      <c r="AD485" s="38" t="e">
        <f t="shared" si="66"/>
        <v>#DIV/0!</v>
      </c>
      <c r="AE485" s="33">
        <v>45413</v>
      </c>
      <c r="AF485" s="33"/>
      <c r="AG485" s="33"/>
      <c r="AH485" s="33"/>
      <c r="AI485" s="33"/>
      <c r="AJ485" s="42"/>
      <c r="AK485" s="37"/>
      <c r="AL485" s="37"/>
      <c r="AM485" s="37"/>
      <c r="AN485" s="37"/>
      <c r="AO485" s="43"/>
      <c r="AP485" s="35"/>
      <c r="AQ485" s="35"/>
      <c r="AR485" s="44"/>
      <c r="AS485" s="37" t="s">
        <v>485</v>
      </c>
    </row>
    <row r="486" spans="1:45" ht="43.5" customHeight="1" x14ac:dyDescent="0.25">
      <c r="A486" s="32" t="s">
        <v>2669</v>
      </c>
      <c r="B486" s="56">
        <v>45351</v>
      </c>
      <c r="C486" s="37" t="s">
        <v>2066</v>
      </c>
      <c r="D486" s="35" t="s">
        <v>485</v>
      </c>
      <c r="E486" s="1" t="s">
        <v>2670</v>
      </c>
      <c r="F486" s="35" t="s">
        <v>485</v>
      </c>
      <c r="G486" s="35" t="s">
        <v>485</v>
      </c>
      <c r="H486" s="35" t="s">
        <v>485</v>
      </c>
      <c r="I486" s="58" t="s">
        <v>2671</v>
      </c>
      <c r="J486" s="57">
        <v>20420.400000000001</v>
      </c>
      <c r="K486" s="40">
        <f>((J486-M486)/J486)*100</f>
        <v>100</v>
      </c>
      <c r="L486" s="41">
        <f>J486-M486</f>
        <v>20420.400000000001</v>
      </c>
      <c r="M486" s="38"/>
      <c r="N486" s="41">
        <f>J486-O486</f>
        <v>20420.400000000001</v>
      </c>
      <c r="O486" s="38">
        <v>0</v>
      </c>
      <c r="P486" s="27">
        <f t="shared" si="65"/>
        <v>0</v>
      </c>
      <c r="Q486" s="27">
        <f t="shared" si="60"/>
        <v>0</v>
      </c>
      <c r="R486" s="27" t="e">
        <f>Q486/U486</f>
        <v>#DIV/0!</v>
      </c>
      <c r="S486" s="38" t="e">
        <f>Q486/U486</f>
        <v>#DIV/0!</v>
      </c>
      <c r="T486" s="38" t="e">
        <f>S486*AR486</f>
        <v>#DIV/0!</v>
      </c>
      <c r="U486" s="38">
        <f t="shared" si="64"/>
        <v>0</v>
      </c>
      <c r="V486" s="38">
        <v>0</v>
      </c>
      <c r="W486" s="38">
        <v>0</v>
      </c>
      <c r="X486" s="38">
        <v>0</v>
      </c>
      <c r="Y486" s="38"/>
      <c r="Z486" s="38" t="e">
        <f t="shared" si="62"/>
        <v>#DIV/0!</v>
      </c>
      <c r="AA486" s="38"/>
      <c r="AB486" s="38" t="e">
        <f t="shared" si="63"/>
        <v>#DIV/0!</v>
      </c>
      <c r="AC486" s="38" t="e">
        <f>U486/AR486</f>
        <v>#DIV/0!</v>
      </c>
      <c r="AD486" s="38" t="e">
        <f t="shared" si="66"/>
        <v>#DIV/0!</v>
      </c>
      <c r="AE486" s="33">
        <v>45413</v>
      </c>
      <c r="AF486" s="33"/>
      <c r="AG486" s="33"/>
      <c r="AH486" s="33"/>
      <c r="AI486" s="33"/>
      <c r="AJ486" s="42"/>
      <c r="AK486" s="37"/>
      <c r="AL486" s="37"/>
      <c r="AM486" s="37"/>
      <c r="AN486" s="37"/>
      <c r="AO486" s="43"/>
      <c r="AP486" s="35"/>
      <c r="AQ486" s="35"/>
      <c r="AR486" s="44"/>
      <c r="AS486" s="37" t="s">
        <v>485</v>
      </c>
    </row>
    <row r="487" spans="1:45" ht="43.5" customHeight="1" x14ac:dyDescent="0.25">
      <c r="A487" s="32" t="s">
        <v>2672</v>
      </c>
      <c r="B487" s="56">
        <v>45351</v>
      </c>
      <c r="C487" s="37" t="s">
        <v>2066</v>
      </c>
      <c r="D487" s="35" t="s">
        <v>485</v>
      </c>
      <c r="E487" s="1" t="s">
        <v>2673</v>
      </c>
      <c r="F487" s="35" t="s">
        <v>485</v>
      </c>
      <c r="G487" s="35" t="s">
        <v>485</v>
      </c>
      <c r="H487" s="35" t="s">
        <v>485</v>
      </c>
      <c r="I487" s="58" t="s">
        <v>2068</v>
      </c>
      <c r="J487" s="57">
        <v>22915.200000000001</v>
      </c>
      <c r="K487" s="40">
        <f>((J487-M487)/J487)*100</f>
        <v>100</v>
      </c>
      <c r="L487" s="41">
        <f>J487-M487</f>
        <v>22915.200000000001</v>
      </c>
      <c r="M487" s="38"/>
      <c r="N487" s="41">
        <f>J487-O487</f>
        <v>22915.200000000001</v>
      </c>
      <c r="O487" s="38">
        <v>0</v>
      </c>
      <c r="P487" s="27">
        <f t="shared" si="65"/>
        <v>0</v>
      </c>
      <c r="Q487" s="27">
        <f t="shared" si="60"/>
        <v>0</v>
      </c>
      <c r="R487" s="27" t="e">
        <f>Q487/U487</f>
        <v>#DIV/0!</v>
      </c>
      <c r="S487" s="38" t="e">
        <f>Q487/U487</f>
        <v>#DIV/0!</v>
      </c>
      <c r="T487" s="38" t="e">
        <f>S487*AR487</f>
        <v>#DIV/0!</v>
      </c>
      <c r="U487" s="38">
        <f t="shared" si="64"/>
        <v>0</v>
      </c>
      <c r="V487" s="38">
        <v>0</v>
      </c>
      <c r="W487" s="38">
        <v>0</v>
      </c>
      <c r="X487" s="38">
        <v>0</v>
      </c>
      <c r="Y487" s="38"/>
      <c r="Z487" s="38" t="e">
        <f t="shared" si="62"/>
        <v>#DIV/0!</v>
      </c>
      <c r="AA487" s="38"/>
      <c r="AB487" s="38" t="e">
        <f t="shared" si="63"/>
        <v>#DIV/0!</v>
      </c>
      <c r="AC487" s="38" t="e">
        <f>U487/AR487</f>
        <v>#DIV/0!</v>
      </c>
      <c r="AD487" s="38" t="e">
        <f t="shared" si="66"/>
        <v>#DIV/0!</v>
      </c>
      <c r="AE487" s="33">
        <v>45413</v>
      </c>
      <c r="AF487" s="33"/>
      <c r="AG487" s="33"/>
      <c r="AH487" s="33"/>
      <c r="AI487" s="33"/>
      <c r="AJ487" s="42"/>
      <c r="AK487" s="37"/>
      <c r="AL487" s="37"/>
      <c r="AM487" s="37"/>
      <c r="AN487" s="37"/>
      <c r="AO487" s="43"/>
      <c r="AP487" s="35"/>
      <c r="AQ487" s="35"/>
      <c r="AR487" s="44"/>
      <c r="AS487" s="37" t="s">
        <v>485</v>
      </c>
    </row>
    <row r="488" spans="1:45" ht="45.75" customHeight="1" x14ac:dyDescent="0.25">
      <c r="A488" s="32" t="s">
        <v>2674</v>
      </c>
      <c r="B488" s="56">
        <v>45352</v>
      </c>
      <c r="C488" s="35">
        <v>545</v>
      </c>
      <c r="D488" s="36"/>
      <c r="E488" s="1" t="s">
        <v>2675</v>
      </c>
      <c r="F488" s="33">
        <v>45376</v>
      </c>
      <c r="G488" s="35" t="s">
        <v>2676</v>
      </c>
      <c r="H488" s="37" t="s">
        <v>556</v>
      </c>
      <c r="I488" s="64" t="s">
        <v>2677</v>
      </c>
      <c r="J488" s="57">
        <v>183077904.24000001</v>
      </c>
      <c r="K488" s="40">
        <f>((J488-M488)/J488)*100</f>
        <v>0</v>
      </c>
      <c r="L488" s="41">
        <f>J488-M488</f>
        <v>0</v>
      </c>
      <c r="M488" s="57">
        <v>183077904.24000001</v>
      </c>
      <c r="N488" s="41">
        <f>J488-O488</f>
        <v>0</v>
      </c>
      <c r="O488" s="57">
        <v>183077904.24000001</v>
      </c>
      <c r="P488" s="27">
        <v>207842065.19999999</v>
      </c>
      <c r="Q488" s="27">
        <f t="shared" si="60"/>
        <v>207842065.19999999</v>
      </c>
      <c r="R488" s="27">
        <f>Q488/U488</f>
        <v>47.699999999999996</v>
      </c>
      <c r="S488" s="38">
        <f>Q488/U488</f>
        <v>47.699999999999996</v>
      </c>
      <c r="T488" s="38">
        <f>S488*AR488</f>
        <v>884434.31999999983</v>
      </c>
      <c r="U488" s="38">
        <f t="shared" si="64"/>
        <v>4357276</v>
      </c>
      <c r="V488" s="38">
        <v>2781240</v>
      </c>
      <c r="W488" s="38">
        <f>1056871.2+519164.8</f>
        <v>1576036</v>
      </c>
      <c r="X488" s="38">
        <v>0</v>
      </c>
      <c r="Y488" s="38">
        <v>0</v>
      </c>
      <c r="Z488" s="38">
        <f t="shared" si="62"/>
        <v>0</v>
      </c>
      <c r="AA488" s="38">
        <v>0</v>
      </c>
      <c r="AB488" s="38">
        <f t="shared" si="63"/>
        <v>0</v>
      </c>
      <c r="AC488" s="38">
        <f>U488/AR488</f>
        <v>235.00000000000003</v>
      </c>
      <c r="AD488" s="38">
        <f t="shared" si="66"/>
        <v>235</v>
      </c>
      <c r="AE488" s="33">
        <v>45412</v>
      </c>
      <c r="AF488" s="33">
        <v>45504</v>
      </c>
      <c r="AG488" s="33"/>
      <c r="AH488" s="33">
        <v>45444</v>
      </c>
      <c r="AI488" s="33">
        <v>45536</v>
      </c>
      <c r="AJ488" s="42"/>
      <c r="AK488" s="37" t="s">
        <v>2334</v>
      </c>
      <c r="AL488" s="37" t="s">
        <v>2678</v>
      </c>
      <c r="AM488" s="37" t="s">
        <v>2336</v>
      </c>
      <c r="AN488" s="37" t="s">
        <v>2320</v>
      </c>
      <c r="AO488" s="43">
        <v>0</v>
      </c>
      <c r="AP488" s="35">
        <v>100</v>
      </c>
      <c r="AQ488" s="35" t="s">
        <v>379</v>
      </c>
      <c r="AR488" s="49">
        <v>18541.599999999999</v>
      </c>
      <c r="AS488" s="37" t="s">
        <v>52</v>
      </c>
    </row>
    <row r="489" spans="1:45" ht="43.5" customHeight="1" x14ac:dyDescent="0.25">
      <c r="A489" s="32" t="s">
        <v>2679</v>
      </c>
      <c r="B489" s="56">
        <v>45352</v>
      </c>
      <c r="C489" s="35">
        <v>1416</v>
      </c>
      <c r="D489" s="36"/>
      <c r="E489" s="1" t="s">
        <v>2680</v>
      </c>
      <c r="F489" s="33">
        <v>45380</v>
      </c>
      <c r="G489" s="35" t="s">
        <v>2681</v>
      </c>
      <c r="H489" s="37" t="s">
        <v>169</v>
      </c>
      <c r="I489" s="58" t="s">
        <v>2682</v>
      </c>
      <c r="J489" s="57">
        <v>255339696</v>
      </c>
      <c r="K489" s="40">
        <f>((J489-M489)/J489)*100</f>
        <v>0</v>
      </c>
      <c r="L489" s="41">
        <f>J489-M489</f>
        <v>0</v>
      </c>
      <c r="M489" s="57">
        <v>255339696</v>
      </c>
      <c r="N489" s="41">
        <f>J489-O489</f>
        <v>0</v>
      </c>
      <c r="O489" s="57">
        <v>255339696</v>
      </c>
      <c r="P489" s="27">
        <f t="shared" si="65"/>
        <v>255339696</v>
      </c>
      <c r="Q489" s="27">
        <f t="shared" si="60"/>
        <v>255339696</v>
      </c>
      <c r="R489" s="27">
        <f>Q489/U489</f>
        <v>12.68</v>
      </c>
      <c r="S489" s="38">
        <f>Q489/U489</f>
        <v>12.68</v>
      </c>
      <c r="T489" s="38">
        <f>S489*AR489</f>
        <v>15216</v>
      </c>
      <c r="U489" s="38">
        <f t="shared" si="64"/>
        <v>20137200</v>
      </c>
      <c r="V489" s="38">
        <v>20137200</v>
      </c>
      <c r="W489" s="38">
        <v>0</v>
      </c>
      <c r="X489" s="38">
        <v>0</v>
      </c>
      <c r="Y489" s="38">
        <v>20137200</v>
      </c>
      <c r="Z489" s="38">
        <f t="shared" si="62"/>
        <v>255339696</v>
      </c>
      <c r="AA489" s="38">
        <v>0</v>
      </c>
      <c r="AB489" s="38">
        <f t="shared" si="63"/>
        <v>0</v>
      </c>
      <c r="AC489" s="38">
        <f>U489/AR489</f>
        <v>16781</v>
      </c>
      <c r="AD489" s="38">
        <f t="shared" si="66"/>
        <v>16781</v>
      </c>
      <c r="AE489" s="33">
        <v>45550</v>
      </c>
      <c r="AF489" s="33"/>
      <c r="AG489" s="33"/>
      <c r="AH489" s="33">
        <v>45580</v>
      </c>
      <c r="AI489" s="33"/>
      <c r="AJ489" s="42"/>
      <c r="AK489" s="37" t="s">
        <v>731</v>
      </c>
      <c r="AL489" s="37" t="s">
        <v>732</v>
      </c>
      <c r="AM489" s="37" t="s">
        <v>733</v>
      </c>
      <c r="AN489" s="37" t="s">
        <v>174</v>
      </c>
      <c r="AO489" s="43">
        <v>0</v>
      </c>
      <c r="AP489" s="35">
        <v>100</v>
      </c>
      <c r="AQ489" s="35" t="s">
        <v>175</v>
      </c>
      <c r="AR489" s="44">
        <v>1200</v>
      </c>
      <c r="AS489" s="37" t="s">
        <v>52</v>
      </c>
    </row>
    <row r="490" spans="1:45" ht="43.5" customHeight="1" x14ac:dyDescent="0.25">
      <c r="A490" s="32" t="s">
        <v>2683</v>
      </c>
      <c r="B490" s="56">
        <v>45352</v>
      </c>
      <c r="C490" s="35">
        <v>1416</v>
      </c>
      <c r="D490" s="36"/>
      <c r="E490" s="1" t="s">
        <v>2684</v>
      </c>
      <c r="F490" s="33">
        <v>45380</v>
      </c>
      <c r="G490" s="35" t="s">
        <v>2685</v>
      </c>
      <c r="H490" s="37" t="s">
        <v>169</v>
      </c>
      <c r="I490" s="58" t="s">
        <v>982</v>
      </c>
      <c r="J490" s="57">
        <v>53722536</v>
      </c>
      <c r="K490" s="40">
        <f>((J490-M490)/J490)*100</f>
        <v>0</v>
      </c>
      <c r="L490" s="41">
        <f>J490-M490</f>
        <v>0</v>
      </c>
      <c r="M490" s="57">
        <v>53722536</v>
      </c>
      <c r="N490" s="41">
        <f>J490-O490</f>
        <v>0</v>
      </c>
      <c r="O490" s="57">
        <v>53722536</v>
      </c>
      <c r="P490" s="27">
        <f t="shared" si="65"/>
        <v>53722536</v>
      </c>
      <c r="Q490" s="27">
        <f t="shared" si="60"/>
        <v>53722536</v>
      </c>
      <c r="R490" s="27">
        <f>Q490/U490</f>
        <v>24.92</v>
      </c>
      <c r="S490" s="38">
        <f>Q490/U490</f>
        <v>24.92</v>
      </c>
      <c r="T490" s="38">
        <f>S490*AR490</f>
        <v>14952.000000000002</v>
      </c>
      <c r="U490" s="38">
        <f t="shared" si="64"/>
        <v>2155800</v>
      </c>
      <c r="V490" s="38">
        <v>2155800</v>
      </c>
      <c r="W490" s="38">
        <v>0</v>
      </c>
      <c r="X490" s="38">
        <v>0</v>
      </c>
      <c r="Y490" s="38">
        <v>2155800</v>
      </c>
      <c r="Z490" s="38">
        <f t="shared" si="62"/>
        <v>53722536</v>
      </c>
      <c r="AA490" s="38">
        <v>0</v>
      </c>
      <c r="AB490" s="38">
        <f t="shared" si="63"/>
        <v>0</v>
      </c>
      <c r="AC490" s="38">
        <f>U490/AR490</f>
        <v>3593</v>
      </c>
      <c r="AD490" s="38">
        <f t="shared" si="66"/>
        <v>3593</v>
      </c>
      <c r="AE490" s="33">
        <v>45550</v>
      </c>
      <c r="AF490" s="33"/>
      <c r="AG490" s="33"/>
      <c r="AH490" s="33">
        <v>45580</v>
      </c>
      <c r="AI490" s="33"/>
      <c r="AJ490" s="42"/>
      <c r="AK490" s="37" t="s">
        <v>731</v>
      </c>
      <c r="AL490" s="37" t="s">
        <v>983</v>
      </c>
      <c r="AM490" s="37" t="s">
        <v>733</v>
      </c>
      <c r="AN490" s="37" t="s">
        <v>174</v>
      </c>
      <c r="AO490" s="43">
        <v>0</v>
      </c>
      <c r="AP490" s="35">
        <v>100</v>
      </c>
      <c r="AQ490" s="35" t="s">
        <v>175</v>
      </c>
      <c r="AR490" s="44">
        <v>600</v>
      </c>
      <c r="AS490" s="37" t="s">
        <v>52</v>
      </c>
    </row>
    <row r="491" spans="1:45" ht="45.75" customHeight="1" x14ac:dyDescent="0.25">
      <c r="A491" s="32" t="s">
        <v>2686</v>
      </c>
      <c r="B491" s="56">
        <v>45352</v>
      </c>
      <c r="C491" s="35">
        <v>1416</v>
      </c>
      <c r="D491" s="36"/>
      <c r="E491" s="1" t="s">
        <v>2687</v>
      </c>
      <c r="F491" s="33">
        <v>45376</v>
      </c>
      <c r="G491" s="35" t="s">
        <v>2688</v>
      </c>
      <c r="H491" s="37" t="s">
        <v>2176</v>
      </c>
      <c r="I491" s="58" t="s">
        <v>2689</v>
      </c>
      <c r="J491" s="57">
        <v>1881289.02</v>
      </c>
      <c r="K491" s="40">
        <f>((J491-M491)/J491)*100</f>
        <v>0</v>
      </c>
      <c r="L491" s="41">
        <f>J491-M491</f>
        <v>0</v>
      </c>
      <c r="M491" s="57">
        <v>1881289.02</v>
      </c>
      <c r="N491" s="41">
        <f>J491-O491</f>
        <v>0</v>
      </c>
      <c r="O491" s="57">
        <v>1881289.02</v>
      </c>
      <c r="P491" s="27">
        <f t="shared" si="65"/>
        <v>1881289.02</v>
      </c>
      <c r="Q491" s="27">
        <f t="shared" si="60"/>
        <v>1881289.02</v>
      </c>
      <c r="R491" s="27">
        <f>Q491/U491</f>
        <v>18444.009999999998</v>
      </c>
      <c r="S491" s="38">
        <f>Q491/U491</f>
        <v>18444.009999999998</v>
      </c>
      <c r="T491" s="38">
        <f>S491*AR491</f>
        <v>36888.019999999997</v>
      </c>
      <c r="U491" s="38">
        <f t="shared" si="64"/>
        <v>102</v>
      </c>
      <c r="V491" s="38">
        <v>102</v>
      </c>
      <c r="W491" s="38">
        <v>0</v>
      </c>
      <c r="X491" s="38">
        <v>0</v>
      </c>
      <c r="Y491" s="38">
        <v>0</v>
      </c>
      <c r="Z491" s="38">
        <f t="shared" si="62"/>
        <v>0</v>
      </c>
      <c r="AA491" s="38">
        <v>102</v>
      </c>
      <c r="AB491" s="38">
        <f t="shared" si="63"/>
        <v>1881289.0199999998</v>
      </c>
      <c r="AC491" s="38">
        <f>U491/AR491</f>
        <v>51</v>
      </c>
      <c r="AD491" s="38">
        <f t="shared" si="66"/>
        <v>51</v>
      </c>
      <c r="AE491" s="33">
        <v>45413</v>
      </c>
      <c r="AF491" s="33">
        <v>45504</v>
      </c>
      <c r="AG491" s="33"/>
      <c r="AH491" s="33">
        <v>45444</v>
      </c>
      <c r="AI491" s="33"/>
      <c r="AJ491" s="42"/>
      <c r="AK491" s="37" t="s">
        <v>2690</v>
      </c>
      <c r="AL491" s="37" t="s">
        <v>2691</v>
      </c>
      <c r="AM491" s="37" t="s">
        <v>2692</v>
      </c>
      <c r="AN491" s="37" t="s">
        <v>50</v>
      </c>
      <c r="AO491" s="43">
        <v>100</v>
      </c>
      <c r="AP491" s="35">
        <v>0</v>
      </c>
      <c r="AQ491" s="35" t="s">
        <v>441</v>
      </c>
      <c r="AR491" s="44">
        <v>2</v>
      </c>
      <c r="AS491" s="37" t="s">
        <v>52</v>
      </c>
    </row>
    <row r="492" spans="1:45" ht="45.75" customHeight="1" x14ac:dyDescent="0.25">
      <c r="A492" s="32" t="s">
        <v>2693</v>
      </c>
      <c r="B492" s="56">
        <v>45352</v>
      </c>
      <c r="C492" s="35">
        <v>1416</v>
      </c>
      <c r="D492" s="36"/>
      <c r="E492" s="1" t="s">
        <v>2694</v>
      </c>
      <c r="F492" s="33">
        <v>45376</v>
      </c>
      <c r="G492" s="35" t="s">
        <v>2695</v>
      </c>
      <c r="H492" s="37" t="s">
        <v>219</v>
      </c>
      <c r="I492" s="58" t="s">
        <v>2696</v>
      </c>
      <c r="J492" s="57">
        <v>131845280</v>
      </c>
      <c r="K492" s="40">
        <f>((J492-M492)/J492)*100</f>
        <v>0</v>
      </c>
      <c r="L492" s="41">
        <f>J492-M492</f>
        <v>0</v>
      </c>
      <c r="M492" s="57">
        <v>131845280</v>
      </c>
      <c r="N492" s="41">
        <f>J492-O492</f>
        <v>0</v>
      </c>
      <c r="O492" s="57">
        <v>131845280</v>
      </c>
      <c r="P492" s="27">
        <f t="shared" si="65"/>
        <v>131845280</v>
      </c>
      <c r="Q492" s="27">
        <f t="shared" si="60"/>
        <v>131845280</v>
      </c>
      <c r="R492" s="27">
        <f>Q492/U492</f>
        <v>164.15</v>
      </c>
      <c r="S492" s="38">
        <f>Q492/U492</f>
        <v>164.15</v>
      </c>
      <c r="T492" s="38">
        <f>S492*AR492</f>
        <v>65660</v>
      </c>
      <c r="U492" s="38">
        <f t="shared" si="64"/>
        <v>803200</v>
      </c>
      <c r="V492" s="38">
        <v>803200</v>
      </c>
      <c r="W492" s="38">
        <v>0</v>
      </c>
      <c r="X492" s="38">
        <v>0</v>
      </c>
      <c r="Y492" s="38">
        <v>0</v>
      </c>
      <c r="Z492" s="38">
        <f t="shared" si="62"/>
        <v>0</v>
      </c>
      <c r="AA492" s="38">
        <v>803200</v>
      </c>
      <c r="AB492" s="38">
        <f t="shared" si="63"/>
        <v>131845280</v>
      </c>
      <c r="AC492" s="38">
        <f>U492/AR492</f>
        <v>2008</v>
      </c>
      <c r="AD492" s="38">
        <f t="shared" si="66"/>
        <v>2008</v>
      </c>
      <c r="AE492" s="33">
        <v>45427</v>
      </c>
      <c r="AF492" s="33">
        <v>45504</v>
      </c>
      <c r="AG492" s="33"/>
      <c r="AH492" s="33">
        <v>45458</v>
      </c>
      <c r="AI492" s="33"/>
      <c r="AJ492" s="42"/>
      <c r="AK492" s="37" t="s">
        <v>2697</v>
      </c>
      <c r="AL492" s="37" t="s">
        <v>2698</v>
      </c>
      <c r="AM492" s="37" t="s">
        <v>2699</v>
      </c>
      <c r="AN492" s="37" t="s">
        <v>50</v>
      </c>
      <c r="AO492" s="43">
        <v>100</v>
      </c>
      <c r="AP492" s="35">
        <v>0</v>
      </c>
      <c r="AQ492" s="35" t="s">
        <v>1118</v>
      </c>
      <c r="AR492" s="44">
        <v>400</v>
      </c>
      <c r="AS492" s="37" t="s">
        <v>52</v>
      </c>
    </row>
    <row r="493" spans="1:45" ht="43.5" customHeight="1" x14ac:dyDescent="0.25">
      <c r="A493" s="32" t="s">
        <v>2700</v>
      </c>
      <c r="B493" s="56">
        <v>45352</v>
      </c>
      <c r="C493" s="35">
        <v>1416</v>
      </c>
      <c r="D493" s="35" t="s">
        <v>485</v>
      </c>
      <c r="E493" s="1" t="s">
        <v>2701</v>
      </c>
      <c r="F493" s="35" t="s">
        <v>485</v>
      </c>
      <c r="G493" s="35" t="s">
        <v>485</v>
      </c>
      <c r="H493" s="35" t="s">
        <v>485</v>
      </c>
      <c r="I493" s="59" t="s">
        <v>858</v>
      </c>
      <c r="J493" s="57">
        <v>54348255.359999999</v>
      </c>
      <c r="K493" s="40">
        <f>((J493-M493)/J493)*100</f>
        <v>100</v>
      </c>
      <c r="L493" s="41">
        <f>J493-M493</f>
        <v>54348255.359999999</v>
      </c>
      <c r="M493" s="38"/>
      <c r="N493" s="41">
        <f>J493-O493</f>
        <v>54348255.359999999</v>
      </c>
      <c r="O493" s="38">
        <v>0</v>
      </c>
      <c r="P493" s="27">
        <f t="shared" si="65"/>
        <v>0</v>
      </c>
      <c r="Q493" s="27">
        <f t="shared" si="60"/>
        <v>0</v>
      </c>
      <c r="R493" s="27" t="e">
        <f>Q493/U493</f>
        <v>#DIV/0!</v>
      </c>
      <c r="S493" s="38" t="e">
        <f>Q493/U493</f>
        <v>#DIV/0!</v>
      </c>
      <c r="T493" s="38" t="e">
        <f>S493*AR493</f>
        <v>#DIV/0!</v>
      </c>
      <c r="U493" s="38">
        <f t="shared" si="64"/>
        <v>0</v>
      </c>
      <c r="V493" s="38">
        <v>0</v>
      </c>
      <c r="W493" s="38">
        <v>0</v>
      </c>
      <c r="X493" s="38">
        <v>0</v>
      </c>
      <c r="Y493" s="38"/>
      <c r="Z493" s="38" t="e">
        <f t="shared" si="62"/>
        <v>#DIV/0!</v>
      </c>
      <c r="AA493" s="38"/>
      <c r="AB493" s="38" t="e">
        <f t="shared" si="63"/>
        <v>#DIV/0!</v>
      </c>
      <c r="AC493" s="38" t="e">
        <f>U493/AR493</f>
        <v>#DIV/0!</v>
      </c>
      <c r="AD493" s="38" t="e">
        <f t="shared" si="66"/>
        <v>#DIV/0!</v>
      </c>
      <c r="AE493" s="33">
        <v>45413</v>
      </c>
      <c r="AF493" s="33"/>
      <c r="AG493" s="33"/>
      <c r="AH493" s="33"/>
      <c r="AI493" s="33"/>
      <c r="AJ493" s="42"/>
      <c r="AK493" s="37"/>
      <c r="AL493" s="37"/>
      <c r="AM493" s="37"/>
      <c r="AN493" s="37"/>
      <c r="AO493" s="43"/>
      <c r="AP493" s="35"/>
      <c r="AQ493" s="35"/>
      <c r="AR493" s="44"/>
      <c r="AS493" s="37" t="s">
        <v>485</v>
      </c>
    </row>
    <row r="494" spans="1:45" ht="45.75" customHeight="1" x14ac:dyDescent="0.25">
      <c r="A494" s="32" t="s">
        <v>2702</v>
      </c>
      <c r="B494" s="56">
        <v>45352</v>
      </c>
      <c r="C494" s="35">
        <v>1416</v>
      </c>
      <c r="D494" s="36"/>
      <c r="E494" s="1" t="s">
        <v>2703</v>
      </c>
      <c r="F494" s="33">
        <v>45376</v>
      </c>
      <c r="G494" s="35" t="s">
        <v>2704</v>
      </c>
      <c r="H494" s="37" t="s">
        <v>2589</v>
      </c>
      <c r="I494" s="59" t="s">
        <v>2705</v>
      </c>
      <c r="J494" s="57">
        <v>12981853.08</v>
      </c>
      <c r="K494" s="40">
        <f>((J494-M494)/J494)*100</f>
        <v>0</v>
      </c>
      <c r="L494" s="41">
        <f>J494-M494</f>
        <v>0</v>
      </c>
      <c r="M494" s="57">
        <v>12981853.08</v>
      </c>
      <c r="N494" s="41">
        <f>J494-O494</f>
        <v>0</v>
      </c>
      <c r="O494" s="57">
        <v>12981853.08</v>
      </c>
      <c r="P494" s="27">
        <f t="shared" si="65"/>
        <v>12981853.08</v>
      </c>
      <c r="Q494" s="27">
        <f t="shared" si="60"/>
        <v>12981853.08</v>
      </c>
      <c r="R494" s="27">
        <f>Q494/U494</f>
        <v>13152.84</v>
      </c>
      <c r="S494" s="38">
        <f>Q494/U494</f>
        <v>13152.84</v>
      </c>
      <c r="T494" s="38">
        <f>S494*AR494</f>
        <v>276209.64</v>
      </c>
      <c r="U494" s="38">
        <f t="shared" si="64"/>
        <v>987</v>
      </c>
      <c r="V494" s="38">
        <v>987</v>
      </c>
      <c r="W494" s="38">
        <v>0</v>
      </c>
      <c r="X494" s="38">
        <v>0</v>
      </c>
      <c r="Y494" s="38">
        <v>0</v>
      </c>
      <c r="Z494" s="38">
        <f t="shared" si="62"/>
        <v>0</v>
      </c>
      <c r="AA494" s="38">
        <v>987</v>
      </c>
      <c r="AB494" s="38">
        <f t="shared" si="63"/>
        <v>12981853.08</v>
      </c>
      <c r="AC494" s="38">
        <f>U494/AR494</f>
        <v>47</v>
      </c>
      <c r="AD494" s="38">
        <f t="shared" si="66"/>
        <v>47</v>
      </c>
      <c r="AE494" s="33">
        <v>45413</v>
      </c>
      <c r="AF494" s="33">
        <v>45504</v>
      </c>
      <c r="AG494" s="33"/>
      <c r="AH494" s="33">
        <v>45444</v>
      </c>
      <c r="AI494" s="33"/>
      <c r="AJ494" s="42"/>
      <c r="AK494" s="37" t="s">
        <v>266</v>
      </c>
      <c r="AL494" s="37" t="s">
        <v>2706</v>
      </c>
      <c r="AM494" s="37" t="s">
        <v>268</v>
      </c>
      <c r="AN494" s="37" t="s">
        <v>50</v>
      </c>
      <c r="AO494" s="43">
        <v>100</v>
      </c>
      <c r="AP494" s="35">
        <v>0</v>
      </c>
      <c r="AQ494" s="35" t="s">
        <v>441</v>
      </c>
      <c r="AR494" s="44">
        <v>21</v>
      </c>
      <c r="AS494" s="37" t="s">
        <v>52</v>
      </c>
    </row>
    <row r="495" spans="1:45" ht="45.75" customHeight="1" x14ac:dyDescent="0.25">
      <c r="A495" s="32" t="s">
        <v>2707</v>
      </c>
      <c r="B495" s="56">
        <v>45352</v>
      </c>
      <c r="C495" s="35">
        <v>1416</v>
      </c>
      <c r="D495" s="36"/>
      <c r="E495" s="1" t="s">
        <v>2708</v>
      </c>
      <c r="F495" s="33">
        <v>45376</v>
      </c>
      <c r="G495" s="35" t="s">
        <v>2709</v>
      </c>
      <c r="H495" s="37" t="s">
        <v>138</v>
      </c>
      <c r="I495" s="59" t="s">
        <v>2710</v>
      </c>
      <c r="J495" s="57">
        <v>58070806.5</v>
      </c>
      <c r="K495" s="40">
        <f>((J495-M495)/J495)*100</f>
        <v>0</v>
      </c>
      <c r="L495" s="41">
        <f>J495-M495</f>
        <v>0</v>
      </c>
      <c r="M495" s="57">
        <v>58070806.5</v>
      </c>
      <c r="N495" s="41">
        <f>J495-O495</f>
        <v>0</v>
      </c>
      <c r="O495" s="57">
        <v>58070806.5</v>
      </c>
      <c r="P495" s="27">
        <f t="shared" si="65"/>
        <v>58070806.5</v>
      </c>
      <c r="Q495" s="27">
        <f t="shared" si="60"/>
        <v>58070806.5</v>
      </c>
      <c r="R495" s="27">
        <f>Q495/U495</f>
        <v>7000.7</v>
      </c>
      <c r="S495" s="38">
        <f>Q495/U495</f>
        <v>7000.7</v>
      </c>
      <c r="T495" s="38">
        <f>S495*AR495</f>
        <v>147014.69999999998</v>
      </c>
      <c r="U495" s="38">
        <f t="shared" si="64"/>
        <v>8295</v>
      </c>
      <c r="V495" s="38">
        <v>8295</v>
      </c>
      <c r="W495" s="38">
        <v>0</v>
      </c>
      <c r="X495" s="38">
        <v>0</v>
      </c>
      <c r="Y495" s="38">
        <v>0</v>
      </c>
      <c r="Z495" s="38">
        <f t="shared" si="62"/>
        <v>0</v>
      </c>
      <c r="AA495" s="38">
        <v>8295</v>
      </c>
      <c r="AB495" s="38">
        <f t="shared" si="63"/>
        <v>58070806.5</v>
      </c>
      <c r="AC495" s="38">
        <f>U495/AR495</f>
        <v>395</v>
      </c>
      <c r="AD495" s="38">
        <f t="shared" si="66"/>
        <v>395</v>
      </c>
      <c r="AE495" s="33">
        <v>45413</v>
      </c>
      <c r="AF495" s="33">
        <v>45504</v>
      </c>
      <c r="AG495" s="33"/>
      <c r="AH495" s="33">
        <v>45444</v>
      </c>
      <c r="AI495" s="33"/>
      <c r="AJ495" s="42"/>
      <c r="AK495" s="37" t="s">
        <v>266</v>
      </c>
      <c r="AL495" s="37" t="s">
        <v>267</v>
      </c>
      <c r="AM495" s="37" t="s">
        <v>268</v>
      </c>
      <c r="AN495" s="37" t="s">
        <v>50</v>
      </c>
      <c r="AO495" s="43">
        <v>100</v>
      </c>
      <c r="AP495" s="35">
        <v>0</v>
      </c>
      <c r="AQ495" s="35" t="s">
        <v>441</v>
      </c>
      <c r="AR495" s="44">
        <v>21</v>
      </c>
      <c r="AS495" s="37" t="s">
        <v>52</v>
      </c>
    </row>
    <row r="496" spans="1:45" ht="45.75" customHeight="1" x14ac:dyDescent="0.25">
      <c r="A496" s="32" t="s">
        <v>2711</v>
      </c>
      <c r="B496" s="56">
        <v>45352</v>
      </c>
      <c r="C496" s="35">
        <v>1416</v>
      </c>
      <c r="D496" s="36"/>
      <c r="E496" s="1" t="s">
        <v>2712</v>
      </c>
      <c r="F496" s="33">
        <v>45376</v>
      </c>
      <c r="G496" s="35" t="s">
        <v>2713</v>
      </c>
      <c r="H496" s="37" t="s">
        <v>138</v>
      </c>
      <c r="I496" s="58" t="s">
        <v>1449</v>
      </c>
      <c r="J496" s="57">
        <v>2745667</v>
      </c>
      <c r="K496" s="40">
        <f>((J496-M496)/J496)*100</f>
        <v>0</v>
      </c>
      <c r="L496" s="41">
        <f>J496-M496</f>
        <v>0</v>
      </c>
      <c r="M496" s="57">
        <v>2745667</v>
      </c>
      <c r="N496" s="41">
        <f>J496-O496</f>
        <v>0</v>
      </c>
      <c r="O496" s="57">
        <v>2745667</v>
      </c>
      <c r="P496" s="27">
        <f t="shared" si="65"/>
        <v>2745667</v>
      </c>
      <c r="Q496" s="27">
        <f t="shared" si="60"/>
        <v>2745667</v>
      </c>
      <c r="R496" s="27">
        <f>Q496/U496</f>
        <v>197.53</v>
      </c>
      <c r="S496" s="38">
        <f>Q496/U496</f>
        <v>197.53</v>
      </c>
      <c r="T496" s="38">
        <f>S496*AR496</f>
        <v>19753</v>
      </c>
      <c r="U496" s="38">
        <f t="shared" si="64"/>
        <v>13900</v>
      </c>
      <c r="V496" s="38">
        <f>13500+400</f>
        <v>13900</v>
      </c>
      <c r="W496" s="38">
        <v>0</v>
      </c>
      <c r="X496" s="38">
        <v>0</v>
      </c>
      <c r="Y496" s="38">
        <v>13500</v>
      </c>
      <c r="Z496" s="38">
        <f t="shared" si="62"/>
        <v>2666655</v>
      </c>
      <c r="AA496" s="38">
        <v>400</v>
      </c>
      <c r="AB496" s="38">
        <f t="shared" si="63"/>
        <v>79012</v>
      </c>
      <c r="AC496" s="38">
        <f>U496/AR496</f>
        <v>139</v>
      </c>
      <c r="AD496" s="38">
        <f t="shared" si="66"/>
        <v>139</v>
      </c>
      <c r="AE496" s="33">
        <v>45413</v>
      </c>
      <c r="AF496" s="33">
        <v>45504</v>
      </c>
      <c r="AG496" s="33"/>
      <c r="AH496" s="33">
        <v>45444</v>
      </c>
      <c r="AI496" s="33"/>
      <c r="AJ496" s="42"/>
      <c r="AK496" s="37" t="s">
        <v>1450</v>
      </c>
      <c r="AL496" s="37" t="s">
        <v>1451</v>
      </c>
      <c r="AM496" s="37" t="s">
        <v>2714</v>
      </c>
      <c r="AN496" s="37" t="s">
        <v>1453</v>
      </c>
      <c r="AO496" s="43">
        <v>0</v>
      </c>
      <c r="AP496" s="35">
        <v>100</v>
      </c>
      <c r="AQ496" s="35" t="s">
        <v>379</v>
      </c>
      <c r="AR496" s="44">
        <v>100</v>
      </c>
      <c r="AS496" s="37" t="s">
        <v>52</v>
      </c>
    </row>
    <row r="497" spans="1:45" ht="43.5" customHeight="1" x14ac:dyDescent="0.25">
      <c r="A497" s="32" t="s">
        <v>2715</v>
      </c>
      <c r="B497" s="56">
        <v>45352</v>
      </c>
      <c r="C497" s="35">
        <v>1416</v>
      </c>
      <c r="D497" s="36"/>
      <c r="E497" s="1" t="s">
        <v>2716</v>
      </c>
      <c r="F497" s="33">
        <v>45383</v>
      </c>
      <c r="G497" s="35" t="s">
        <v>2717</v>
      </c>
      <c r="H497" s="37" t="s">
        <v>784</v>
      </c>
      <c r="I497" s="58" t="s">
        <v>1105</v>
      </c>
      <c r="J497" s="57">
        <v>707203973.08000004</v>
      </c>
      <c r="K497" s="40">
        <f>((J497-M497)/J497)*100</f>
        <v>0</v>
      </c>
      <c r="L497" s="41">
        <f>J497-M497</f>
        <v>0</v>
      </c>
      <c r="M497" s="57">
        <v>707203973.08000004</v>
      </c>
      <c r="N497" s="41">
        <f>J497-O497</f>
        <v>0</v>
      </c>
      <c r="O497" s="57">
        <v>707203973.08000004</v>
      </c>
      <c r="P497" s="27">
        <f t="shared" si="65"/>
        <v>707203973.08000004</v>
      </c>
      <c r="Q497" s="27">
        <f t="shared" si="60"/>
        <v>707203973.08000004</v>
      </c>
      <c r="R497" s="27">
        <f>Q497/U497</f>
        <v>263842.7</v>
      </c>
      <c r="S497" s="38">
        <f>Q497/U497</f>
        <v>263842.7</v>
      </c>
      <c r="T497" s="38">
        <f>S497*AR497</f>
        <v>105537.08000000002</v>
      </c>
      <c r="U497" s="38">
        <f t="shared" si="64"/>
        <v>2680.4</v>
      </c>
      <c r="V497" s="38">
        <v>2680.4</v>
      </c>
      <c r="W497" s="38">
        <v>0</v>
      </c>
      <c r="X497" s="38">
        <v>0</v>
      </c>
      <c r="Y497" s="38">
        <v>0</v>
      </c>
      <c r="Z497" s="38">
        <f t="shared" si="62"/>
        <v>0</v>
      </c>
      <c r="AA497" s="38">
        <v>2680.4</v>
      </c>
      <c r="AB497" s="38">
        <f t="shared" si="63"/>
        <v>707203973.08000004</v>
      </c>
      <c r="AC497" s="38">
        <f>U497/AR497</f>
        <v>6701</v>
      </c>
      <c r="AD497" s="38">
        <f t="shared" si="66"/>
        <v>6701</v>
      </c>
      <c r="AE497" s="33">
        <v>45555</v>
      </c>
      <c r="AF497" s="33"/>
      <c r="AG497" s="33"/>
      <c r="AH497" s="33">
        <v>45585</v>
      </c>
      <c r="AI497" s="33"/>
      <c r="AJ497" s="42"/>
      <c r="AK497" s="37" t="s">
        <v>786</v>
      </c>
      <c r="AL497" s="37" t="s">
        <v>1106</v>
      </c>
      <c r="AM497" s="37" t="s">
        <v>788</v>
      </c>
      <c r="AN497" s="37" t="s">
        <v>326</v>
      </c>
      <c r="AO497" s="43">
        <v>0</v>
      </c>
      <c r="AP497" s="35">
        <v>100</v>
      </c>
      <c r="AQ497" s="35" t="s">
        <v>164</v>
      </c>
      <c r="AR497" s="49">
        <v>0.4</v>
      </c>
      <c r="AS497" s="37" t="s">
        <v>52</v>
      </c>
    </row>
    <row r="498" spans="1:45" ht="43.5" customHeight="1" x14ac:dyDescent="0.25">
      <c r="A498" s="32" t="s">
        <v>2718</v>
      </c>
      <c r="B498" s="56">
        <v>45352</v>
      </c>
      <c r="C498" s="35">
        <v>1416</v>
      </c>
      <c r="D498" s="36"/>
      <c r="E498" s="1" t="s">
        <v>2719</v>
      </c>
      <c r="F498" s="33">
        <v>45385</v>
      </c>
      <c r="G498" s="35" t="s">
        <v>2720</v>
      </c>
      <c r="H498" s="37" t="s">
        <v>138</v>
      </c>
      <c r="I498" s="59" t="s">
        <v>2721</v>
      </c>
      <c r="J498" s="57">
        <v>745766028</v>
      </c>
      <c r="K498" s="40">
        <f>((J498-M498)/J498)*100</f>
        <v>0</v>
      </c>
      <c r="L498" s="41">
        <f>J498-M498</f>
        <v>0</v>
      </c>
      <c r="M498" s="57">
        <v>745766028</v>
      </c>
      <c r="N498" s="41">
        <f>J498-O498</f>
        <v>0</v>
      </c>
      <c r="O498" s="57">
        <v>745766028</v>
      </c>
      <c r="P498" s="27">
        <f t="shared" si="65"/>
        <v>745766028</v>
      </c>
      <c r="Q498" s="27">
        <f t="shared" si="60"/>
        <v>745766028</v>
      </c>
      <c r="R498" s="27">
        <f>Q498/U498</f>
        <v>13152.84</v>
      </c>
      <c r="S498" s="38">
        <f>Q498/U498</f>
        <v>13152.84</v>
      </c>
      <c r="T498" s="38">
        <f>S498*AR498</f>
        <v>276209.64</v>
      </c>
      <c r="U498" s="38">
        <f t="shared" si="64"/>
        <v>56700</v>
      </c>
      <c r="V498" s="38">
        <v>56700</v>
      </c>
      <c r="W498" s="38">
        <v>0</v>
      </c>
      <c r="X498" s="38">
        <v>0</v>
      </c>
      <c r="Y498" s="38">
        <v>0</v>
      </c>
      <c r="Z498" s="38">
        <f t="shared" si="62"/>
        <v>0</v>
      </c>
      <c r="AA498" s="38">
        <v>56700</v>
      </c>
      <c r="AB498" s="38">
        <f t="shared" si="63"/>
        <v>745766028</v>
      </c>
      <c r="AC498" s="38">
        <f>U498/AR498</f>
        <v>2700</v>
      </c>
      <c r="AD498" s="38">
        <f t="shared" si="66"/>
        <v>2700</v>
      </c>
      <c r="AE498" s="33">
        <v>45413</v>
      </c>
      <c r="AF498" s="33"/>
      <c r="AG498" s="33"/>
      <c r="AH498" s="33">
        <v>45444</v>
      </c>
      <c r="AI498" s="33"/>
      <c r="AJ498" s="42"/>
      <c r="AK498" s="37" t="s">
        <v>2722</v>
      </c>
      <c r="AL498" s="37" t="s">
        <v>2723</v>
      </c>
      <c r="AM498" s="37" t="s">
        <v>2724</v>
      </c>
      <c r="AN498" s="37" t="s">
        <v>50</v>
      </c>
      <c r="AO498" s="43">
        <v>100</v>
      </c>
      <c r="AP498" s="35">
        <v>0</v>
      </c>
      <c r="AQ498" s="35" t="s">
        <v>441</v>
      </c>
      <c r="AR498" s="44">
        <v>21</v>
      </c>
      <c r="AS498" s="37" t="s">
        <v>52</v>
      </c>
    </row>
    <row r="499" spans="1:45" ht="43.5" customHeight="1" x14ac:dyDescent="0.25">
      <c r="A499" s="32" t="s">
        <v>2725</v>
      </c>
      <c r="B499" s="56">
        <v>45352</v>
      </c>
      <c r="C499" s="35">
        <v>1688</v>
      </c>
      <c r="D499" s="35" t="s">
        <v>485</v>
      </c>
      <c r="E499" s="1" t="s">
        <v>2726</v>
      </c>
      <c r="F499" s="35" t="s">
        <v>485</v>
      </c>
      <c r="G499" s="35" t="s">
        <v>485</v>
      </c>
      <c r="H499" s="35" t="s">
        <v>485</v>
      </c>
      <c r="I499" s="58" t="s">
        <v>2727</v>
      </c>
      <c r="J499" s="57">
        <v>1539268903.2</v>
      </c>
      <c r="K499" s="40">
        <f>((J499-M499)/J499)*100</f>
        <v>100</v>
      </c>
      <c r="L499" s="41">
        <f>J499-M499</f>
        <v>1539268903.2</v>
      </c>
      <c r="M499" s="38"/>
      <c r="N499" s="41">
        <f>J499-O499</f>
        <v>1539268903.2</v>
      </c>
      <c r="O499" s="38">
        <v>0</v>
      </c>
      <c r="P499" s="27">
        <f t="shared" si="65"/>
        <v>0</v>
      </c>
      <c r="Q499" s="27">
        <f t="shared" si="60"/>
        <v>0</v>
      </c>
      <c r="R499" s="27" t="e">
        <f>Q499/U499</f>
        <v>#DIV/0!</v>
      </c>
      <c r="S499" s="38" t="e">
        <f>Q499/U499</f>
        <v>#DIV/0!</v>
      </c>
      <c r="T499" s="38" t="e">
        <f>S499*AR499</f>
        <v>#DIV/0!</v>
      </c>
      <c r="U499" s="38">
        <f t="shared" si="64"/>
        <v>0</v>
      </c>
      <c r="V499" s="38">
        <v>0</v>
      </c>
      <c r="W499" s="38">
        <v>0</v>
      </c>
      <c r="X499" s="38">
        <v>0</v>
      </c>
      <c r="Y499" s="38"/>
      <c r="Z499" s="38" t="e">
        <f t="shared" si="62"/>
        <v>#DIV/0!</v>
      </c>
      <c r="AA499" s="38"/>
      <c r="AB499" s="38" t="e">
        <f t="shared" si="63"/>
        <v>#DIV/0!</v>
      </c>
      <c r="AC499" s="38" t="e">
        <f>U499/AR499</f>
        <v>#DIV/0!</v>
      </c>
      <c r="AD499" s="38" t="e">
        <f t="shared" si="66"/>
        <v>#DIV/0!</v>
      </c>
      <c r="AE499" s="33">
        <v>45427</v>
      </c>
      <c r="AF499" s="33"/>
      <c r="AG499" s="33"/>
      <c r="AH499" s="33"/>
      <c r="AI499" s="33"/>
      <c r="AJ499" s="42"/>
      <c r="AK499" s="37"/>
      <c r="AL499" s="37"/>
      <c r="AM499" s="37"/>
      <c r="AN499" s="37"/>
      <c r="AO499" s="43"/>
      <c r="AP499" s="35"/>
      <c r="AQ499" s="35"/>
      <c r="AR499" s="44"/>
      <c r="AS499" s="37" t="s">
        <v>485</v>
      </c>
    </row>
    <row r="500" spans="1:45" ht="43.5" customHeight="1" x14ac:dyDescent="0.25">
      <c r="A500" s="32" t="s">
        <v>2728</v>
      </c>
      <c r="B500" s="56">
        <v>45352</v>
      </c>
      <c r="C500" s="37" t="s">
        <v>2074</v>
      </c>
      <c r="D500" s="35" t="s">
        <v>485</v>
      </c>
      <c r="E500" s="1" t="s">
        <v>2729</v>
      </c>
      <c r="F500" s="35" t="s">
        <v>485</v>
      </c>
      <c r="G500" s="35" t="s">
        <v>485</v>
      </c>
      <c r="H500" s="35" t="s">
        <v>485</v>
      </c>
      <c r="I500" s="58" t="s">
        <v>2730</v>
      </c>
      <c r="J500" s="57">
        <v>171708.52</v>
      </c>
      <c r="K500" s="40">
        <f>((J500-M500)/J500)*100</f>
        <v>100</v>
      </c>
      <c r="L500" s="41">
        <f>J500-M500</f>
        <v>171708.52</v>
      </c>
      <c r="M500" s="38"/>
      <c r="N500" s="41">
        <f>J500-O500</f>
        <v>171708.52</v>
      </c>
      <c r="O500" s="38">
        <v>0</v>
      </c>
      <c r="P500" s="27">
        <f t="shared" si="65"/>
        <v>0</v>
      </c>
      <c r="Q500" s="27">
        <f t="shared" si="60"/>
        <v>0</v>
      </c>
      <c r="R500" s="27" t="e">
        <f>Q500/U500</f>
        <v>#DIV/0!</v>
      </c>
      <c r="S500" s="38" t="e">
        <f>Q500/U500</f>
        <v>#DIV/0!</v>
      </c>
      <c r="T500" s="38" t="e">
        <f>S500*AR500</f>
        <v>#DIV/0!</v>
      </c>
      <c r="U500" s="38">
        <f t="shared" si="64"/>
        <v>0</v>
      </c>
      <c r="V500" s="38">
        <v>0</v>
      </c>
      <c r="W500" s="38">
        <v>0</v>
      </c>
      <c r="X500" s="38">
        <v>0</v>
      </c>
      <c r="Y500" s="38"/>
      <c r="Z500" s="38" t="e">
        <f t="shared" si="62"/>
        <v>#DIV/0!</v>
      </c>
      <c r="AA500" s="38"/>
      <c r="AB500" s="38" t="e">
        <f t="shared" si="63"/>
        <v>#DIV/0!</v>
      </c>
      <c r="AC500" s="38" t="e">
        <f>U500/AR500</f>
        <v>#DIV/0!</v>
      </c>
      <c r="AD500" s="38" t="e">
        <f t="shared" si="66"/>
        <v>#DIV/0!</v>
      </c>
      <c r="AE500" s="33">
        <v>45413</v>
      </c>
      <c r="AF500" s="33"/>
      <c r="AG500" s="33"/>
      <c r="AH500" s="33"/>
      <c r="AI500" s="33"/>
      <c r="AJ500" s="42"/>
      <c r="AK500" s="37"/>
      <c r="AL500" s="37"/>
      <c r="AM500" s="37"/>
      <c r="AN500" s="37"/>
      <c r="AO500" s="43"/>
      <c r="AP500" s="35"/>
      <c r="AQ500" s="35"/>
      <c r="AR500" s="44"/>
      <c r="AS500" s="37" t="s">
        <v>485</v>
      </c>
    </row>
    <row r="501" spans="1:45" ht="43.5" customHeight="1" x14ac:dyDescent="0.25">
      <c r="A501" s="32" t="s">
        <v>2731</v>
      </c>
      <c r="B501" s="56">
        <v>45352</v>
      </c>
      <c r="C501" s="35" t="s">
        <v>2213</v>
      </c>
      <c r="D501" s="35" t="s">
        <v>485</v>
      </c>
      <c r="E501" s="1" t="s">
        <v>2732</v>
      </c>
      <c r="F501" s="35" t="s">
        <v>485</v>
      </c>
      <c r="G501" s="35" t="s">
        <v>485</v>
      </c>
      <c r="H501" s="35" t="s">
        <v>485</v>
      </c>
      <c r="I501" s="59" t="s">
        <v>292</v>
      </c>
      <c r="J501" s="57">
        <v>210777.84</v>
      </c>
      <c r="K501" s="40">
        <f>((J501-M501)/J501)*100</f>
        <v>100</v>
      </c>
      <c r="L501" s="41">
        <f>J501-M501</f>
        <v>210777.84</v>
      </c>
      <c r="M501" s="38"/>
      <c r="N501" s="41">
        <f>J501-O501</f>
        <v>210777.84</v>
      </c>
      <c r="O501" s="38">
        <v>0</v>
      </c>
      <c r="P501" s="27">
        <f t="shared" si="65"/>
        <v>0</v>
      </c>
      <c r="Q501" s="27">
        <f t="shared" si="60"/>
        <v>0</v>
      </c>
      <c r="R501" s="27" t="e">
        <f>Q501/U501</f>
        <v>#DIV/0!</v>
      </c>
      <c r="S501" s="38" t="e">
        <f>Q501/U501</f>
        <v>#DIV/0!</v>
      </c>
      <c r="T501" s="38" t="e">
        <f>S501*AR501</f>
        <v>#DIV/0!</v>
      </c>
      <c r="U501" s="38">
        <f t="shared" si="64"/>
        <v>0</v>
      </c>
      <c r="V501" s="38">
        <v>0</v>
      </c>
      <c r="W501" s="38">
        <v>0</v>
      </c>
      <c r="X501" s="38">
        <v>0</v>
      </c>
      <c r="Y501" s="38"/>
      <c r="Z501" s="38" t="e">
        <f t="shared" si="62"/>
        <v>#DIV/0!</v>
      </c>
      <c r="AA501" s="38"/>
      <c r="AB501" s="38" t="e">
        <f t="shared" si="63"/>
        <v>#DIV/0!</v>
      </c>
      <c r="AC501" s="38" t="e">
        <f>U501/AR501</f>
        <v>#DIV/0!</v>
      </c>
      <c r="AD501" s="38" t="e">
        <f t="shared" si="66"/>
        <v>#DIV/0!</v>
      </c>
      <c r="AE501" s="33">
        <v>45413</v>
      </c>
      <c r="AF501" s="33"/>
      <c r="AG501" s="33"/>
      <c r="AH501" s="33"/>
      <c r="AI501" s="33"/>
      <c r="AJ501" s="42"/>
      <c r="AK501" s="37"/>
      <c r="AL501" s="37"/>
      <c r="AM501" s="37"/>
      <c r="AN501" s="37"/>
      <c r="AO501" s="43"/>
      <c r="AP501" s="35"/>
      <c r="AQ501" s="35"/>
      <c r="AR501" s="44"/>
      <c r="AS501" s="37" t="s">
        <v>485</v>
      </c>
    </row>
    <row r="502" spans="1:45" ht="43.5" customHeight="1" x14ac:dyDescent="0.25">
      <c r="A502" s="32" t="s">
        <v>2733</v>
      </c>
      <c r="B502" s="56">
        <v>45355</v>
      </c>
      <c r="C502" s="35" t="s">
        <v>2213</v>
      </c>
      <c r="D502" s="36"/>
      <c r="E502" s="1" t="s">
        <v>2734</v>
      </c>
      <c r="F502" s="33">
        <v>45369</v>
      </c>
      <c r="G502" s="35" t="s">
        <v>2735</v>
      </c>
      <c r="H502" s="37" t="s">
        <v>719</v>
      </c>
      <c r="I502" s="58" t="s">
        <v>1356</v>
      </c>
      <c r="J502" s="57">
        <v>4436099.76</v>
      </c>
      <c r="K502" s="40">
        <f>((J502-M502)/J502)*100</f>
        <v>0</v>
      </c>
      <c r="L502" s="41">
        <f>J502-M502</f>
        <v>0</v>
      </c>
      <c r="M502" s="57">
        <v>4436099.76</v>
      </c>
      <c r="N502" s="41">
        <f>J502-O502</f>
        <v>0</v>
      </c>
      <c r="O502" s="57">
        <v>4436099.76</v>
      </c>
      <c r="P502" s="27">
        <f t="shared" si="65"/>
        <v>4436099.76</v>
      </c>
      <c r="Q502" s="27">
        <f t="shared" si="60"/>
        <v>4436099.76</v>
      </c>
      <c r="R502" s="27">
        <f>Q502/U502</f>
        <v>554512.47</v>
      </c>
      <c r="S502" s="38">
        <f>Q502/U502</f>
        <v>554512.47</v>
      </c>
      <c r="T502" s="38">
        <f>S502*AR502</f>
        <v>554512.47</v>
      </c>
      <c r="U502" s="38">
        <f t="shared" si="64"/>
        <v>8</v>
      </c>
      <c r="V502" s="38">
        <v>8</v>
      </c>
      <c r="W502" s="38">
        <v>0</v>
      </c>
      <c r="X502" s="38">
        <v>0</v>
      </c>
      <c r="Y502" s="38">
        <v>8</v>
      </c>
      <c r="Z502" s="38">
        <f t="shared" si="62"/>
        <v>4436099.76</v>
      </c>
      <c r="AA502" s="38">
        <v>0</v>
      </c>
      <c r="AB502" s="38">
        <f t="shared" si="63"/>
        <v>0</v>
      </c>
      <c r="AC502" s="38">
        <f>U502/AR502</f>
        <v>8</v>
      </c>
      <c r="AD502" s="38">
        <f t="shared" si="66"/>
        <v>8</v>
      </c>
      <c r="AE502" s="33">
        <v>45413</v>
      </c>
      <c r="AF502" s="33"/>
      <c r="AG502" s="33"/>
      <c r="AH502" s="33">
        <v>45444</v>
      </c>
      <c r="AI502" s="33"/>
      <c r="AJ502" s="42"/>
      <c r="AK502" s="37" t="s">
        <v>349</v>
      </c>
      <c r="AL502" s="37" t="s">
        <v>447</v>
      </c>
      <c r="AM502" s="37" t="s">
        <v>351</v>
      </c>
      <c r="AN502" s="37" t="s">
        <v>352</v>
      </c>
      <c r="AO502" s="43">
        <v>0</v>
      </c>
      <c r="AP502" s="35">
        <v>100</v>
      </c>
      <c r="AQ502" s="35" t="s">
        <v>164</v>
      </c>
      <c r="AR502" s="44">
        <v>1</v>
      </c>
      <c r="AS502" s="37" t="s">
        <v>52</v>
      </c>
    </row>
    <row r="503" spans="1:45" ht="43.5" customHeight="1" x14ac:dyDescent="0.25">
      <c r="A503" s="32" t="s">
        <v>2736</v>
      </c>
      <c r="B503" s="56">
        <v>45355</v>
      </c>
      <c r="C503" s="35" t="s">
        <v>2213</v>
      </c>
      <c r="D503" s="35" t="s">
        <v>485</v>
      </c>
      <c r="E503" s="1" t="s">
        <v>2737</v>
      </c>
      <c r="F503" s="35" t="s">
        <v>485</v>
      </c>
      <c r="G503" s="35" t="s">
        <v>485</v>
      </c>
      <c r="H503" s="35" t="s">
        <v>485</v>
      </c>
      <c r="I503" s="58" t="s">
        <v>1205</v>
      </c>
      <c r="J503" s="57">
        <v>1237850</v>
      </c>
      <c r="K503" s="40">
        <f>((J503-M503)/J503)*100</f>
        <v>100</v>
      </c>
      <c r="L503" s="41">
        <f>J503-M503</f>
        <v>1237850</v>
      </c>
      <c r="M503" s="38"/>
      <c r="N503" s="41">
        <f>J503-O503</f>
        <v>1237850</v>
      </c>
      <c r="O503" s="38">
        <v>0</v>
      </c>
      <c r="P503" s="27">
        <f t="shared" si="65"/>
        <v>0</v>
      </c>
      <c r="Q503" s="27">
        <f t="shared" si="60"/>
        <v>0</v>
      </c>
      <c r="R503" s="27" t="e">
        <f>Q503/U503</f>
        <v>#DIV/0!</v>
      </c>
      <c r="S503" s="38" t="e">
        <f>Q503/U503</f>
        <v>#DIV/0!</v>
      </c>
      <c r="T503" s="38" t="e">
        <f>S503*AR503</f>
        <v>#DIV/0!</v>
      </c>
      <c r="U503" s="38">
        <f t="shared" si="64"/>
        <v>0</v>
      </c>
      <c r="V503" s="38">
        <v>0</v>
      </c>
      <c r="W503" s="38">
        <v>0</v>
      </c>
      <c r="X503" s="38">
        <v>0</v>
      </c>
      <c r="Y503" s="38"/>
      <c r="Z503" s="38" t="e">
        <f t="shared" si="62"/>
        <v>#DIV/0!</v>
      </c>
      <c r="AA503" s="38"/>
      <c r="AB503" s="38" t="e">
        <f t="shared" si="63"/>
        <v>#DIV/0!</v>
      </c>
      <c r="AC503" s="38" t="e">
        <f>U503/AR503</f>
        <v>#DIV/0!</v>
      </c>
      <c r="AD503" s="38" t="e">
        <f t="shared" si="66"/>
        <v>#DIV/0!</v>
      </c>
      <c r="AE503" s="33">
        <v>45413</v>
      </c>
      <c r="AF503" s="33"/>
      <c r="AG503" s="33"/>
      <c r="AH503" s="33"/>
      <c r="AI503" s="33"/>
      <c r="AJ503" s="42"/>
      <c r="AK503" s="37"/>
      <c r="AL503" s="37"/>
      <c r="AM503" s="37"/>
      <c r="AN503" s="37"/>
      <c r="AO503" s="43"/>
      <c r="AP503" s="35"/>
      <c r="AQ503" s="35"/>
      <c r="AR503" s="44"/>
      <c r="AS503" s="37" t="s">
        <v>485</v>
      </c>
    </row>
    <row r="504" spans="1:45" ht="43.5" customHeight="1" x14ac:dyDescent="0.25">
      <c r="A504" s="32" t="s">
        <v>2738</v>
      </c>
      <c r="B504" s="56">
        <v>45355</v>
      </c>
      <c r="C504" s="35" t="s">
        <v>2213</v>
      </c>
      <c r="D504" s="35" t="s">
        <v>485</v>
      </c>
      <c r="E504" s="1" t="s">
        <v>2739</v>
      </c>
      <c r="F504" s="35" t="s">
        <v>485</v>
      </c>
      <c r="G504" s="35" t="s">
        <v>485</v>
      </c>
      <c r="H504" s="35" t="s">
        <v>485</v>
      </c>
      <c r="I504" s="58" t="s">
        <v>2740</v>
      </c>
      <c r="J504" s="57">
        <v>31007.4</v>
      </c>
      <c r="K504" s="40">
        <f>((J504-M504)/J504)*100</f>
        <v>100</v>
      </c>
      <c r="L504" s="41">
        <f>J504-M504</f>
        <v>31007.4</v>
      </c>
      <c r="M504" s="38"/>
      <c r="N504" s="41">
        <f>J504-O504</f>
        <v>31007.4</v>
      </c>
      <c r="O504" s="38">
        <v>0</v>
      </c>
      <c r="P504" s="27">
        <f t="shared" si="65"/>
        <v>0</v>
      </c>
      <c r="Q504" s="27">
        <f t="shared" si="60"/>
        <v>0</v>
      </c>
      <c r="R504" s="27" t="e">
        <f>Q504/U504</f>
        <v>#DIV/0!</v>
      </c>
      <c r="S504" s="38" t="e">
        <f>Q504/U504</f>
        <v>#DIV/0!</v>
      </c>
      <c r="T504" s="38" t="e">
        <f>S504*AR504</f>
        <v>#DIV/0!</v>
      </c>
      <c r="U504" s="38">
        <f t="shared" si="64"/>
        <v>0</v>
      </c>
      <c r="V504" s="38">
        <v>0</v>
      </c>
      <c r="W504" s="38">
        <v>0</v>
      </c>
      <c r="X504" s="38">
        <v>0</v>
      </c>
      <c r="Y504" s="38"/>
      <c r="Z504" s="38" t="e">
        <f t="shared" si="62"/>
        <v>#DIV/0!</v>
      </c>
      <c r="AA504" s="38"/>
      <c r="AB504" s="38" t="e">
        <f t="shared" si="63"/>
        <v>#DIV/0!</v>
      </c>
      <c r="AC504" s="38" t="e">
        <f>U504/AR504</f>
        <v>#DIV/0!</v>
      </c>
      <c r="AD504" s="38" t="e">
        <f t="shared" si="66"/>
        <v>#DIV/0!</v>
      </c>
      <c r="AE504" s="33">
        <v>45413</v>
      </c>
      <c r="AF504" s="33"/>
      <c r="AG504" s="33"/>
      <c r="AH504" s="33"/>
      <c r="AI504" s="33"/>
      <c r="AJ504" s="42"/>
      <c r="AK504" s="37"/>
      <c r="AL504" s="37"/>
      <c r="AM504" s="37"/>
      <c r="AN504" s="37"/>
      <c r="AO504" s="43"/>
      <c r="AP504" s="35"/>
      <c r="AQ504" s="35"/>
      <c r="AR504" s="44"/>
      <c r="AS504" s="37" t="s">
        <v>485</v>
      </c>
    </row>
    <row r="505" spans="1:45" ht="43.5" customHeight="1" x14ac:dyDescent="0.25">
      <c r="A505" s="32" t="s">
        <v>2741</v>
      </c>
      <c r="B505" s="56">
        <v>45355</v>
      </c>
      <c r="C505" s="37" t="s">
        <v>2066</v>
      </c>
      <c r="D505" s="35" t="s">
        <v>485</v>
      </c>
      <c r="E505" s="1" t="s">
        <v>2742</v>
      </c>
      <c r="F505" s="35" t="s">
        <v>485</v>
      </c>
      <c r="G505" s="35" t="s">
        <v>485</v>
      </c>
      <c r="H505" s="35" t="s">
        <v>485</v>
      </c>
      <c r="I505" s="58" t="s">
        <v>1563</v>
      </c>
      <c r="J505" s="57">
        <v>25872</v>
      </c>
      <c r="K505" s="40">
        <f>((J505-M505)/J505)*100</f>
        <v>100</v>
      </c>
      <c r="L505" s="41">
        <f>J505-M505</f>
        <v>25872</v>
      </c>
      <c r="M505" s="38"/>
      <c r="N505" s="41">
        <f>J505-O505</f>
        <v>25872</v>
      </c>
      <c r="O505" s="38">
        <v>0</v>
      </c>
      <c r="P505" s="27">
        <f t="shared" si="65"/>
        <v>0</v>
      </c>
      <c r="Q505" s="27">
        <f t="shared" si="60"/>
        <v>0</v>
      </c>
      <c r="R505" s="27" t="e">
        <f>Q505/U505</f>
        <v>#DIV/0!</v>
      </c>
      <c r="S505" s="38" t="e">
        <f>Q505/U505</f>
        <v>#DIV/0!</v>
      </c>
      <c r="T505" s="38" t="e">
        <f>S505*AR505</f>
        <v>#DIV/0!</v>
      </c>
      <c r="U505" s="38">
        <f t="shared" si="64"/>
        <v>0</v>
      </c>
      <c r="V505" s="38">
        <v>0</v>
      </c>
      <c r="W505" s="38">
        <v>0</v>
      </c>
      <c r="X505" s="38">
        <v>0</v>
      </c>
      <c r="Y505" s="38"/>
      <c r="Z505" s="38" t="e">
        <f t="shared" si="62"/>
        <v>#DIV/0!</v>
      </c>
      <c r="AA505" s="38"/>
      <c r="AB505" s="38" t="e">
        <f t="shared" si="63"/>
        <v>#DIV/0!</v>
      </c>
      <c r="AC505" s="38" t="e">
        <f>U505/AR505</f>
        <v>#DIV/0!</v>
      </c>
      <c r="AD505" s="38" t="e">
        <f t="shared" si="66"/>
        <v>#DIV/0!</v>
      </c>
      <c r="AE505" s="33">
        <v>45413</v>
      </c>
      <c r="AF505" s="33"/>
      <c r="AG505" s="33"/>
      <c r="AH505" s="33"/>
      <c r="AI505" s="33"/>
      <c r="AJ505" s="42"/>
      <c r="AK505" s="37"/>
      <c r="AL505" s="37"/>
      <c r="AM505" s="37"/>
      <c r="AN505" s="37"/>
      <c r="AO505" s="43"/>
      <c r="AP505" s="35"/>
      <c r="AQ505" s="35"/>
      <c r="AR505" s="44"/>
      <c r="AS505" s="37" t="s">
        <v>485</v>
      </c>
    </row>
    <row r="506" spans="1:45" ht="43.5" customHeight="1" x14ac:dyDescent="0.25">
      <c r="A506" s="32" t="s">
        <v>2743</v>
      </c>
      <c r="B506" s="56">
        <v>45355</v>
      </c>
      <c r="C506" s="37" t="s">
        <v>2066</v>
      </c>
      <c r="D506" s="36"/>
      <c r="E506" s="1" t="s">
        <v>2744</v>
      </c>
      <c r="F506" s="33">
        <v>45369</v>
      </c>
      <c r="G506" s="35" t="s">
        <v>2745</v>
      </c>
      <c r="H506" s="37" t="s">
        <v>2589</v>
      </c>
      <c r="I506" s="58" t="s">
        <v>1308</v>
      </c>
      <c r="J506" s="57">
        <v>28663.8</v>
      </c>
      <c r="K506" s="40">
        <f>((J506-M506)/J506)*100</f>
        <v>5.8610512214009564E-2</v>
      </c>
      <c r="L506" s="41">
        <f>J506-M506</f>
        <v>16.799999999999272</v>
      </c>
      <c r="M506" s="38">
        <v>28647</v>
      </c>
      <c r="N506" s="41">
        <f>J506-O506</f>
        <v>16.799999999999272</v>
      </c>
      <c r="O506" s="38">
        <v>28647</v>
      </c>
      <c r="P506" s="27">
        <f t="shared" si="65"/>
        <v>28647</v>
      </c>
      <c r="Q506" s="27">
        <f t="shared" si="60"/>
        <v>28647</v>
      </c>
      <c r="R506" s="27">
        <f>Q506/U506</f>
        <v>11.103488372093024</v>
      </c>
      <c r="S506" s="38">
        <f>Q506/U506</f>
        <v>11.103488372093024</v>
      </c>
      <c r="T506" s="38">
        <f>S506*AR506</f>
        <v>3331.046511627907</v>
      </c>
      <c r="U506" s="38">
        <f t="shared" si="64"/>
        <v>2580</v>
      </c>
      <c r="V506" s="38">
        <v>2580</v>
      </c>
      <c r="W506" s="38">
        <v>0</v>
      </c>
      <c r="X506" s="38">
        <v>0</v>
      </c>
      <c r="Y506" s="38">
        <v>0</v>
      </c>
      <c r="Z506" s="38">
        <f t="shared" si="62"/>
        <v>0</v>
      </c>
      <c r="AA506" s="38">
        <v>0</v>
      </c>
      <c r="AB506" s="38">
        <f t="shared" si="63"/>
        <v>0</v>
      </c>
      <c r="AC506" s="38">
        <f>U506/AR506</f>
        <v>8.6</v>
      </c>
      <c r="AD506" s="38">
        <f t="shared" si="66"/>
        <v>9</v>
      </c>
      <c r="AE506" s="33">
        <v>45413</v>
      </c>
      <c r="AF506" s="33"/>
      <c r="AG506" s="33"/>
      <c r="AH506" s="33">
        <v>45444</v>
      </c>
      <c r="AI506" s="33"/>
      <c r="AJ506" s="42"/>
      <c r="AK506" s="37" t="s">
        <v>1663</v>
      </c>
      <c r="AL506" s="37" t="s">
        <v>2746</v>
      </c>
      <c r="AM506" s="37" t="s">
        <v>2747</v>
      </c>
      <c r="AN506" s="37" t="s">
        <v>440</v>
      </c>
      <c r="AO506" s="43">
        <v>0</v>
      </c>
      <c r="AP506" s="35">
        <v>100</v>
      </c>
      <c r="AQ506" s="35" t="s">
        <v>164</v>
      </c>
      <c r="AR506" s="44">
        <v>300</v>
      </c>
      <c r="AS506" s="37" t="s">
        <v>52</v>
      </c>
    </row>
    <row r="507" spans="1:45" ht="43.5" customHeight="1" x14ac:dyDescent="0.25">
      <c r="A507" s="32" t="s">
        <v>2748</v>
      </c>
      <c r="B507" s="56">
        <v>45355</v>
      </c>
      <c r="C507" s="37" t="s">
        <v>2066</v>
      </c>
      <c r="D507" s="36"/>
      <c r="E507" s="1" t="s">
        <v>2749</v>
      </c>
      <c r="F507" s="33">
        <v>45369</v>
      </c>
      <c r="G507" s="35" t="s">
        <v>2750</v>
      </c>
      <c r="H507" s="37" t="s">
        <v>2589</v>
      </c>
      <c r="I507" s="58" t="s">
        <v>2751</v>
      </c>
      <c r="J507" s="57">
        <v>82966.8</v>
      </c>
      <c r="K507" s="40">
        <f>((J507-M507)/J507)*100</f>
        <v>2.1695425158050089E-3</v>
      </c>
      <c r="L507" s="41">
        <f>J507-M507</f>
        <v>1.8000000000029104</v>
      </c>
      <c r="M507" s="38">
        <v>82965</v>
      </c>
      <c r="N507" s="41">
        <f>J507-O507</f>
        <v>1.8000000000029104</v>
      </c>
      <c r="O507" s="38">
        <v>82965</v>
      </c>
      <c r="P507" s="27">
        <f t="shared" si="65"/>
        <v>82965</v>
      </c>
      <c r="Q507" s="27">
        <f t="shared" si="60"/>
        <v>82965</v>
      </c>
      <c r="R507" s="27">
        <f>Q507/U507</f>
        <v>56.438775510204081</v>
      </c>
      <c r="S507" s="38">
        <f>Q507/U507</f>
        <v>56.438775510204081</v>
      </c>
      <c r="T507" s="38">
        <f>S507*AR507</f>
        <v>3386.3265306122448</v>
      </c>
      <c r="U507" s="38">
        <f t="shared" si="64"/>
        <v>1470</v>
      </c>
      <c r="V507" s="38">
        <v>1470</v>
      </c>
      <c r="W507" s="38">
        <v>0</v>
      </c>
      <c r="X507" s="38">
        <v>0</v>
      </c>
      <c r="Y507" s="38">
        <v>0</v>
      </c>
      <c r="Z507" s="38">
        <f t="shared" si="62"/>
        <v>0</v>
      </c>
      <c r="AA507" s="38">
        <v>0</v>
      </c>
      <c r="AB507" s="38">
        <f t="shared" si="63"/>
        <v>0</v>
      </c>
      <c r="AC507" s="38">
        <f>U507/AR507</f>
        <v>24.5</v>
      </c>
      <c r="AD507" s="38">
        <f t="shared" si="66"/>
        <v>25</v>
      </c>
      <c r="AE507" s="33">
        <v>45444</v>
      </c>
      <c r="AF507" s="33"/>
      <c r="AG507" s="33"/>
      <c r="AH507" s="33">
        <v>45474</v>
      </c>
      <c r="AI507" s="33"/>
      <c r="AJ507" s="42"/>
      <c r="AK507" s="37" t="s">
        <v>1663</v>
      </c>
      <c r="AL507" s="37" t="s">
        <v>1664</v>
      </c>
      <c r="AM507" s="37" t="s">
        <v>1665</v>
      </c>
      <c r="AN507" s="37" t="s">
        <v>174</v>
      </c>
      <c r="AO507" s="43">
        <v>0</v>
      </c>
      <c r="AP507" s="35">
        <v>100</v>
      </c>
      <c r="AQ507" s="35" t="s">
        <v>441</v>
      </c>
      <c r="AR507" s="44">
        <v>60</v>
      </c>
      <c r="AS507" s="37" t="s">
        <v>52</v>
      </c>
    </row>
    <row r="508" spans="1:45" ht="43.5" customHeight="1" x14ac:dyDescent="0.25">
      <c r="A508" s="32" t="s">
        <v>2752</v>
      </c>
      <c r="B508" s="56">
        <v>45355</v>
      </c>
      <c r="C508" s="35">
        <v>1416</v>
      </c>
      <c r="D508" s="36"/>
      <c r="E508" s="1" t="s">
        <v>2753</v>
      </c>
      <c r="F508" s="33">
        <v>45380</v>
      </c>
      <c r="G508" s="35" t="s">
        <v>2754</v>
      </c>
      <c r="H508" s="37" t="s">
        <v>314</v>
      </c>
      <c r="I508" s="58" t="s">
        <v>2740</v>
      </c>
      <c r="J508" s="57">
        <v>111288659.34</v>
      </c>
      <c r="K508" s="40">
        <f>((J508-M508)/J508)*100</f>
        <v>0</v>
      </c>
      <c r="L508" s="41">
        <f>J508-M508</f>
        <v>0</v>
      </c>
      <c r="M508" s="57">
        <v>111288659.34</v>
      </c>
      <c r="N508" s="41">
        <f>J508-O508</f>
        <v>0</v>
      </c>
      <c r="O508" s="57">
        <v>111288659.34</v>
      </c>
      <c r="P508" s="27">
        <f t="shared" si="65"/>
        <v>111288659.34</v>
      </c>
      <c r="Q508" s="27">
        <f t="shared" si="60"/>
        <v>111288659.34</v>
      </c>
      <c r="R508" s="27">
        <f>Q508/U508</f>
        <v>516.79239982353897</v>
      </c>
      <c r="S508" s="38">
        <f>Q508/U508</f>
        <v>516.79239982353897</v>
      </c>
      <c r="T508" s="38">
        <f>S508*AR508</f>
        <v>3100.7543989412338</v>
      </c>
      <c r="U508" s="38">
        <f t="shared" si="64"/>
        <v>215345</v>
      </c>
      <c r="V508" s="38">
        <v>215345</v>
      </c>
      <c r="W508" s="38">
        <v>0</v>
      </c>
      <c r="X508" s="38">
        <v>0</v>
      </c>
      <c r="Y508" s="38">
        <v>0</v>
      </c>
      <c r="Z508" s="38">
        <f t="shared" si="62"/>
        <v>0</v>
      </c>
      <c r="AA508" s="38">
        <v>215346</v>
      </c>
      <c r="AB508" s="38">
        <f t="shared" si="63"/>
        <v>111289176.13239983</v>
      </c>
      <c r="AC508" s="38">
        <f>U508/AR508</f>
        <v>35890.833333333336</v>
      </c>
      <c r="AD508" s="38">
        <f t="shared" si="66"/>
        <v>35891</v>
      </c>
      <c r="AE508" s="33">
        <v>45413</v>
      </c>
      <c r="AF508" s="33"/>
      <c r="AG508" s="33"/>
      <c r="AH508" s="33">
        <v>45444</v>
      </c>
      <c r="AI508" s="33"/>
      <c r="AJ508" s="42"/>
      <c r="AK508" s="37" t="s">
        <v>2755</v>
      </c>
      <c r="AL508" s="37" t="s">
        <v>2756</v>
      </c>
      <c r="AM508" s="37" t="s">
        <v>2757</v>
      </c>
      <c r="AN508" s="37" t="s">
        <v>50</v>
      </c>
      <c r="AO508" s="43">
        <v>100</v>
      </c>
      <c r="AP508" s="35">
        <v>0</v>
      </c>
      <c r="AQ508" s="35" t="s">
        <v>164</v>
      </c>
      <c r="AR508" s="44">
        <v>6</v>
      </c>
      <c r="AS508" s="37" t="s">
        <v>52</v>
      </c>
    </row>
    <row r="509" spans="1:45" ht="43.5" customHeight="1" x14ac:dyDescent="0.25">
      <c r="A509" s="32" t="s">
        <v>2758</v>
      </c>
      <c r="B509" s="56">
        <v>45355</v>
      </c>
      <c r="C509" s="37" t="s">
        <v>2066</v>
      </c>
      <c r="D509" s="35" t="s">
        <v>485</v>
      </c>
      <c r="E509" s="1" t="s">
        <v>2759</v>
      </c>
      <c r="F509" s="35" t="s">
        <v>485</v>
      </c>
      <c r="G509" s="35" t="s">
        <v>485</v>
      </c>
      <c r="H509" s="35" t="s">
        <v>485</v>
      </c>
      <c r="I509" s="58" t="s">
        <v>1577</v>
      </c>
      <c r="J509" s="57">
        <v>6564393</v>
      </c>
      <c r="K509" s="40">
        <f>((J509-M509)/J509)*100</f>
        <v>100</v>
      </c>
      <c r="L509" s="41">
        <f>J509-M509</f>
        <v>6564393</v>
      </c>
      <c r="M509" s="38"/>
      <c r="N509" s="41">
        <f>J509-O509</f>
        <v>6564393</v>
      </c>
      <c r="O509" s="38">
        <v>0</v>
      </c>
      <c r="P509" s="27">
        <f t="shared" si="65"/>
        <v>0</v>
      </c>
      <c r="Q509" s="27">
        <f t="shared" si="60"/>
        <v>0</v>
      </c>
      <c r="R509" s="27" t="e">
        <f>Q509/U509</f>
        <v>#DIV/0!</v>
      </c>
      <c r="S509" s="38" t="e">
        <f>Q509/U509</f>
        <v>#DIV/0!</v>
      </c>
      <c r="T509" s="38" t="e">
        <f>S509*AR509</f>
        <v>#DIV/0!</v>
      </c>
      <c r="U509" s="38">
        <f t="shared" si="64"/>
        <v>0</v>
      </c>
      <c r="V509" s="38">
        <v>0</v>
      </c>
      <c r="W509" s="38">
        <v>0</v>
      </c>
      <c r="X509" s="38">
        <v>0</v>
      </c>
      <c r="Y509" s="38"/>
      <c r="Z509" s="38" t="e">
        <f t="shared" si="62"/>
        <v>#DIV/0!</v>
      </c>
      <c r="AA509" s="38"/>
      <c r="AB509" s="38" t="e">
        <f t="shared" si="63"/>
        <v>#DIV/0!</v>
      </c>
      <c r="AC509" s="38" t="e">
        <f>U509/AR509</f>
        <v>#DIV/0!</v>
      </c>
      <c r="AD509" s="38" t="e">
        <f t="shared" si="66"/>
        <v>#DIV/0!</v>
      </c>
      <c r="AE509" s="33">
        <v>45413</v>
      </c>
      <c r="AF509" s="33"/>
      <c r="AG509" s="33"/>
      <c r="AH509" s="33"/>
      <c r="AI509" s="33"/>
      <c r="AJ509" s="42"/>
      <c r="AK509" s="37"/>
      <c r="AL509" s="37"/>
      <c r="AM509" s="37"/>
      <c r="AN509" s="37"/>
      <c r="AO509" s="43"/>
      <c r="AP509" s="35"/>
      <c r="AQ509" s="35"/>
      <c r="AR509" s="44"/>
      <c r="AS509" s="37" t="s">
        <v>485</v>
      </c>
    </row>
    <row r="510" spans="1:45" ht="43.5" customHeight="1" x14ac:dyDescent="0.25">
      <c r="A510" s="32" t="s">
        <v>2760</v>
      </c>
      <c r="B510" s="56">
        <v>45355</v>
      </c>
      <c r="C510" s="35" t="s">
        <v>2213</v>
      </c>
      <c r="D510" s="36"/>
      <c r="E510" s="1" t="s">
        <v>2761</v>
      </c>
      <c r="F510" s="33">
        <v>45369</v>
      </c>
      <c r="G510" s="35" t="s">
        <v>2762</v>
      </c>
      <c r="H510" s="37" t="s">
        <v>719</v>
      </c>
      <c r="I510" s="58" t="s">
        <v>2763</v>
      </c>
      <c r="J510" s="57">
        <v>4577910.4800000004</v>
      </c>
      <c r="K510" s="40">
        <f>((J510-M510)/J510)*100</f>
        <v>0</v>
      </c>
      <c r="L510" s="41">
        <f>J510-M510</f>
        <v>0</v>
      </c>
      <c r="M510" s="57">
        <v>4577910.4800000004</v>
      </c>
      <c r="N510" s="41">
        <f>J510-O510</f>
        <v>0</v>
      </c>
      <c r="O510" s="57">
        <v>4577910.4800000004</v>
      </c>
      <c r="P510" s="27">
        <f t="shared" si="65"/>
        <v>4577910.4800000004</v>
      </c>
      <c r="Q510" s="27">
        <f t="shared" si="60"/>
        <v>4577910.4800000004</v>
      </c>
      <c r="R510" s="27">
        <f>Q510/U510</f>
        <v>63582.090000000004</v>
      </c>
      <c r="S510" s="38">
        <f>Q510/U510</f>
        <v>63582.090000000004</v>
      </c>
      <c r="T510" s="38">
        <f>S510*AR510</f>
        <v>190746.27000000002</v>
      </c>
      <c r="U510" s="38">
        <f t="shared" si="64"/>
        <v>72</v>
      </c>
      <c r="V510" s="38">
        <v>72</v>
      </c>
      <c r="W510" s="38">
        <v>0</v>
      </c>
      <c r="X510" s="38">
        <v>0</v>
      </c>
      <c r="Y510" s="38">
        <v>72</v>
      </c>
      <c r="Z510" s="38">
        <f t="shared" si="62"/>
        <v>4577910.4800000004</v>
      </c>
      <c r="AA510" s="38">
        <v>0</v>
      </c>
      <c r="AB510" s="38">
        <f t="shared" si="63"/>
        <v>0</v>
      </c>
      <c r="AC510" s="38">
        <f>U510/AR510</f>
        <v>24</v>
      </c>
      <c r="AD510" s="38">
        <f t="shared" si="66"/>
        <v>24</v>
      </c>
      <c r="AE510" s="33">
        <v>45413</v>
      </c>
      <c r="AF510" s="33"/>
      <c r="AG510" s="33"/>
      <c r="AH510" s="33">
        <v>45444</v>
      </c>
      <c r="AI510" s="33"/>
      <c r="AJ510" s="42"/>
      <c r="AK510" s="37" t="s">
        <v>1954</v>
      </c>
      <c r="AL510" s="37" t="s">
        <v>2764</v>
      </c>
      <c r="AM510" s="37" t="s">
        <v>1956</v>
      </c>
      <c r="AN510" s="37" t="s">
        <v>174</v>
      </c>
      <c r="AO510" s="43">
        <v>0</v>
      </c>
      <c r="AP510" s="35">
        <v>100</v>
      </c>
      <c r="AQ510" s="35" t="s">
        <v>164</v>
      </c>
      <c r="AR510" s="44">
        <v>3</v>
      </c>
      <c r="AS510" s="37" t="s">
        <v>52</v>
      </c>
    </row>
    <row r="511" spans="1:45" ht="43.5" customHeight="1" x14ac:dyDescent="0.25">
      <c r="A511" s="32" t="s">
        <v>2765</v>
      </c>
      <c r="B511" s="56">
        <v>45355</v>
      </c>
      <c r="C511" s="35" t="s">
        <v>2213</v>
      </c>
      <c r="D511" s="36"/>
      <c r="E511" s="1" t="s">
        <v>2766</v>
      </c>
      <c r="F511" s="33">
        <v>45369</v>
      </c>
      <c r="G511" s="35" t="s">
        <v>2767</v>
      </c>
      <c r="H511" s="37" t="s">
        <v>719</v>
      </c>
      <c r="I511" s="59" t="s">
        <v>1547</v>
      </c>
      <c r="J511" s="57">
        <v>151357.79999999999</v>
      </c>
      <c r="K511" s="40">
        <f>((J511-M511)/J511)*100</f>
        <v>0</v>
      </c>
      <c r="L511" s="41">
        <f>J511-M511</f>
        <v>0</v>
      </c>
      <c r="M511" s="57">
        <v>151357.79999999999</v>
      </c>
      <c r="N511" s="41">
        <f>J511-O511</f>
        <v>0</v>
      </c>
      <c r="O511" s="57">
        <v>151357.79999999999</v>
      </c>
      <c r="P511" s="27">
        <f t="shared" si="65"/>
        <v>151357.79999999999</v>
      </c>
      <c r="Q511" s="27">
        <f t="shared" si="60"/>
        <v>151357.79999999999</v>
      </c>
      <c r="R511" s="27">
        <f>Q511/U511</f>
        <v>132.76999999999998</v>
      </c>
      <c r="S511" s="38">
        <f>Q511/U511</f>
        <v>132.76999999999998</v>
      </c>
      <c r="T511" s="38">
        <f>S511*AR511</f>
        <v>7966.1999999999989</v>
      </c>
      <c r="U511" s="38">
        <f t="shared" si="64"/>
        <v>1140</v>
      </c>
      <c r="V511" s="38">
        <v>1140</v>
      </c>
      <c r="W511" s="38">
        <v>0</v>
      </c>
      <c r="X511" s="38">
        <v>0</v>
      </c>
      <c r="Y511" s="38">
        <v>0</v>
      </c>
      <c r="Z511" s="38">
        <f t="shared" si="62"/>
        <v>0</v>
      </c>
      <c r="AA511" s="38">
        <v>1140</v>
      </c>
      <c r="AB511" s="38">
        <f t="shared" si="63"/>
        <v>151357.79999999999</v>
      </c>
      <c r="AC511" s="38">
        <f>U511/AR511</f>
        <v>19</v>
      </c>
      <c r="AD511" s="38">
        <f t="shared" si="66"/>
        <v>19</v>
      </c>
      <c r="AE511" s="33">
        <v>45413</v>
      </c>
      <c r="AF511" s="33"/>
      <c r="AG511" s="33"/>
      <c r="AH511" s="33">
        <v>45444</v>
      </c>
      <c r="AI511" s="33"/>
      <c r="AJ511" s="42"/>
      <c r="AK511" s="37" t="s">
        <v>2768</v>
      </c>
      <c r="AL511" s="37" t="s">
        <v>2769</v>
      </c>
      <c r="AM511" s="37" t="s">
        <v>2770</v>
      </c>
      <c r="AN511" s="37" t="s">
        <v>50</v>
      </c>
      <c r="AO511" s="43">
        <v>100</v>
      </c>
      <c r="AP511" s="35">
        <v>0</v>
      </c>
      <c r="AQ511" s="35" t="s">
        <v>441</v>
      </c>
      <c r="AR511" s="44">
        <v>60</v>
      </c>
      <c r="AS511" s="37" t="s">
        <v>52</v>
      </c>
    </row>
    <row r="512" spans="1:45" ht="43.5" customHeight="1" x14ac:dyDescent="0.25">
      <c r="A512" s="32" t="s">
        <v>2771</v>
      </c>
      <c r="B512" s="56">
        <v>45355</v>
      </c>
      <c r="C512" s="35">
        <v>1416</v>
      </c>
      <c r="D512" s="35" t="s">
        <v>485</v>
      </c>
      <c r="E512" s="1" t="s">
        <v>2772</v>
      </c>
      <c r="F512" s="35" t="s">
        <v>485</v>
      </c>
      <c r="G512" s="35" t="s">
        <v>485</v>
      </c>
      <c r="H512" s="35" t="s">
        <v>485</v>
      </c>
      <c r="I512" s="58" t="s">
        <v>2773</v>
      </c>
      <c r="J512" s="57">
        <v>319463760</v>
      </c>
      <c r="K512" s="40">
        <f>((J512-M512)/J512)*100</f>
        <v>100</v>
      </c>
      <c r="L512" s="41">
        <f>J512-M512</f>
        <v>319463760</v>
      </c>
      <c r="M512" s="38"/>
      <c r="N512" s="41">
        <f>J512-O512</f>
        <v>319463760</v>
      </c>
      <c r="O512" s="38">
        <v>0</v>
      </c>
      <c r="P512" s="27">
        <f t="shared" si="65"/>
        <v>0</v>
      </c>
      <c r="Q512" s="27">
        <f t="shared" si="60"/>
        <v>0</v>
      </c>
      <c r="R512" s="27" t="e">
        <f>Q512/U512</f>
        <v>#DIV/0!</v>
      </c>
      <c r="S512" s="38" t="e">
        <f>Q512/U512</f>
        <v>#DIV/0!</v>
      </c>
      <c r="T512" s="38" t="e">
        <f>S512*AR512</f>
        <v>#DIV/0!</v>
      </c>
      <c r="U512" s="38">
        <f t="shared" si="64"/>
        <v>0</v>
      </c>
      <c r="V512" s="38">
        <v>0</v>
      </c>
      <c r="W512" s="38">
        <v>0</v>
      </c>
      <c r="X512" s="38">
        <v>0</v>
      </c>
      <c r="Y512" s="38"/>
      <c r="Z512" s="38" t="e">
        <f t="shared" si="62"/>
        <v>#DIV/0!</v>
      </c>
      <c r="AA512" s="38"/>
      <c r="AB512" s="38" t="e">
        <f t="shared" si="63"/>
        <v>#DIV/0!</v>
      </c>
      <c r="AC512" s="38" t="e">
        <f>U512/AR512</f>
        <v>#DIV/0!</v>
      </c>
      <c r="AD512" s="38" t="e">
        <f t="shared" si="66"/>
        <v>#DIV/0!</v>
      </c>
      <c r="AE512" s="33">
        <v>45444</v>
      </c>
      <c r="AF512" s="33"/>
      <c r="AG512" s="33"/>
      <c r="AH512" s="33"/>
      <c r="AI512" s="33"/>
      <c r="AJ512" s="42"/>
      <c r="AK512" s="37"/>
      <c r="AL512" s="37"/>
      <c r="AM512" s="37"/>
      <c r="AN512" s="37"/>
      <c r="AO512" s="43"/>
      <c r="AP512" s="35"/>
      <c r="AQ512" s="35"/>
      <c r="AR512" s="44"/>
      <c r="AS512" s="37" t="s">
        <v>485</v>
      </c>
    </row>
    <row r="513" spans="1:45" ht="43.5" customHeight="1" x14ac:dyDescent="0.25">
      <c r="A513" s="32" t="s">
        <v>2774</v>
      </c>
      <c r="B513" s="56">
        <v>45355</v>
      </c>
      <c r="C513" s="35" t="s">
        <v>548</v>
      </c>
      <c r="D513" s="35" t="s">
        <v>485</v>
      </c>
      <c r="E513" s="1" t="s">
        <v>2775</v>
      </c>
      <c r="F513" s="35" t="s">
        <v>485</v>
      </c>
      <c r="G513" s="35" t="s">
        <v>485</v>
      </c>
      <c r="H513" s="35" t="s">
        <v>485</v>
      </c>
      <c r="I513" s="58" t="s">
        <v>2776</v>
      </c>
      <c r="J513" s="57">
        <v>1751468.04</v>
      </c>
      <c r="K513" s="40">
        <f>((J513-M513)/J513)*100</f>
        <v>100</v>
      </c>
      <c r="L513" s="41">
        <f>J513-M513</f>
        <v>1751468.04</v>
      </c>
      <c r="M513" s="38"/>
      <c r="N513" s="41">
        <f>J513-O513</f>
        <v>1751468.04</v>
      </c>
      <c r="O513" s="38">
        <v>0</v>
      </c>
      <c r="P513" s="27">
        <f t="shared" si="65"/>
        <v>0</v>
      </c>
      <c r="Q513" s="27">
        <f t="shared" si="60"/>
        <v>0</v>
      </c>
      <c r="R513" s="27" t="e">
        <f>Q513/U513</f>
        <v>#DIV/0!</v>
      </c>
      <c r="S513" s="38" t="e">
        <f>Q513/U513</f>
        <v>#DIV/0!</v>
      </c>
      <c r="T513" s="38" t="e">
        <f>S513*AR513</f>
        <v>#DIV/0!</v>
      </c>
      <c r="U513" s="38">
        <f t="shared" si="64"/>
        <v>0</v>
      </c>
      <c r="V513" s="38">
        <v>0</v>
      </c>
      <c r="W513" s="38">
        <v>0</v>
      </c>
      <c r="X513" s="38">
        <v>0</v>
      </c>
      <c r="Y513" s="38"/>
      <c r="Z513" s="38" t="e">
        <f t="shared" si="62"/>
        <v>#DIV/0!</v>
      </c>
      <c r="AA513" s="38"/>
      <c r="AB513" s="38" t="e">
        <f t="shared" si="63"/>
        <v>#DIV/0!</v>
      </c>
      <c r="AC513" s="38" t="e">
        <f>U513/AR513</f>
        <v>#DIV/0!</v>
      </c>
      <c r="AD513" s="38" t="e">
        <f t="shared" si="66"/>
        <v>#DIV/0!</v>
      </c>
      <c r="AE513" s="33">
        <v>45413</v>
      </c>
      <c r="AF513" s="33"/>
      <c r="AG513" s="33"/>
      <c r="AH513" s="33"/>
      <c r="AI513" s="33"/>
      <c r="AJ513" s="42"/>
      <c r="AK513" s="37"/>
      <c r="AL513" s="37"/>
      <c r="AM513" s="37"/>
      <c r="AN513" s="37"/>
      <c r="AO513" s="43"/>
      <c r="AP513" s="35"/>
      <c r="AQ513" s="35"/>
      <c r="AR513" s="44"/>
      <c r="AS513" s="37" t="s">
        <v>485</v>
      </c>
    </row>
    <row r="514" spans="1:45" ht="43.5" customHeight="1" x14ac:dyDescent="0.25">
      <c r="A514" s="32" t="s">
        <v>2777</v>
      </c>
      <c r="B514" s="56">
        <v>45355</v>
      </c>
      <c r="C514" s="35">
        <v>1416</v>
      </c>
      <c r="D514" s="36"/>
      <c r="E514" s="1" t="s">
        <v>2778</v>
      </c>
      <c r="F514" s="33">
        <v>45384</v>
      </c>
      <c r="G514" s="35" t="s">
        <v>2779</v>
      </c>
      <c r="H514" s="37" t="s">
        <v>169</v>
      </c>
      <c r="I514" s="58" t="s">
        <v>1356</v>
      </c>
      <c r="J514" s="57">
        <v>560057594.70000005</v>
      </c>
      <c r="K514" s="40">
        <f>((J514-M514)/J514)*100</f>
        <v>0</v>
      </c>
      <c r="L514" s="41">
        <f>J514-M514</f>
        <v>0</v>
      </c>
      <c r="M514" s="57">
        <v>560057594.70000005</v>
      </c>
      <c r="N514" s="41">
        <f>J514-O514</f>
        <v>0</v>
      </c>
      <c r="O514" s="57">
        <v>560057594.70000005</v>
      </c>
      <c r="P514" s="27">
        <f t="shared" si="65"/>
        <v>560057594.70000005</v>
      </c>
      <c r="Q514" s="27">
        <f t="shared" si="65"/>
        <v>560057594.70000005</v>
      </c>
      <c r="R514" s="27">
        <f>Q514/U514</f>
        <v>554512.47000000009</v>
      </c>
      <c r="S514" s="38">
        <f>Q514/U514</f>
        <v>554512.47000000009</v>
      </c>
      <c r="T514" s="38">
        <f>S514*AR514</f>
        <v>554512.47000000009</v>
      </c>
      <c r="U514" s="38">
        <f t="shared" si="64"/>
        <v>1010</v>
      </c>
      <c r="V514" s="38">
        <v>1010</v>
      </c>
      <c r="W514" s="38">
        <v>0</v>
      </c>
      <c r="X514" s="38">
        <v>0</v>
      </c>
      <c r="Y514" s="38">
        <v>1010</v>
      </c>
      <c r="Z514" s="38">
        <f t="shared" si="62"/>
        <v>560057594.70000005</v>
      </c>
      <c r="AA514" s="38">
        <v>0</v>
      </c>
      <c r="AB514" s="38">
        <f t="shared" si="63"/>
        <v>0</v>
      </c>
      <c r="AC514" s="38">
        <f>U514/AR514</f>
        <v>1010</v>
      </c>
      <c r="AD514" s="38">
        <f t="shared" si="66"/>
        <v>1010</v>
      </c>
      <c r="AE514" s="33">
        <v>45413</v>
      </c>
      <c r="AF514" s="33"/>
      <c r="AG514" s="33"/>
      <c r="AH514" s="33">
        <v>45444</v>
      </c>
      <c r="AI514" s="33"/>
      <c r="AJ514" s="42"/>
      <c r="AK514" s="37" t="s">
        <v>2780</v>
      </c>
      <c r="AL514" s="37" t="s">
        <v>2781</v>
      </c>
      <c r="AM514" s="37" t="s">
        <v>2782</v>
      </c>
      <c r="AN514" s="37" t="s">
        <v>352</v>
      </c>
      <c r="AO514" s="43">
        <v>0</v>
      </c>
      <c r="AP514" s="35">
        <v>100</v>
      </c>
      <c r="AQ514" s="35" t="s">
        <v>164</v>
      </c>
      <c r="AR514" s="44">
        <v>1</v>
      </c>
      <c r="AS514" s="37" t="s">
        <v>52</v>
      </c>
    </row>
    <row r="515" spans="1:45" ht="43.5" customHeight="1" x14ac:dyDescent="0.25">
      <c r="A515" s="32" t="s">
        <v>2783</v>
      </c>
      <c r="B515" s="56">
        <v>45355</v>
      </c>
      <c r="C515" s="35">
        <v>1416</v>
      </c>
      <c r="D515" s="36"/>
      <c r="E515" s="1" t="s">
        <v>2784</v>
      </c>
      <c r="F515" s="33"/>
      <c r="G515" s="35"/>
      <c r="H515" s="37"/>
      <c r="I515" s="59" t="s">
        <v>898</v>
      </c>
      <c r="J515" s="57">
        <v>3015008.64</v>
      </c>
      <c r="K515" s="40">
        <f>((J515-M515)/J515)*100</f>
        <v>100</v>
      </c>
      <c r="L515" s="41">
        <f>J515-M515</f>
        <v>3015008.64</v>
      </c>
      <c r="M515" s="38"/>
      <c r="N515" s="41">
        <f>J515-O515</f>
        <v>3015008.64</v>
      </c>
      <c r="O515" s="38">
        <v>0</v>
      </c>
      <c r="P515" s="27">
        <f t="shared" ref="P515:Q545" si="67">O515</f>
        <v>0</v>
      </c>
      <c r="Q515" s="27">
        <f t="shared" si="67"/>
        <v>0</v>
      </c>
      <c r="R515" s="27" t="e">
        <f>Q515/U515</f>
        <v>#DIV/0!</v>
      </c>
      <c r="S515" s="38" t="e">
        <f>Q515/U515</f>
        <v>#DIV/0!</v>
      </c>
      <c r="T515" s="38" t="e">
        <f>S515*AR515</f>
        <v>#DIV/0!</v>
      </c>
      <c r="U515" s="38">
        <f t="shared" si="64"/>
        <v>0</v>
      </c>
      <c r="V515" s="38">
        <v>0</v>
      </c>
      <c r="W515" s="38">
        <v>0</v>
      </c>
      <c r="X515" s="38">
        <v>0</v>
      </c>
      <c r="Y515" s="38"/>
      <c r="Z515" s="38" t="e">
        <f t="shared" si="62"/>
        <v>#DIV/0!</v>
      </c>
      <c r="AA515" s="38"/>
      <c r="AB515" s="38" t="e">
        <f t="shared" si="63"/>
        <v>#DIV/0!</v>
      </c>
      <c r="AC515" s="38" t="e">
        <f>U515/AR515</f>
        <v>#DIV/0!</v>
      </c>
      <c r="AD515" s="38" t="e">
        <f t="shared" si="66"/>
        <v>#DIV/0!</v>
      </c>
      <c r="AE515" s="33">
        <v>45413</v>
      </c>
      <c r="AF515" s="33"/>
      <c r="AG515" s="33"/>
      <c r="AH515" s="33"/>
      <c r="AI515" s="33"/>
      <c r="AJ515" s="42"/>
      <c r="AK515" s="37"/>
      <c r="AL515" s="37"/>
      <c r="AM515" s="37"/>
      <c r="AN515" s="37"/>
      <c r="AO515" s="43"/>
      <c r="AP515" s="35"/>
      <c r="AQ515" s="35"/>
      <c r="AR515" s="44"/>
      <c r="AS515" s="37"/>
    </row>
    <row r="516" spans="1:45" ht="43.5" customHeight="1" x14ac:dyDescent="0.25">
      <c r="A516" s="32" t="s">
        <v>2785</v>
      </c>
      <c r="B516" s="56">
        <v>45355</v>
      </c>
      <c r="C516" s="35" t="s">
        <v>1861</v>
      </c>
      <c r="D516" s="35" t="s">
        <v>485</v>
      </c>
      <c r="E516" s="1" t="s">
        <v>2786</v>
      </c>
      <c r="F516" s="35" t="s">
        <v>485</v>
      </c>
      <c r="G516" s="35" t="s">
        <v>485</v>
      </c>
      <c r="H516" s="35" t="s">
        <v>485</v>
      </c>
      <c r="I516" s="58" t="s">
        <v>2787</v>
      </c>
      <c r="J516" s="57">
        <v>3677355</v>
      </c>
      <c r="K516" s="40">
        <f>((J516-M516)/J516)*100</f>
        <v>100</v>
      </c>
      <c r="L516" s="41">
        <f>J516-M516</f>
        <v>3677355</v>
      </c>
      <c r="M516" s="38"/>
      <c r="N516" s="41">
        <f>J516-O516</f>
        <v>3677355</v>
      </c>
      <c r="O516" s="38">
        <v>0</v>
      </c>
      <c r="P516" s="27">
        <f t="shared" si="67"/>
        <v>0</v>
      </c>
      <c r="Q516" s="27">
        <f t="shared" si="67"/>
        <v>0</v>
      </c>
      <c r="R516" s="27" t="e">
        <f>Q516/U516</f>
        <v>#DIV/0!</v>
      </c>
      <c r="S516" s="38" t="e">
        <f>Q516/U516</f>
        <v>#DIV/0!</v>
      </c>
      <c r="T516" s="38" t="e">
        <f>S516*AR516</f>
        <v>#DIV/0!</v>
      </c>
      <c r="U516" s="38">
        <f t="shared" si="64"/>
        <v>0</v>
      </c>
      <c r="V516" s="38">
        <v>0</v>
      </c>
      <c r="W516" s="38">
        <v>0</v>
      </c>
      <c r="X516" s="38">
        <v>0</v>
      </c>
      <c r="Y516" s="38"/>
      <c r="Z516" s="38" t="e">
        <f t="shared" si="62"/>
        <v>#DIV/0!</v>
      </c>
      <c r="AA516" s="38"/>
      <c r="AB516" s="38" t="e">
        <f t="shared" si="63"/>
        <v>#DIV/0!</v>
      </c>
      <c r="AC516" s="38" t="e">
        <f>U516/AR516</f>
        <v>#DIV/0!</v>
      </c>
      <c r="AD516" s="38" t="e">
        <f t="shared" si="66"/>
        <v>#DIV/0!</v>
      </c>
      <c r="AE516" s="33">
        <v>45383</v>
      </c>
      <c r="AF516" s="33"/>
      <c r="AG516" s="33"/>
      <c r="AH516" s="33"/>
      <c r="AI516" s="33"/>
      <c r="AJ516" s="42"/>
      <c r="AK516" s="37"/>
      <c r="AL516" s="37"/>
      <c r="AM516" s="37"/>
      <c r="AN516" s="37"/>
      <c r="AO516" s="43"/>
      <c r="AP516" s="35"/>
      <c r="AQ516" s="35"/>
      <c r="AR516" s="44"/>
      <c r="AS516" s="37" t="s">
        <v>485</v>
      </c>
    </row>
    <row r="517" spans="1:45" ht="43.5" customHeight="1" x14ac:dyDescent="0.25">
      <c r="A517" s="32" t="s">
        <v>2788</v>
      </c>
      <c r="B517" s="56">
        <v>45355</v>
      </c>
      <c r="C517" s="35" t="s">
        <v>1861</v>
      </c>
      <c r="D517" s="35" t="s">
        <v>485</v>
      </c>
      <c r="E517" s="1" t="s">
        <v>2789</v>
      </c>
      <c r="F517" s="35" t="s">
        <v>485</v>
      </c>
      <c r="G517" s="35" t="s">
        <v>485</v>
      </c>
      <c r="H517" s="35" t="s">
        <v>485</v>
      </c>
      <c r="I517" s="58" t="s">
        <v>2790</v>
      </c>
      <c r="J517" s="57">
        <v>22449571.199999999</v>
      </c>
      <c r="K517" s="40">
        <f>((J517-M517)/J517)*100</f>
        <v>100</v>
      </c>
      <c r="L517" s="41">
        <f>J517-M517</f>
        <v>22449571.199999999</v>
      </c>
      <c r="M517" s="38"/>
      <c r="N517" s="41">
        <f>J517-O517</f>
        <v>22449571.199999999</v>
      </c>
      <c r="O517" s="38">
        <v>0</v>
      </c>
      <c r="P517" s="27">
        <f t="shared" si="67"/>
        <v>0</v>
      </c>
      <c r="Q517" s="27">
        <f t="shared" si="67"/>
        <v>0</v>
      </c>
      <c r="R517" s="27" t="e">
        <f>Q517/U517</f>
        <v>#DIV/0!</v>
      </c>
      <c r="S517" s="38" t="e">
        <f>Q517/U517</f>
        <v>#DIV/0!</v>
      </c>
      <c r="T517" s="38" t="e">
        <f>S517*AR517</f>
        <v>#DIV/0!</v>
      </c>
      <c r="U517" s="38">
        <f t="shared" si="64"/>
        <v>0</v>
      </c>
      <c r="V517" s="38">
        <v>0</v>
      </c>
      <c r="W517" s="38">
        <v>0</v>
      </c>
      <c r="X517" s="38">
        <v>0</v>
      </c>
      <c r="Y517" s="38"/>
      <c r="Z517" s="38" t="e">
        <f t="shared" si="62"/>
        <v>#DIV/0!</v>
      </c>
      <c r="AA517" s="38"/>
      <c r="AB517" s="38" t="e">
        <f t="shared" si="63"/>
        <v>#DIV/0!</v>
      </c>
      <c r="AC517" s="38" t="e">
        <f>U517/AR517</f>
        <v>#DIV/0!</v>
      </c>
      <c r="AD517" s="38" t="e">
        <f t="shared" si="66"/>
        <v>#DIV/0!</v>
      </c>
      <c r="AE517" s="33">
        <v>45383</v>
      </c>
      <c r="AF517" s="33"/>
      <c r="AG517" s="33"/>
      <c r="AH517" s="33"/>
      <c r="AI517" s="33"/>
      <c r="AJ517" s="42"/>
      <c r="AK517" s="37"/>
      <c r="AL517" s="37"/>
      <c r="AM517" s="37"/>
      <c r="AN517" s="37"/>
      <c r="AO517" s="43"/>
      <c r="AP517" s="35"/>
      <c r="AQ517" s="35"/>
      <c r="AR517" s="44"/>
      <c r="AS517" s="37" t="s">
        <v>485</v>
      </c>
    </row>
    <row r="518" spans="1:45" ht="43.5" customHeight="1" x14ac:dyDescent="0.25">
      <c r="A518" s="32" t="s">
        <v>2791</v>
      </c>
      <c r="B518" s="56">
        <v>45357</v>
      </c>
      <c r="C518" s="35">
        <v>545</v>
      </c>
      <c r="D518" s="36"/>
      <c r="E518" s="1" t="s">
        <v>2792</v>
      </c>
      <c r="F518" s="33">
        <v>45380</v>
      </c>
      <c r="G518" s="35" t="s">
        <v>2793</v>
      </c>
      <c r="H518" s="37" t="s">
        <v>331</v>
      </c>
      <c r="I518" s="59" t="s">
        <v>2794</v>
      </c>
      <c r="J518" s="57">
        <v>13553495.1</v>
      </c>
      <c r="K518" s="40">
        <f>((J518-M518)/J518)*100</f>
        <v>0</v>
      </c>
      <c r="L518" s="41">
        <f>J518-M518</f>
        <v>0</v>
      </c>
      <c r="M518" s="57">
        <v>13553495.1</v>
      </c>
      <c r="N518" s="41">
        <f>J518-O518</f>
        <v>0</v>
      </c>
      <c r="O518" s="57">
        <v>13553495.1</v>
      </c>
      <c r="P518" s="27">
        <v>17292390.300000001</v>
      </c>
      <c r="Q518" s="27">
        <f t="shared" si="67"/>
        <v>17292390.300000001</v>
      </c>
      <c r="R518" s="27">
        <f>Q518/U518</f>
        <v>5192.91</v>
      </c>
      <c r="S518" s="38">
        <f>Q518/U518</f>
        <v>5192.91</v>
      </c>
      <c r="T518" s="38">
        <f>S518*AR518</f>
        <v>467361.89999999997</v>
      </c>
      <c r="U518" s="38">
        <f t="shared" si="64"/>
        <v>3330</v>
      </c>
      <c r="V518" s="38">
        <f>2610+720</f>
        <v>3330</v>
      </c>
      <c r="W518" s="38">
        <v>0</v>
      </c>
      <c r="X518" s="38">
        <v>0</v>
      </c>
      <c r="Y518" s="38">
        <v>0</v>
      </c>
      <c r="Z518" s="38">
        <f t="shared" si="62"/>
        <v>0</v>
      </c>
      <c r="AA518" s="38">
        <v>2610</v>
      </c>
      <c r="AB518" s="38">
        <f t="shared" si="63"/>
        <v>13553495.1</v>
      </c>
      <c r="AC518" s="38">
        <f>U518/AR518</f>
        <v>37</v>
      </c>
      <c r="AD518" s="38">
        <f t="shared" si="66"/>
        <v>37</v>
      </c>
      <c r="AE518" s="33">
        <v>45397</v>
      </c>
      <c r="AF518" s="33"/>
      <c r="AG518" s="33"/>
      <c r="AH518" s="33">
        <v>45427</v>
      </c>
      <c r="AI518" s="33"/>
      <c r="AJ518" s="42"/>
      <c r="AK518" s="37" t="s">
        <v>701</v>
      </c>
      <c r="AL518" s="37" t="s">
        <v>702</v>
      </c>
      <c r="AM518" s="37" t="s">
        <v>703</v>
      </c>
      <c r="AN518" s="37" t="s">
        <v>440</v>
      </c>
      <c r="AO518" s="43">
        <v>0</v>
      </c>
      <c r="AP518" s="35">
        <v>100</v>
      </c>
      <c r="AQ518" s="35" t="s">
        <v>441</v>
      </c>
      <c r="AR518" s="44">
        <v>90</v>
      </c>
      <c r="AS518" s="37" t="s">
        <v>52</v>
      </c>
    </row>
    <row r="519" spans="1:45" ht="43.5" customHeight="1" x14ac:dyDescent="0.25">
      <c r="A519" s="32" t="s">
        <v>2795</v>
      </c>
      <c r="B519" s="56">
        <v>45357</v>
      </c>
      <c r="C519" s="35">
        <v>1416</v>
      </c>
      <c r="D519" s="36"/>
      <c r="E519" s="1" t="s">
        <v>2796</v>
      </c>
      <c r="F519" s="33">
        <v>45387</v>
      </c>
      <c r="G519" s="35" t="s">
        <v>2797</v>
      </c>
      <c r="H519" s="37" t="s">
        <v>219</v>
      </c>
      <c r="I519" s="58" t="s">
        <v>1158</v>
      </c>
      <c r="J519" s="57">
        <v>484654854.60000002</v>
      </c>
      <c r="K519" s="40">
        <f>((J519-M519)/J519)*100</f>
        <v>0</v>
      </c>
      <c r="L519" s="41">
        <f>J519-M519</f>
        <v>0</v>
      </c>
      <c r="M519" s="57">
        <v>484654854.60000002</v>
      </c>
      <c r="N519" s="41">
        <f>J519-O519</f>
        <v>0</v>
      </c>
      <c r="O519" s="57">
        <v>484654854.60000002</v>
      </c>
      <c r="P519" s="27">
        <f t="shared" si="67"/>
        <v>484654854.60000002</v>
      </c>
      <c r="Q519" s="27">
        <f t="shared" si="67"/>
        <v>484654854.60000002</v>
      </c>
      <c r="R519" s="27">
        <f>Q519/U519</f>
        <v>401.58000000000004</v>
      </c>
      <c r="S519" s="38">
        <f>Q519/U519</f>
        <v>401.58000000000004</v>
      </c>
      <c r="T519" s="38">
        <f>S519*AR519</f>
        <v>6023.7000000000007</v>
      </c>
      <c r="U519" s="38">
        <f t="shared" si="64"/>
        <v>1206870</v>
      </c>
      <c r="V519" s="38">
        <f>820515+386355</f>
        <v>1206870</v>
      </c>
      <c r="W519" s="38">
        <v>0</v>
      </c>
      <c r="X519" s="38">
        <v>0</v>
      </c>
      <c r="Y519" s="38">
        <v>820515</v>
      </c>
      <c r="Z519" s="38">
        <f t="shared" si="62"/>
        <v>329502413.70000005</v>
      </c>
      <c r="AA519" s="38">
        <v>386355</v>
      </c>
      <c r="AB519" s="38">
        <f t="shared" si="63"/>
        <v>155152440.90000001</v>
      </c>
      <c r="AC519" s="38">
        <f>U519/AR519</f>
        <v>80458</v>
      </c>
      <c r="AD519" s="38">
        <f t="shared" si="66"/>
        <v>80458</v>
      </c>
      <c r="AE519" s="33">
        <v>45520</v>
      </c>
      <c r="AF519" s="33"/>
      <c r="AG519" s="33"/>
      <c r="AH519" s="33">
        <v>45551</v>
      </c>
      <c r="AI519" s="33"/>
      <c r="AJ519" s="42"/>
      <c r="AK519" s="37" t="s">
        <v>2798</v>
      </c>
      <c r="AL519" s="37" t="s">
        <v>2799</v>
      </c>
      <c r="AM519" s="37" t="s">
        <v>2800</v>
      </c>
      <c r="AN519" s="37" t="s">
        <v>50</v>
      </c>
      <c r="AO519" s="43">
        <v>100</v>
      </c>
      <c r="AP519" s="35">
        <v>0</v>
      </c>
      <c r="AQ519" s="35" t="s">
        <v>164</v>
      </c>
      <c r="AR519" s="44">
        <v>15</v>
      </c>
      <c r="AS519" s="37" t="s">
        <v>52</v>
      </c>
    </row>
    <row r="520" spans="1:45" ht="43.5" customHeight="1" x14ac:dyDescent="0.25">
      <c r="A520" s="32" t="s">
        <v>2801</v>
      </c>
      <c r="B520" s="56">
        <v>45357</v>
      </c>
      <c r="C520" s="35" t="s">
        <v>2213</v>
      </c>
      <c r="D520" s="36"/>
      <c r="E520" s="1" t="s">
        <v>2802</v>
      </c>
      <c r="F520" s="33">
        <v>45370</v>
      </c>
      <c r="G520" s="35" t="s">
        <v>2803</v>
      </c>
      <c r="H520" s="37" t="s">
        <v>2589</v>
      </c>
      <c r="I520" s="58" t="s">
        <v>1971</v>
      </c>
      <c r="J520" s="57">
        <v>35612.5</v>
      </c>
      <c r="K520" s="40">
        <f>((J520-M520)/J520)*100</f>
        <v>1.2987012987012987</v>
      </c>
      <c r="L520" s="41">
        <f>J520-M520</f>
        <v>462.5</v>
      </c>
      <c r="M520" s="38">
        <v>35150</v>
      </c>
      <c r="N520" s="41">
        <f>J520-O520</f>
        <v>462.5</v>
      </c>
      <c r="O520" s="38">
        <v>35150</v>
      </c>
      <c r="P520" s="27">
        <f t="shared" si="67"/>
        <v>35150</v>
      </c>
      <c r="Q520" s="27">
        <f t="shared" si="67"/>
        <v>35150</v>
      </c>
      <c r="R520" s="27">
        <f>Q520/U520</f>
        <v>19</v>
      </c>
      <c r="S520" s="38">
        <f>Q520/U520</f>
        <v>19</v>
      </c>
      <c r="T520" s="38">
        <f>S520*AR520</f>
        <v>1900</v>
      </c>
      <c r="U520" s="38">
        <f t="shared" si="64"/>
        <v>1850</v>
      </c>
      <c r="V520" s="38">
        <v>1850</v>
      </c>
      <c r="W520" s="38">
        <v>0</v>
      </c>
      <c r="X520" s="38">
        <v>0</v>
      </c>
      <c r="Y520" s="38">
        <v>0</v>
      </c>
      <c r="Z520" s="38">
        <f t="shared" si="62"/>
        <v>0</v>
      </c>
      <c r="AA520" s="38">
        <v>1850</v>
      </c>
      <c r="AB520" s="38">
        <f t="shared" si="63"/>
        <v>35150</v>
      </c>
      <c r="AC520" s="38">
        <f>U520/AR520</f>
        <v>18.5</v>
      </c>
      <c r="AD520" s="38">
        <f t="shared" si="66"/>
        <v>19</v>
      </c>
      <c r="AE520" s="33">
        <v>45413</v>
      </c>
      <c r="AF520" s="33"/>
      <c r="AG520" s="33"/>
      <c r="AH520" s="33">
        <v>45444</v>
      </c>
      <c r="AI520" s="33"/>
      <c r="AJ520" s="42"/>
      <c r="AK520" s="37" t="s">
        <v>2804</v>
      </c>
      <c r="AL520" s="37" t="s">
        <v>2805</v>
      </c>
      <c r="AM520" s="37" t="s">
        <v>2806</v>
      </c>
      <c r="AN520" s="37" t="s">
        <v>50</v>
      </c>
      <c r="AO520" s="43">
        <v>100</v>
      </c>
      <c r="AP520" s="35">
        <v>0</v>
      </c>
      <c r="AQ520" s="35" t="s">
        <v>441</v>
      </c>
      <c r="AR520" s="44">
        <v>100</v>
      </c>
      <c r="AS520" s="37" t="s">
        <v>52</v>
      </c>
    </row>
    <row r="521" spans="1:45" ht="43.5" customHeight="1" x14ac:dyDescent="0.25">
      <c r="A521" s="32" t="s">
        <v>2807</v>
      </c>
      <c r="B521" s="56">
        <v>45357</v>
      </c>
      <c r="C521" s="35" t="s">
        <v>2213</v>
      </c>
      <c r="D521" s="36"/>
      <c r="E521" s="1" t="s">
        <v>2808</v>
      </c>
      <c r="F521" s="33">
        <v>45370</v>
      </c>
      <c r="G521" s="35" t="s">
        <v>2809</v>
      </c>
      <c r="H521" s="37" t="s">
        <v>1847</v>
      </c>
      <c r="I521" s="58" t="s">
        <v>2810</v>
      </c>
      <c r="J521" s="57">
        <v>2034306.6</v>
      </c>
      <c r="K521" s="40">
        <f>((J521-M521)/J521)*100</f>
        <v>9.1726586346469671E-3</v>
      </c>
      <c r="L521" s="41">
        <f>J521-M521</f>
        <v>186.60000000009313</v>
      </c>
      <c r="M521" s="38">
        <v>2034120</v>
      </c>
      <c r="N521" s="41">
        <f>J521-O521</f>
        <v>186.60000000009313</v>
      </c>
      <c r="O521" s="38">
        <v>2034120</v>
      </c>
      <c r="P521" s="27">
        <f t="shared" si="67"/>
        <v>2034120</v>
      </c>
      <c r="Q521" s="27">
        <f t="shared" si="67"/>
        <v>2034120</v>
      </c>
      <c r="R521" s="27">
        <f>Q521/U521</f>
        <v>60.774424858081865</v>
      </c>
      <c r="S521" s="38">
        <f>Q521/U521</f>
        <v>60.774424858081865</v>
      </c>
      <c r="T521" s="38">
        <f>S521*AR521</f>
        <v>6077.4424858081866</v>
      </c>
      <c r="U521" s="38">
        <f t="shared" si="64"/>
        <v>33470</v>
      </c>
      <c r="V521" s="38">
        <v>33470</v>
      </c>
      <c r="W521" s="38">
        <v>0</v>
      </c>
      <c r="X521" s="38">
        <v>0</v>
      </c>
      <c r="Y521" s="38">
        <v>0</v>
      </c>
      <c r="Z521" s="38">
        <f t="shared" si="62"/>
        <v>0</v>
      </c>
      <c r="AA521" s="38">
        <v>33470</v>
      </c>
      <c r="AB521" s="38">
        <f t="shared" si="63"/>
        <v>2034120</v>
      </c>
      <c r="AC521" s="38">
        <f>U521/AR521</f>
        <v>334.7</v>
      </c>
      <c r="AD521" s="38">
        <f t="shared" si="66"/>
        <v>335</v>
      </c>
      <c r="AE521" s="33">
        <v>45413</v>
      </c>
      <c r="AF521" s="33"/>
      <c r="AG521" s="33"/>
      <c r="AH521" s="33">
        <v>45444</v>
      </c>
      <c r="AI521" s="33"/>
      <c r="AJ521" s="42"/>
      <c r="AK521" s="37" t="s">
        <v>2649</v>
      </c>
      <c r="AL521" s="37" t="s">
        <v>2650</v>
      </c>
      <c r="AM521" s="37" t="s">
        <v>2651</v>
      </c>
      <c r="AN521" s="37" t="s">
        <v>50</v>
      </c>
      <c r="AO521" s="43">
        <v>100</v>
      </c>
      <c r="AP521" s="35">
        <v>0</v>
      </c>
      <c r="AQ521" s="35" t="s">
        <v>441</v>
      </c>
      <c r="AR521" s="44">
        <v>100</v>
      </c>
      <c r="AS521" s="37" t="s">
        <v>52</v>
      </c>
    </row>
    <row r="522" spans="1:45" ht="43.5" customHeight="1" x14ac:dyDescent="0.25">
      <c r="A522" s="32" t="s">
        <v>2811</v>
      </c>
      <c r="B522" s="56">
        <v>45357</v>
      </c>
      <c r="C522" s="35" t="s">
        <v>2213</v>
      </c>
      <c r="D522" s="36"/>
      <c r="E522" s="1" t="s">
        <v>2812</v>
      </c>
      <c r="F522" s="33">
        <v>45370</v>
      </c>
      <c r="G522" s="35" t="s">
        <v>2813</v>
      </c>
      <c r="H522" s="37" t="s">
        <v>1847</v>
      </c>
      <c r="I522" s="58" t="s">
        <v>1512</v>
      </c>
      <c r="J522" s="57">
        <v>252945</v>
      </c>
      <c r="K522" s="40">
        <f>((J522-M522)/J522)*100</f>
        <v>0</v>
      </c>
      <c r="L522" s="41">
        <f>J522-M522</f>
        <v>0</v>
      </c>
      <c r="M522" s="38">
        <v>252945</v>
      </c>
      <c r="N522" s="41">
        <f>J522-O522</f>
        <v>0</v>
      </c>
      <c r="O522" s="38">
        <v>252945</v>
      </c>
      <c r="P522" s="27">
        <f t="shared" si="67"/>
        <v>252945</v>
      </c>
      <c r="Q522" s="27">
        <f t="shared" si="67"/>
        <v>252945</v>
      </c>
      <c r="R522" s="27">
        <f>Q522/U522</f>
        <v>23.1</v>
      </c>
      <c r="S522" s="38">
        <f>Q522/U522</f>
        <v>23.1</v>
      </c>
      <c r="T522" s="38">
        <f>S522*AR522</f>
        <v>1155</v>
      </c>
      <c r="U522" s="38">
        <f t="shared" si="64"/>
        <v>10950</v>
      </c>
      <c r="V522" s="38">
        <f>1250+9700</f>
        <v>10950</v>
      </c>
      <c r="W522" s="38">
        <v>0</v>
      </c>
      <c r="X522" s="38">
        <v>0</v>
      </c>
      <c r="Y522" s="38">
        <v>1250</v>
      </c>
      <c r="Z522" s="38">
        <f t="shared" si="62"/>
        <v>28875</v>
      </c>
      <c r="AA522" s="38">
        <v>9700</v>
      </c>
      <c r="AB522" s="38">
        <f t="shared" si="63"/>
        <v>224070</v>
      </c>
      <c r="AC522" s="38">
        <f>U522/AR522</f>
        <v>219</v>
      </c>
      <c r="AD522" s="38">
        <f t="shared" si="66"/>
        <v>219</v>
      </c>
      <c r="AE522" s="33">
        <v>45413</v>
      </c>
      <c r="AF522" s="33"/>
      <c r="AG522" s="33"/>
      <c r="AH522" s="33">
        <v>45444</v>
      </c>
      <c r="AI522" s="33"/>
      <c r="AJ522" s="42"/>
      <c r="AK522" s="37" t="s">
        <v>918</v>
      </c>
      <c r="AL522" s="37" t="s">
        <v>1513</v>
      </c>
      <c r="AM522" s="37" t="s">
        <v>920</v>
      </c>
      <c r="AN522" s="37" t="s">
        <v>50</v>
      </c>
      <c r="AO522" s="43">
        <v>100</v>
      </c>
      <c r="AP522" s="35">
        <v>0</v>
      </c>
      <c r="AQ522" s="35" t="s">
        <v>441</v>
      </c>
      <c r="AR522" s="44">
        <v>50</v>
      </c>
      <c r="AS522" s="37" t="s">
        <v>52</v>
      </c>
    </row>
    <row r="523" spans="1:45" ht="43.5" customHeight="1" x14ac:dyDescent="0.25">
      <c r="A523" s="32" t="s">
        <v>2814</v>
      </c>
      <c r="B523" s="56">
        <v>45357</v>
      </c>
      <c r="C523" s="35" t="s">
        <v>2213</v>
      </c>
      <c r="D523" s="36"/>
      <c r="E523" s="1" t="s">
        <v>2815</v>
      </c>
      <c r="F523" s="33">
        <v>45370</v>
      </c>
      <c r="G523" s="35" t="s">
        <v>2816</v>
      </c>
      <c r="H523" s="37" t="s">
        <v>719</v>
      </c>
      <c r="I523" s="58" t="s">
        <v>1518</v>
      </c>
      <c r="J523" s="57">
        <v>1731600</v>
      </c>
      <c r="K523" s="40">
        <f>((J523-M523)/J523)*100</f>
        <v>0</v>
      </c>
      <c r="L523" s="41">
        <f>J523-M523</f>
        <v>0</v>
      </c>
      <c r="M523" s="38">
        <v>1731600</v>
      </c>
      <c r="N523" s="41">
        <f>J523-O523</f>
        <v>0</v>
      </c>
      <c r="O523" s="38">
        <v>1731600</v>
      </c>
      <c r="P523" s="27">
        <f t="shared" si="67"/>
        <v>1731600</v>
      </c>
      <c r="Q523" s="27">
        <f t="shared" si="67"/>
        <v>1731600</v>
      </c>
      <c r="R523" s="27">
        <f>Q523/U523</f>
        <v>24.05</v>
      </c>
      <c r="S523" s="38">
        <f>Q523/U523</f>
        <v>24.05</v>
      </c>
      <c r="T523" s="38">
        <f>S523*AR523</f>
        <v>24050</v>
      </c>
      <c r="U523" s="38">
        <f t="shared" si="64"/>
        <v>72000</v>
      </c>
      <c r="V523" s="38">
        <v>72000</v>
      </c>
      <c r="W523" s="38">
        <v>0</v>
      </c>
      <c r="X523" s="38">
        <v>0</v>
      </c>
      <c r="Y523" s="38">
        <v>72000</v>
      </c>
      <c r="Z523" s="38">
        <f t="shared" si="62"/>
        <v>1731600</v>
      </c>
      <c r="AA523" s="38">
        <v>0</v>
      </c>
      <c r="AB523" s="38">
        <f t="shared" si="63"/>
        <v>0</v>
      </c>
      <c r="AC523" s="38">
        <f>U523/AR523</f>
        <v>72</v>
      </c>
      <c r="AD523" s="38">
        <f t="shared" si="66"/>
        <v>72</v>
      </c>
      <c r="AE523" s="33">
        <v>45413</v>
      </c>
      <c r="AF523" s="33"/>
      <c r="AG523" s="33"/>
      <c r="AH523" s="33">
        <v>45444</v>
      </c>
      <c r="AI523" s="33"/>
      <c r="AJ523" s="42"/>
      <c r="AK523" s="37" t="s">
        <v>1519</v>
      </c>
      <c r="AL523" s="37" t="s">
        <v>2817</v>
      </c>
      <c r="AM523" s="37" t="s">
        <v>1521</v>
      </c>
      <c r="AN523" s="37" t="s">
        <v>724</v>
      </c>
      <c r="AO523" s="43">
        <v>0</v>
      </c>
      <c r="AP523" s="35">
        <v>100</v>
      </c>
      <c r="AQ523" s="35" t="s">
        <v>175</v>
      </c>
      <c r="AR523" s="44">
        <v>1000</v>
      </c>
      <c r="AS523" s="37" t="s">
        <v>52</v>
      </c>
    </row>
    <row r="524" spans="1:45" ht="43.5" customHeight="1" x14ac:dyDescent="0.25">
      <c r="A524" s="32" t="s">
        <v>2818</v>
      </c>
      <c r="B524" s="56">
        <v>45357</v>
      </c>
      <c r="C524" s="35" t="s">
        <v>2213</v>
      </c>
      <c r="D524" s="36"/>
      <c r="E524" s="1" t="s">
        <v>2819</v>
      </c>
      <c r="F524" s="33">
        <v>45370</v>
      </c>
      <c r="G524" s="35" t="s">
        <v>2820</v>
      </c>
      <c r="H524" s="37" t="s">
        <v>1847</v>
      </c>
      <c r="I524" s="58" t="s">
        <v>2821</v>
      </c>
      <c r="J524" s="57">
        <v>5162483.6100000003</v>
      </c>
      <c r="K524" s="40">
        <f>((J524-M524)/J524)*100</f>
        <v>3.3297926538908241E-4</v>
      </c>
      <c r="L524" s="41">
        <f>J524-M524</f>
        <v>17.190000000409782</v>
      </c>
      <c r="M524" s="38">
        <v>5162466.42</v>
      </c>
      <c r="N524" s="41">
        <f>J524-O524</f>
        <v>17.190000000409782</v>
      </c>
      <c r="O524" s="38">
        <v>5162466.42</v>
      </c>
      <c r="P524" s="27">
        <f t="shared" si="67"/>
        <v>5162466.42</v>
      </c>
      <c r="Q524" s="27">
        <f t="shared" si="67"/>
        <v>5162466.42</v>
      </c>
      <c r="R524" s="27">
        <f>Q524/U524</f>
        <v>6006.36</v>
      </c>
      <c r="S524" s="38">
        <f>Q524/U524</f>
        <v>6006.36</v>
      </c>
      <c r="T524" s="38">
        <f>S524*AR524</f>
        <v>9009.5399999999991</v>
      </c>
      <c r="U524" s="38">
        <f t="shared" si="64"/>
        <v>859.5</v>
      </c>
      <c r="V524" s="38">
        <v>859.5</v>
      </c>
      <c r="W524" s="38">
        <v>0</v>
      </c>
      <c r="X524" s="38">
        <v>0</v>
      </c>
      <c r="Y524" s="38">
        <v>0</v>
      </c>
      <c r="Z524" s="38">
        <f t="shared" ref="Z524:Z587" si="68">Y524*S524</f>
        <v>0</v>
      </c>
      <c r="AA524" s="38">
        <v>859.5</v>
      </c>
      <c r="AB524" s="38">
        <f t="shared" ref="AB524:AB587" si="69">AA524*S524</f>
        <v>5162466.42</v>
      </c>
      <c r="AC524" s="38">
        <f>U524/AR524</f>
        <v>573</v>
      </c>
      <c r="AD524" s="38">
        <f t="shared" si="66"/>
        <v>573</v>
      </c>
      <c r="AE524" s="33">
        <v>45413</v>
      </c>
      <c r="AF524" s="33"/>
      <c r="AG524" s="33"/>
      <c r="AH524" s="33">
        <v>45444</v>
      </c>
      <c r="AI524" s="33"/>
      <c r="AJ524" s="42"/>
      <c r="AK524" s="37" t="s">
        <v>212</v>
      </c>
      <c r="AL524" s="37" t="s">
        <v>2822</v>
      </c>
      <c r="AM524" s="37" t="s">
        <v>214</v>
      </c>
      <c r="AN524" s="37" t="s">
        <v>50</v>
      </c>
      <c r="AO524" s="43">
        <v>100</v>
      </c>
      <c r="AP524" s="35">
        <v>0</v>
      </c>
      <c r="AQ524" s="35" t="s">
        <v>164</v>
      </c>
      <c r="AR524" s="49">
        <v>1.5</v>
      </c>
      <c r="AS524" s="37" t="s">
        <v>52</v>
      </c>
    </row>
    <row r="525" spans="1:45" ht="43.5" customHeight="1" x14ac:dyDescent="0.25">
      <c r="A525" s="32" t="s">
        <v>2823</v>
      </c>
      <c r="B525" s="56">
        <v>45357</v>
      </c>
      <c r="C525" s="35">
        <v>1416</v>
      </c>
      <c r="D525" s="36"/>
      <c r="E525" s="1" t="s">
        <v>2824</v>
      </c>
      <c r="F525" s="33">
        <v>45380</v>
      </c>
      <c r="G525" s="35" t="s">
        <v>2825</v>
      </c>
      <c r="H525" s="37" t="s">
        <v>2176</v>
      </c>
      <c r="I525" s="58" t="s">
        <v>2826</v>
      </c>
      <c r="J525" s="57">
        <v>1180416.6399999999</v>
      </c>
      <c r="K525" s="40">
        <f>((J525-M525)/J525)*100</f>
        <v>0</v>
      </c>
      <c r="L525" s="41">
        <f>J525-M525</f>
        <v>0</v>
      </c>
      <c r="M525" s="57">
        <v>1180416.6399999999</v>
      </c>
      <c r="N525" s="41">
        <f>J525-O525</f>
        <v>0</v>
      </c>
      <c r="O525" s="57">
        <v>1180416.6399999999</v>
      </c>
      <c r="P525" s="27">
        <f t="shared" si="67"/>
        <v>1180416.6399999999</v>
      </c>
      <c r="Q525" s="27">
        <f t="shared" si="67"/>
        <v>1180416.6399999999</v>
      </c>
      <c r="R525" s="27">
        <f>Q525/U525</f>
        <v>18444.009999999998</v>
      </c>
      <c r="S525" s="38">
        <f>Q525/U525</f>
        <v>18444.009999999998</v>
      </c>
      <c r="T525" s="38">
        <f>S525*AR525</f>
        <v>36888.019999999997</v>
      </c>
      <c r="U525" s="38">
        <f t="shared" si="64"/>
        <v>64</v>
      </c>
      <c r="V525" s="38">
        <v>64</v>
      </c>
      <c r="W525" s="38">
        <v>0</v>
      </c>
      <c r="X525" s="38">
        <v>0</v>
      </c>
      <c r="Y525" s="38">
        <v>64</v>
      </c>
      <c r="Z525" s="38">
        <f t="shared" si="68"/>
        <v>1180416.6399999999</v>
      </c>
      <c r="AA525" s="38">
        <v>0</v>
      </c>
      <c r="AB525" s="38">
        <f t="shared" si="69"/>
        <v>0</v>
      </c>
      <c r="AC525" s="38">
        <f>U525/AR525</f>
        <v>32</v>
      </c>
      <c r="AD525" s="38">
        <f t="shared" si="66"/>
        <v>32</v>
      </c>
      <c r="AE525" s="33">
        <v>45413</v>
      </c>
      <c r="AF525" s="33"/>
      <c r="AG525" s="33"/>
      <c r="AH525" s="33">
        <v>45444</v>
      </c>
      <c r="AI525" s="33"/>
      <c r="AJ525" s="42"/>
      <c r="AK525" s="37" t="s">
        <v>2690</v>
      </c>
      <c r="AL525" s="37" t="s">
        <v>2827</v>
      </c>
      <c r="AM525" s="37" t="s">
        <v>2692</v>
      </c>
      <c r="AN525" s="37" t="s">
        <v>50</v>
      </c>
      <c r="AO525" s="43">
        <v>100</v>
      </c>
      <c r="AP525" s="35">
        <v>0</v>
      </c>
      <c r="AQ525" s="35" t="s">
        <v>441</v>
      </c>
      <c r="AR525" s="44">
        <v>2</v>
      </c>
      <c r="AS525" s="37" t="s">
        <v>52</v>
      </c>
    </row>
    <row r="526" spans="1:45" ht="43.5" customHeight="1" x14ac:dyDescent="0.25">
      <c r="A526" s="32" t="s">
        <v>2828</v>
      </c>
      <c r="B526" s="56">
        <v>45357</v>
      </c>
      <c r="C526" s="35">
        <v>1416</v>
      </c>
      <c r="D526" s="36"/>
      <c r="E526" s="1" t="s">
        <v>2829</v>
      </c>
      <c r="F526" s="33">
        <v>45380</v>
      </c>
      <c r="G526" s="35" t="s">
        <v>2830</v>
      </c>
      <c r="H526" s="37" t="s">
        <v>314</v>
      </c>
      <c r="I526" s="58" t="s">
        <v>2831</v>
      </c>
      <c r="J526" s="57">
        <v>4763072.16</v>
      </c>
      <c r="K526" s="40">
        <f>((J526-M526)/J526)*100</f>
        <v>0</v>
      </c>
      <c r="L526" s="41">
        <f>J526-M526</f>
        <v>0</v>
      </c>
      <c r="M526" s="57">
        <v>4763072.16</v>
      </c>
      <c r="N526" s="41">
        <f>J526-O526</f>
        <v>0</v>
      </c>
      <c r="O526" s="57">
        <v>4763072.16</v>
      </c>
      <c r="P526" s="27">
        <f t="shared" si="67"/>
        <v>4763072.16</v>
      </c>
      <c r="Q526" s="27">
        <f t="shared" si="67"/>
        <v>4763072.16</v>
      </c>
      <c r="R526" s="27">
        <f>Q526/U526</f>
        <v>3065.04</v>
      </c>
      <c r="S526" s="38">
        <f>Q526/U526</f>
        <v>3065.04</v>
      </c>
      <c r="T526" s="38">
        <f>S526*AR526</f>
        <v>4597.5599999999995</v>
      </c>
      <c r="U526" s="38">
        <f t="shared" si="64"/>
        <v>1554</v>
      </c>
      <c r="V526" s="38">
        <v>1554</v>
      </c>
      <c r="W526" s="38">
        <v>0</v>
      </c>
      <c r="X526" s="38">
        <v>0</v>
      </c>
      <c r="Y526" s="38">
        <v>1554</v>
      </c>
      <c r="Z526" s="38">
        <f t="shared" si="68"/>
        <v>4763072.16</v>
      </c>
      <c r="AA526" s="38">
        <v>0</v>
      </c>
      <c r="AB526" s="38">
        <f t="shared" si="69"/>
        <v>0</v>
      </c>
      <c r="AC526" s="38">
        <f>U526/AR526</f>
        <v>1036</v>
      </c>
      <c r="AD526" s="38">
        <f t="shared" si="66"/>
        <v>1036</v>
      </c>
      <c r="AE526" s="33">
        <v>45413</v>
      </c>
      <c r="AF526" s="33"/>
      <c r="AG526" s="33"/>
      <c r="AH526" s="33">
        <v>45444</v>
      </c>
      <c r="AI526" s="33"/>
      <c r="AJ526" s="42"/>
      <c r="AK526" s="37" t="s">
        <v>2832</v>
      </c>
      <c r="AL526" s="37" t="s">
        <v>2833</v>
      </c>
      <c r="AM526" s="37" t="s">
        <v>2834</v>
      </c>
      <c r="AN526" s="37" t="s">
        <v>50</v>
      </c>
      <c r="AO526" s="43">
        <v>100</v>
      </c>
      <c r="AP526" s="35">
        <v>0</v>
      </c>
      <c r="AQ526" s="35" t="s">
        <v>164</v>
      </c>
      <c r="AR526" s="49">
        <v>1.5</v>
      </c>
      <c r="AS526" s="37" t="s">
        <v>52</v>
      </c>
    </row>
    <row r="527" spans="1:45" ht="43.5" customHeight="1" x14ac:dyDescent="0.25">
      <c r="A527" s="32" t="s">
        <v>2835</v>
      </c>
      <c r="B527" s="56">
        <v>45357</v>
      </c>
      <c r="C527" s="35">
        <v>1416</v>
      </c>
      <c r="D527" s="36"/>
      <c r="E527" s="1" t="s">
        <v>2836</v>
      </c>
      <c r="F527" s="33">
        <v>45383</v>
      </c>
      <c r="G527" s="35" t="s">
        <v>2837</v>
      </c>
      <c r="H527" s="37" t="s">
        <v>169</v>
      </c>
      <c r="I527" s="58" t="s">
        <v>824</v>
      </c>
      <c r="J527" s="57">
        <v>109606640</v>
      </c>
      <c r="K527" s="40">
        <f>((J527-M527)/J527)*100</f>
        <v>0</v>
      </c>
      <c r="L527" s="41">
        <f>J527-M527</f>
        <v>0</v>
      </c>
      <c r="M527" s="57">
        <v>109606640</v>
      </c>
      <c r="N527" s="41">
        <f>J527-O527</f>
        <v>0</v>
      </c>
      <c r="O527" s="57">
        <v>109606640</v>
      </c>
      <c r="P527" s="27">
        <f t="shared" si="67"/>
        <v>109606640</v>
      </c>
      <c r="Q527" s="27">
        <f t="shared" si="67"/>
        <v>109606640</v>
      </c>
      <c r="R527" s="27">
        <f>Q527/U527</f>
        <v>29.48</v>
      </c>
      <c r="S527" s="38">
        <f>Q527/U527</f>
        <v>29.48</v>
      </c>
      <c r="T527" s="38">
        <f>S527*AR527</f>
        <v>11792</v>
      </c>
      <c r="U527" s="38">
        <f t="shared" si="64"/>
        <v>3718000</v>
      </c>
      <c r="V527" s="38">
        <v>3718000</v>
      </c>
      <c r="W527" s="38">
        <v>0</v>
      </c>
      <c r="X527" s="38">
        <v>0</v>
      </c>
      <c r="Y527" s="38">
        <v>3718000</v>
      </c>
      <c r="Z527" s="38">
        <f t="shared" si="68"/>
        <v>109606640</v>
      </c>
      <c r="AA527" s="38">
        <v>0</v>
      </c>
      <c r="AB527" s="38">
        <f t="shared" si="69"/>
        <v>0</v>
      </c>
      <c r="AC527" s="38">
        <f>U527/AR527</f>
        <v>9295</v>
      </c>
      <c r="AD527" s="38">
        <f t="shared" si="66"/>
        <v>9295</v>
      </c>
      <c r="AE527" s="33">
        <v>45474</v>
      </c>
      <c r="AF527" s="33"/>
      <c r="AG527" s="33"/>
      <c r="AH527" s="33">
        <v>45505</v>
      </c>
      <c r="AI527" s="33"/>
      <c r="AJ527" s="42"/>
      <c r="AK527" s="37" t="s">
        <v>2838</v>
      </c>
      <c r="AL527" s="37" t="s">
        <v>2839</v>
      </c>
      <c r="AM527" s="37" t="s">
        <v>1949</v>
      </c>
      <c r="AN527" s="37" t="s">
        <v>828</v>
      </c>
      <c r="AO527" s="43">
        <v>0</v>
      </c>
      <c r="AP527" s="35">
        <v>100</v>
      </c>
      <c r="AQ527" s="35" t="s">
        <v>175</v>
      </c>
      <c r="AR527" s="44">
        <v>400</v>
      </c>
      <c r="AS527" s="37" t="s">
        <v>52</v>
      </c>
    </row>
    <row r="528" spans="1:45" ht="43.5" customHeight="1" x14ac:dyDescent="0.25">
      <c r="A528" s="32" t="s">
        <v>2840</v>
      </c>
      <c r="B528" s="56">
        <v>45357</v>
      </c>
      <c r="C528" s="35">
        <v>1416</v>
      </c>
      <c r="D528" s="36"/>
      <c r="E528" s="1" t="s">
        <v>2841</v>
      </c>
      <c r="F528" s="33">
        <v>45380</v>
      </c>
      <c r="G528" s="35" t="s">
        <v>2842</v>
      </c>
      <c r="H528" s="37" t="s">
        <v>314</v>
      </c>
      <c r="I528" s="58" t="s">
        <v>2821</v>
      </c>
      <c r="J528" s="57">
        <v>45327146.670000002</v>
      </c>
      <c r="K528" s="40">
        <f>((J528-M528)/J528)*100</f>
        <v>0</v>
      </c>
      <c r="L528" s="41">
        <f>J528-M528</f>
        <v>0</v>
      </c>
      <c r="M528" s="57">
        <v>45327146.670000002</v>
      </c>
      <c r="N528" s="41">
        <f>J528-O528</f>
        <v>0</v>
      </c>
      <c r="O528" s="57">
        <v>45327146.670000002</v>
      </c>
      <c r="P528" s="27">
        <f t="shared" si="67"/>
        <v>45327146.670000002</v>
      </c>
      <c r="Q528" s="27">
        <f t="shared" si="67"/>
        <v>45327146.670000002</v>
      </c>
      <c r="R528" s="27">
        <f>Q528/U528</f>
        <v>6006.38</v>
      </c>
      <c r="S528" s="38">
        <f>Q528/U528</f>
        <v>6006.38</v>
      </c>
      <c r="T528" s="38">
        <f>S528*AR528</f>
        <v>9009.57</v>
      </c>
      <c r="U528" s="38">
        <f t="shared" si="64"/>
        <v>7546.5</v>
      </c>
      <c r="V528" s="38">
        <v>7546.5</v>
      </c>
      <c r="W528" s="38">
        <v>0</v>
      </c>
      <c r="X528" s="38">
        <v>0</v>
      </c>
      <c r="Y528" s="38">
        <v>7546.5</v>
      </c>
      <c r="Z528" s="38">
        <f t="shared" si="68"/>
        <v>45327146.670000002</v>
      </c>
      <c r="AA528" s="38">
        <v>0</v>
      </c>
      <c r="AB528" s="38">
        <f t="shared" si="69"/>
        <v>0</v>
      </c>
      <c r="AC528" s="38">
        <f>U528/AR528</f>
        <v>5031</v>
      </c>
      <c r="AD528" s="38">
        <f t="shared" si="66"/>
        <v>5031</v>
      </c>
      <c r="AE528" s="33">
        <v>45413</v>
      </c>
      <c r="AF528" s="33"/>
      <c r="AG528" s="33"/>
      <c r="AH528" s="33">
        <v>45413</v>
      </c>
      <c r="AI528" s="33"/>
      <c r="AJ528" s="42"/>
      <c r="AK528" s="37" t="s">
        <v>2832</v>
      </c>
      <c r="AL528" s="37" t="s">
        <v>2832</v>
      </c>
      <c r="AM528" s="37" t="s">
        <v>2834</v>
      </c>
      <c r="AN528" s="37" t="s">
        <v>50</v>
      </c>
      <c r="AO528" s="43">
        <v>100</v>
      </c>
      <c r="AP528" s="35">
        <v>0</v>
      </c>
      <c r="AQ528" s="35" t="s">
        <v>164</v>
      </c>
      <c r="AR528" s="49">
        <v>1.5</v>
      </c>
      <c r="AS528" s="37" t="s">
        <v>52</v>
      </c>
    </row>
    <row r="529" spans="1:45" ht="58.5" customHeight="1" x14ac:dyDescent="0.25">
      <c r="A529" s="32" t="s">
        <v>2843</v>
      </c>
      <c r="B529" s="56">
        <v>45358</v>
      </c>
      <c r="C529" s="35" t="s">
        <v>2213</v>
      </c>
      <c r="D529" s="36"/>
      <c r="E529" s="1" t="s">
        <v>2844</v>
      </c>
      <c r="F529" s="33">
        <v>45372</v>
      </c>
      <c r="G529" s="35" t="s">
        <v>2845</v>
      </c>
      <c r="H529" s="37" t="s">
        <v>2846</v>
      </c>
      <c r="I529" s="58" t="s">
        <v>2847</v>
      </c>
      <c r="J529" s="57">
        <v>5410926.4000000004</v>
      </c>
      <c r="K529" s="40">
        <f>((J529-M529)/J529)*100</f>
        <v>0.5005871083369452</v>
      </c>
      <c r="L529" s="41">
        <f>J529-M529</f>
        <v>27086.400000000373</v>
      </c>
      <c r="M529" s="38">
        <v>5383840</v>
      </c>
      <c r="N529" s="41">
        <f>J529-O529</f>
        <v>27086.400000000373</v>
      </c>
      <c r="O529" s="38">
        <v>5383840</v>
      </c>
      <c r="P529" s="27">
        <f t="shared" si="67"/>
        <v>5383840</v>
      </c>
      <c r="Q529" s="27">
        <f t="shared" si="67"/>
        <v>5383840</v>
      </c>
      <c r="R529" s="27">
        <f>Q529/U529</f>
        <v>3542</v>
      </c>
      <c r="S529" s="38">
        <f>Q529/U529</f>
        <v>3542</v>
      </c>
      <c r="T529" s="38">
        <f>S529*AR529</f>
        <v>70840</v>
      </c>
      <c r="U529" s="38">
        <f t="shared" si="64"/>
        <v>1520</v>
      </c>
      <c r="V529" s="38">
        <v>1520</v>
      </c>
      <c r="W529" s="38">
        <v>0</v>
      </c>
      <c r="X529" s="38">
        <v>0</v>
      </c>
      <c r="Y529" s="38">
        <v>0</v>
      </c>
      <c r="Z529" s="38">
        <f t="shared" si="68"/>
        <v>0</v>
      </c>
      <c r="AA529" s="38">
        <v>1520</v>
      </c>
      <c r="AB529" s="38">
        <f t="shared" si="69"/>
        <v>5383840</v>
      </c>
      <c r="AC529" s="38">
        <f>U529/AR529</f>
        <v>76</v>
      </c>
      <c r="AD529" s="38">
        <f t="shared" si="66"/>
        <v>76</v>
      </c>
      <c r="AE529" s="33">
        <v>45412</v>
      </c>
      <c r="AF529" s="33"/>
      <c r="AG529" s="33"/>
      <c r="AH529" s="33">
        <v>45444</v>
      </c>
      <c r="AI529" s="33"/>
      <c r="AJ529" s="42"/>
      <c r="AK529" s="37" t="s">
        <v>2848</v>
      </c>
      <c r="AL529" s="37" t="s">
        <v>2849</v>
      </c>
      <c r="AM529" s="37" t="s">
        <v>2850</v>
      </c>
      <c r="AN529" s="37" t="s">
        <v>352</v>
      </c>
      <c r="AO529" s="43">
        <v>0</v>
      </c>
      <c r="AP529" s="35">
        <v>100</v>
      </c>
      <c r="AQ529" s="35" t="s">
        <v>164</v>
      </c>
      <c r="AR529" s="44">
        <v>20</v>
      </c>
      <c r="AS529" s="37" t="s">
        <v>52</v>
      </c>
    </row>
    <row r="530" spans="1:45" ht="45.75" customHeight="1" x14ac:dyDescent="0.25">
      <c r="A530" s="32" t="s">
        <v>2851</v>
      </c>
      <c r="B530" s="56">
        <v>45358</v>
      </c>
      <c r="C530" s="35">
        <v>1416</v>
      </c>
      <c r="D530" s="36"/>
      <c r="E530" s="1" t="s">
        <v>2852</v>
      </c>
      <c r="F530" s="33">
        <v>45380</v>
      </c>
      <c r="G530" s="35" t="s">
        <v>2853</v>
      </c>
      <c r="H530" s="37" t="s">
        <v>314</v>
      </c>
      <c r="I530" s="59" t="s">
        <v>953</v>
      </c>
      <c r="J530" s="57">
        <v>2621621.31</v>
      </c>
      <c r="K530" s="40">
        <f>((J530-M530)/J530)*100</f>
        <v>75.502143366388793</v>
      </c>
      <c r="L530" s="41">
        <f>J530-M530</f>
        <v>1979380.28</v>
      </c>
      <c r="M530" s="38">
        <v>642241.03</v>
      </c>
      <c r="N530" s="41">
        <f>J530-O530</f>
        <v>1979380.28</v>
      </c>
      <c r="O530" s="38">
        <v>642241.03</v>
      </c>
      <c r="P530" s="27">
        <v>642221.57999999996</v>
      </c>
      <c r="Q530" s="27">
        <f t="shared" si="67"/>
        <v>642221.57999999996</v>
      </c>
      <c r="R530" s="27">
        <f>Q530/U530</f>
        <v>75.14</v>
      </c>
      <c r="S530" s="38">
        <f>Q530/U530</f>
        <v>75.14</v>
      </c>
      <c r="T530" s="38">
        <f>S530*AR530</f>
        <v>1577.94</v>
      </c>
      <c r="U530" s="38">
        <f t="shared" si="64"/>
        <v>8547</v>
      </c>
      <c r="V530" s="38">
        <v>8547</v>
      </c>
      <c r="W530" s="38">
        <v>0</v>
      </c>
      <c r="X530" s="38">
        <v>0</v>
      </c>
      <c r="Y530" s="38">
        <v>0</v>
      </c>
      <c r="Z530" s="38">
        <f t="shared" si="68"/>
        <v>0</v>
      </c>
      <c r="AA530" s="38">
        <v>8547</v>
      </c>
      <c r="AB530" s="38">
        <f t="shared" si="69"/>
        <v>642221.57999999996</v>
      </c>
      <c r="AC530" s="38">
        <f>U530/AR530</f>
        <v>407</v>
      </c>
      <c r="AD530" s="38">
        <f t="shared" si="66"/>
        <v>407</v>
      </c>
      <c r="AE530" s="33">
        <v>45413</v>
      </c>
      <c r="AF530" s="33"/>
      <c r="AG530" s="33"/>
      <c r="AH530" s="33">
        <v>45444</v>
      </c>
      <c r="AI530" s="33"/>
      <c r="AJ530" s="42"/>
      <c r="AK530" s="37" t="s">
        <v>2854</v>
      </c>
      <c r="AL530" s="37" t="s">
        <v>2855</v>
      </c>
      <c r="AM530" s="37" t="s">
        <v>2856</v>
      </c>
      <c r="AN530" s="37" t="s">
        <v>50</v>
      </c>
      <c r="AO530" s="43">
        <v>100</v>
      </c>
      <c r="AP530" s="35">
        <v>0</v>
      </c>
      <c r="AQ530" s="35" t="s">
        <v>441</v>
      </c>
      <c r="AR530" s="44">
        <v>21</v>
      </c>
      <c r="AS530" s="37" t="s">
        <v>52</v>
      </c>
    </row>
    <row r="531" spans="1:45" ht="45.75" customHeight="1" x14ac:dyDescent="0.25">
      <c r="A531" s="32" t="s">
        <v>2857</v>
      </c>
      <c r="B531" s="56">
        <v>45358</v>
      </c>
      <c r="C531" s="35">
        <v>1416</v>
      </c>
      <c r="D531" s="36"/>
      <c r="E531" s="1" t="s">
        <v>2858</v>
      </c>
      <c r="F531" s="33">
        <v>45387</v>
      </c>
      <c r="G531" s="35" t="s">
        <v>2859</v>
      </c>
      <c r="H531" s="37" t="s">
        <v>364</v>
      </c>
      <c r="I531" s="58" t="s">
        <v>2847</v>
      </c>
      <c r="J531" s="57">
        <v>3312554902.8000002</v>
      </c>
      <c r="K531" s="40">
        <f>((J531-M531)/J531)*100</f>
        <v>0</v>
      </c>
      <c r="L531" s="41">
        <f>J531-M531</f>
        <v>0</v>
      </c>
      <c r="M531" s="57">
        <v>3312554902.8000002</v>
      </c>
      <c r="N531" s="41">
        <f>J531-O531</f>
        <v>0</v>
      </c>
      <c r="O531" s="57">
        <v>3312554902.8000002</v>
      </c>
      <c r="P531" s="27">
        <f t="shared" si="67"/>
        <v>3312554902.8000002</v>
      </c>
      <c r="Q531" s="27">
        <f t="shared" si="67"/>
        <v>3312554902.8000002</v>
      </c>
      <c r="R531" s="27">
        <f>Q531/U531</f>
        <v>3559.82</v>
      </c>
      <c r="S531" s="38">
        <f>Q531/U531</f>
        <v>3559.82</v>
      </c>
      <c r="T531" s="38">
        <f>S531*AR531</f>
        <v>71196.400000000009</v>
      </c>
      <c r="U531" s="38">
        <f t="shared" si="64"/>
        <v>930540</v>
      </c>
      <c r="V531" s="38">
        <v>930540</v>
      </c>
      <c r="W531" s="38">
        <v>0</v>
      </c>
      <c r="X531" s="38">
        <v>0</v>
      </c>
      <c r="Y531" s="38">
        <v>0</v>
      </c>
      <c r="Z531" s="38">
        <f t="shared" si="68"/>
        <v>0</v>
      </c>
      <c r="AA531" s="38">
        <v>930540</v>
      </c>
      <c r="AB531" s="38">
        <f t="shared" si="69"/>
        <v>3312554902.8000002</v>
      </c>
      <c r="AC531" s="38">
        <f>U531/AR531</f>
        <v>46527</v>
      </c>
      <c r="AD531" s="38">
        <f t="shared" si="66"/>
        <v>46527</v>
      </c>
      <c r="AE531" s="33">
        <v>45427</v>
      </c>
      <c r="AF531" s="33"/>
      <c r="AG531" s="33"/>
      <c r="AH531" s="33">
        <v>45458</v>
      </c>
      <c r="AI531" s="33"/>
      <c r="AJ531" s="42"/>
      <c r="AK531" s="37" t="s">
        <v>2848</v>
      </c>
      <c r="AL531" s="37" t="s">
        <v>2860</v>
      </c>
      <c r="AM531" s="37" t="s">
        <v>2861</v>
      </c>
      <c r="AN531" s="37" t="s">
        <v>352</v>
      </c>
      <c r="AO531" s="43">
        <v>0</v>
      </c>
      <c r="AP531" s="35">
        <v>100</v>
      </c>
      <c r="AQ531" s="35" t="s">
        <v>164</v>
      </c>
      <c r="AR531" s="44">
        <v>20</v>
      </c>
      <c r="AS531" s="37" t="s">
        <v>52</v>
      </c>
    </row>
    <row r="532" spans="1:45" ht="45.75" customHeight="1" x14ac:dyDescent="0.25">
      <c r="A532" s="32" t="s">
        <v>2862</v>
      </c>
      <c r="B532" s="56">
        <v>45358</v>
      </c>
      <c r="C532" s="35">
        <v>545</v>
      </c>
      <c r="D532" s="36"/>
      <c r="E532" s="1" t="s">
        <v>2863</v>
      </c>
      <c r="F532" s="33">
        <v>45391</v>
      </c>
      <c r="G532" s="35" t="s">
        <v>2864</v>
      </c>
      <c r="H532" s="37" t="s">
        <v>556</v>
      </c>
      <c r="I532" s="58" t="s">
        <v>2865</v>
      </c>
      <c r="J532" s="57">
        <v>652199634.24000001</v>
      </c>
      <c r="K532" s="40">
        <f>((J532-M532)/J532)*100</f>
        <v>0</v>
      </c>
      <c r="L532" s="41">
        <f>J532-M532</f>
        <v>0</v>
      </c>
      <c r="M532" s="57">
        <v>652199634.24000001</v>
      </c>
      <c r="N532" s="41">
        <f>J532-O532</f>
        <v>0</v>
      </c>
      <c r="O532" s="57">
        <v>652199634.24000001</v>
      </c>
      <c r="P532" s="27">
        <v>677079184.32000005</v>
      </c>
      <c r="Q532" s="27">
        <f t="shared" si="67"/>
        <v>677079184.32000005</v>
      </c>
      <c r="R532" s="27">
        <f>Q532/U532</f>
        <v>31.900000000000006</v>
      </c>
      <c r="S532" s="38">
        <f>Q532/U532</f>
        <v>31.900000000000006</v>
      </c>
      <c r="T532" s="38">
        <f>S532*AR532</f>
        <v>888555.36000000022</v>
      </c>
      <c r="U532" s="38">
        <f>V532+W532+X532</f>
        <v>21225052.799999997</v>
      </c>
      <c r="V532" s="38">
        <v>7214289.5999999996</v>
      </c>
      <c r="W532" s="38">
        <f>13230840+779923.2</f>
        <v>14010763.199999999</v>
      </c>
      <c r="X532" s="38">
        <v>0</v>
      </c>
      <c r="Y532" s="38">
        <v>0</v>
      </c>
      <c r="Z532" s="38">
        <f>Y532*S532</f>
        <v>0</v>
      </c>
      <c r="AA532" s="38">
        <v>0</v>
      </c>
      <c r="AB532" s="38">
        <f t="shared" si="69"/>
        <v>0</v>
      </c>
      <c r="AC532" s="38">
        <f>U532/AR532</f>
        <v>761.99999999999989</v>
      </c>
      <c r="AD532" s="38">
        <f t="shared" si="66"/>
        <v>762</v>
      </c>
      <c r="AE532" s="33">
        <v>45412</v>
      </c>
      <c r="AF532" s="33">
        <v>45504</v>
      </c>
      <c r="AG532" s="33"/>
      <c r="AH532" s="33">
        <v>45444</v>
      </c>
      <c r="AI532" s="33">
        <v>45536</v>
      </c>
      <c r="AJ532" s="42"/>
      <c r="AK532" s="37" t="s">
        <v>2334</v>
      </c>
      <c r="AL532" s="37" t="s">
        <v>2335</v>
      </c>
      <c r="AM532" s="37" t="s">
        <v>2336</v>
      </c>
      <c r="AN532" s="37" t="s">
        <v>2320</v>
      </c>
      <c r="AO532" s="43">
        <v>0</v>
      </c>
      <c r="AP532" s="35">
        <v>100</v>
      </c>
      <c r="AQ532" s="35" t="s">
        <v>379</v>
      </c>
      <c r="AR532" s="49">
        <v>27854.400000000001</v>
      </c>
      <c r="AS532" s="37" t="s">
        <v>52</v>
      </c>
    </row>
    <row r="533" spans="1:45" ht="45.75" customHeight="1" x14ac:dyDescent="0.25">
      <c r="A533" s="32" t="s">
        <v>2866</v>
      </c>
      <c r="B533" s="56">
        <v>45358</v>
      </c>
      <c r="C533" s="35" t="s">
        <v>1861</v>
      </c>
      <c r="D533" s="35" t="s">
        <v>485</v>
      </c>
      <c r="E533" s="1" t="s">
        <v>2867</v>
      </c>
      <c r="F533" s="35" t="s">
        <v>485</v>
      </c>
      <c r="G533" s="35" t="s">
        <v>485</v>
      </c>
      <c r="H533" s="35" t="s">
        <v>485</v>
      </c>
      <c r="I533" s="58" t="s">
        <v>2868</v>
      </c>
      <c r="J533" s="57">
        <v>8200492</v>
      </c>
      <c r="K533" s="40">
        <f>((J533-M533)/J533)*100</f>
        <v>100</v>
      </c>
      <c r="L533" s="41">
        <f>J533-M533</f>
        <v>8200492</v>
      </c>
      <c r="M533" s="38"/>
      <c r="N533" s="41">
        <f>J533-O533</f>
        <v>8200492</v>
      </c>
      <c r="O533" s="38">
        <v>0</v>
      </c>
      <c r="P533" s="27">
        <f t="shared" si="67"/>
        <v>0</v>
      </c>
      <c r="Q533" s="27">
        <f t="shared" si="67"/>
        <v>0</v>
      </c>
      <c r="R533" s="27" t="e">
        <f>Q533/U533</f>
        <v>#DIV/0!</v>
      </c>
      <c r="S533" s="38" t="e">
        <f>Q533/U533</f>
        <v>#DIV/0!</v>
      </c>
      <c r="T533" s="38" t="e">
        <f>S533*AR533</f>
        <v>#DIV/0!</v>
      </c>
      <c r="U533" s="38">
        <f t="shared" si="64"/>
        <v>0</v>
      </c>
      <c r="V533" s="38">
        <v>0</v>
      </c>
      <c r="W533" s="38">
        <v>0</v>
      </c>
      <c r="X533" s="38">
        <v>0</v>
      </c>
      <c r="Y533" s="38"/>
      <c r="Z533" s="38" t="e">
        <f t="shared" si="68"/>
        <v>#DIV/0!</v>
      </c>
      <c r="AA533" s="38"/>
      <c r="AB533" s="38" t="e">
        <f t="shared" si="69"/>
        <v>#DIV/0!</v>
      </c>
      <c r="AC533" s="38" t="e">
        <f>U533/AR533</f>
        <v>#DIV/0!</v>
      </c>
      <c r="AD533" s="38" t="e">
        <f t="shared" si="66"/>
        <v>#DIV/0!</v>
      </c>
      <c r="AE533" s="33">
        <v>45505</v>
      </c>
      <c r="AF533" s="33"/>
      <c r="AG533" s="33"/>
      <c r="AH533" s="33"/>
      <c r="AI533" s="33"/>
      <c r="AJ533" s="42"/>
      <c r="AK533" s="37"/>
      <c r="AL533" s="37"/>
      <c r="AM533" s="37"/>
      <c r="AN533" s="37"/>
      <c r="AO533" s="43"/>
      <c r="AP533" s="35"/>
      <c r="AQ533" s="35"/>
      <c r="AR533" s="44"/>
      <c r="AS533" s="37" t="s">
        <v>485</v>
      </c>
    </row>
    <row r="534" spans="1:45" ht="45.75" customHeight="1" x14ac:dyDescent="0.25">
      <c r="A534" s="32" t="s">
        <v>2869</v>
      </c>
      <c r="B534" s="56">
        <v>45362</v>
      </c>
      <c r="C534" s="35">
        <v>545</v>
      </c>
      <c r="D534" s="36"/>
      <c r="E534" s="1" t="s">
        <v>2870</v>
      </c>
      <c r="F534" s="33">
        <v>45384</v>
      </c>
      <c r="G534" s="35" t="s">
        <v>2871</v>
      </c>
      <c r="H534" s="37" t="s">
        <v>219</v>
      </c>
      <c r="I534" s="58" t="s">
        <v>2872</v>
      </c>
      <c r="J534" s="57">
        <v>25532100</v>
      </c>
      <c r="K534" s="40">
        <f>((J534-M534)/J534)*100</f>
        <v>0</v>
      </c>
      <c r="L534" s="41">
        <f>J534-M534</f>
        <v>0</v>
      </c>
      <c r="M534" s="57">
        <v>25532100</v>
      </c>
      <c r="N534" s="41">
        <f>J534-O534</f>
        <v>0</v>
      </c>
      <c r="O534" s="57">
        <v>25532100</v>
      </c>
      <c r="P534" s="27">
        <v>33168300</v>
      </c>
      <c r="Q534" s="27">
        <f t="shared" si="67"/>
        <v>33168300</v>
      </c>
      <c r="R534" s="27">
        <f>Q534/U534</f>
        <v>220</v>
      </c>
      <c r="S534" s="38">
        <f>Q534/U534</f>
        <v>220</v>
      </c>
      <c r="T534" s="38">
        <f>S534*AR534</f>
        <v>3300</v>
      </c>
      <c r="U534" s="38">
        <f t="shared" si="64"/>
        <v>150765</v>
      </c>
      <c r="V534" s="38">
        <f>116055+34710</f>
        <v>150765</v>
      </c>
      <c r="W534" s="38">
        <v>0</v>
      </c>
      <c r="X534" s="38">
        <v>0</v>
      </c>
      <c r="Y534" s="38">
        <v>0</v>
      </c>
      <c r="Z534" s="38">
        <f t="shared" si="68"/>
        <v>0</v>
      </c>
      <c r="AA534" s="38">
        <v>0</v>
      </c>
      <c r="AB534" s="38">
        <f t="shared" si="69"/>
        <v>0</v>
      </c>
      <c r="AC534" s="38">
        <f>U534/AR534</f>
        <v>10051</v>
      </c>
      <c r="AD534" s="38">
        <f t="shared" si="66"/>
        <v>10051</v>
      </c>
      <c r="AE534" s="33">
        <v>45412</v>
      </c>
      <c r="AF534" s="33"/>
      <c r="AG534" s="33"/>
      <c r="AH534" s="33">
        <v>45444</v>
      </c>
      <c r="AI534" s="33"/>
      <c r="AJ534" s="42"/>
      <c r="AK534" s="37" t="s">
        <v>2518</v>
      </c>
      <c r="AL534" s="37" t="s">
        <v>2519</v>
      </c>
      <c r="AM534" s="37" t="s">
        <v>2520</v>
      </c>
      <c r="AN534" s="37" t="s">
        <v>50</v>
      </c>
      <c r="AO534" s="43">
        <v>100</v>
      </c>
      <c r="AP534" s="35">
        <v>0</v>
      </c>
      <c r="AQ534" s="35" t="s">
        <v>164</v>
      </c>
      <c r="AR534" s="44">
        <v>15</v>
      </c>
      <c r="AS534" s="37" t="s">
        <v>52</v>
      </c>
    </row>
    <row r="535" spans="1:45" ht="45.75" customHeight="1" x14ac:dyDescent="0.25">
      <c r="A535" s="32" t="s">
        <v>2873</v>
      </c>
      <c r="B535" s="56">
        <v>45362</v>
      </c>
      <c r="C535" s="35" t="s">
        <v>486</v>
      </c>
      <c r="D535" s="36"/>
      <c r="E535" s="1" t="s">
        <v>2874</v>
      </c>
      <c r="F535" s="33">
        <v>45383</v>
      </c>
      <c r="G535" s="35" t="s">
        <v>2875</v>
      </c>
      <c r="H535" s="37" t="s">
        <v>291</v>
      </c>
      <c r="I535" s="58" t="s">
        <v>1676</v>
      </c>
      <c r="J535" s="57">
        <v>47752855.200000003</v>
      </c>
      <c r="K535" s="40">
        <f>((J535-M535)/J535)*100</f>
        <v>0</v>
      </c>
      <c r="L535" s="41">
        <f>J535-M535</f>
        <v>0</v>
      </c>
      <c r="M535" s="57">
        <v>47752855.200000003</v>
      </c>
      <c r="N535" s="41">
        <f>J535-O535</f>
        <v>0</v>
      </c>
      <c r="O535" s="57">
        <v>47752855.200000003</v>
      </c>
      <c r="P535" s="27">
        <f t="shared" si="67"/>
        <v>47752855.200000003</v>
      </c>
      <c r="Q535" s="27">
        <f t="shared" si="67"/>
        <v>47752855.200000003</v>
      </c>
      <c r="R535" s="27">
        <f>Q535/U535</f>
        <v>95.820000000000007</v>
      </c>
      <c r="S535" s="38">
        <f>Q535/U535</f>
        <v>95.820000000000007</v>
      </c>
      <c r="T535" s="38">
        <f>S535*AR535</f>
        <v>5749.2000000000007</v>
      </c>
      <c r="U535" s="38">
        <f t="shared" si="64"/>
        <v>498360</v>
      </c>
      <c r="V535" s="38">
        <v>498360</v>
      </c>
      <c r="W535" s="38">
        <v>0</v>
      </c>
      <c r="X535" s="38">
        <v>0</v>
      </c>
      <c r="Y535" s="38">
        <v>0</v>
      </c>
      <c r="Z535" s="38">
        <f t="shared" si="68"/>
        <v>0</v>
      </c>
      <c r="AA535" s="38">
        <v>0</v>
      </c>
      <c r="AB535" s="38">
        <f t="shared" si="69"/>
        <v>0</v>
      </c>
      <c r="AC535" s="38">
        <f>U535/AR535</f>
        <v>8306</v>
      </c>
      <c r="AD535" s="38">
        <f t="shared" si="66"/>
        <v>8306</v>
      </c>
      <c r="AE535" s="33">
        <v>45427</v>
      </c>
      <c r="AF535" s="33"/>
      <c r="AG535" s="33"/>
      <c r="AH535" s="33">
        <v>45458</v>
      </c>
      <c r="AI535" s="33"/>
      <c r="AJ535" s="42"/>
      <c r="AK535" s="37" t="s">
        <v>2876</v>
      </c>
      <c r="AL535" s="37" t="s">
        <v>2877</v>
      </c>
      <c r="AM535" s="37" t="s">
        <v>2878</v>
      </c>
      <c r="AN535" s="37" t="s">
        <v>50</v>
      </c>
      <c r="AO535" s="43">
        <v>100</v>
      </c>
      <c r="AP535" s="35">
        <v>0</v>
      </c>
      <c r="AQ535" s="35" t="s">
        <v>441</v>
      </c>
      <c r="AR535" s="44">
        <v>60</v>
      </c>
      <c r="AS535" s="37" t="s">
        <v>52</v>
      </c>
    </row>
    <row r="536" spans="1:45" ht="45.75" customHeight="1" x14ac:dyDescent="0.25">
      <c r="A536" s="32" t="s">
        <v>2879</v>
      </c>
      <c r="B536" s="56">
        <v>45362</v>
      </c>
      <c r="C536" s="35" t="s">
        <v>486</v>
      </c>
      <c r="D536" s="36"/>
      <c r="E536" s="1" t="s">
        <v>2880</v>
      </c>
      <c r="F536" s="33">
        <v>45383</v>
      </c>
      <c r="G536" s="35" t="s">
        <v>2881</v>
      </c>
      <c r="H536" s="37" t="s">
        <v>291</v>
      </c>
      <c r="I536" s="59" t="s">
        <v>1610</v>
      </c>
      <c r="J536" s="57">
        <v>186935918.40000001</v>
      </c>
      <c r="K536" s="40">
        <f>((J536-M536)/J536)*100</f>
        <v>0</v>
      </c>
      <c r="L536" s="41">
        <f>J536-M536</f>
        <v>0</v>
      </c>
      <c r="M536" s="57">
        <v>186935918.40000001</v>
      </c>
      <c r="N536" s="41">
        <f>J536-O536</f>
        <v>0</v>
      </c>
      <c r="O536" s="57">
        <v>186935918.40000001</v>
      </c>
      <c r="P536" s="27">
        <f t="shared" si="67"/>
        <v>186935918.40000001</v>
      </c>
      <c r="Q536" s="27">
        <f t="shared" si="67"/>
        <v>186935918.40000001</v>
      </c>
      <c r="R536" s="27">
        <f>Q536/U536</f>
        <v>36.96</v>
      </c>
      <c r="S536" s="38">
        <f>Q536/U536</f>
        <v>36.96</v>
      </c>
      <c r="T536" s="38">
        <f>S536*AR536</f>
        <v>1108.8</v>
      </c>
      <c r="U536" s="38">
        <f t="shared" si="64"/>
        <v>5057790</v>
      </c>
      <c r="V536" s="38">
        <v>5057790</v>
      </c>
      <c r="W536" s="38">
        <v>0</v>
      </c>
      <c r="X536" s="38">
        <v>0</v>
      </c>
      <c r="Y536" s="38">
        <v>0</v>
      </c>
      <c r="Z536" s="38">
        <f t="shared" si="68"/>
        <v>0</v>
      </c>
      <c r="AA536" s="38">
        <v>0</v>
      </c>
      <c r="AB536" s="38">
        <f t="shared" si="69"/>
        <v>0</v>
      </c>
      <c r="AC536" s="38">
        <f>U536/AR536</f>
        <v>168593</v>
      </c>
      <c r="AD536" s="38">
        <f t="shared" si="66"/>
        <v>168593</v>
      </c>
      <c r="AE536" s="33">
        <v>45427</v>
      </c>
      <c r="AF536" s="33"/>
      <c r="AG536" s="33"/>
      <c r="AH536" s="33">
        <v>45458</v>
      </c>
      <c r="AI536" s="33"/>
      <c r="AJ536" s="42"/>
      <c r="AK536" s="37" t="s">
        <v>2882</v>
      </c>
      <c r="AL536" s="37" t="s">
        <v>2883</v>
      </c>
      <c r="AM536" s="37" t="s">
        <v>2884</v>
      </c>
      <c r="AN536" s="37" t="s">
        <v>50</v>
      </c>
      <c r="AO536" s="43">
        <v>100</v>
      </c>
      <c r="AP536" s="35">
        <v>0</v>
      </c>
      <c r="AQ536" s="35" t="s">
        <v>441</v>
      </c>
      <c r="AR536" s="44">
        <v>30</v>
      </c>
      <c r="AS536" s="37" t="s">
        <v>52</v>
      </c>
    </row>
    <row r="537" spans="1:45" ht="58.5" customHeight="1" x14ac:dyDescent="0.25">
      <c r="A537" s="32" t="s">
        <v>2885</v>
      </c>
      <c r="B537" s="56">
        <v>45362</v>
      </c>
      <c r="C537" s="35" t="s">
        <v>2213</v>
      </c>
      <c r="D537" s="36"/>
      <c r="E537" s="1" t="s">
        <v>2886</v>
      </c>
      <c r="F537" s="33">
        <v>45373</v>
      </c>
      <c r="G537" s="35" t="s">
        <v>2887</v>
      </c>
      <c r="H537" s="37" t="s">
        <v>2846</v>
      </c>
      <c r="I537" s="58" t="s">
        <v>2013</v>
      </c>
      <c r="J537" s="57">
        <v>605169.4</v>
      </c>
      <c r="K537" s="40">
        <f>((J537-M537)/J537)*100</f>
        <v>0.5005871083369422</v>
      </c>
      <c r="L537" s="41">
        <f>J537-M537</f>
        <v>3029.4000000000233</v>
      </c>
      <c r="M537" s="38">
        <v>602140</v>
      </c>
      <c r="N537" s="41">
        <f>J537-O537</f>
        <v>3029.4000000000233</v>
      </c>
      <c r="O537" s="38">
        <v>602140</v>
      </c>
      <c r="P537" s="27">
        <f t="shared" si="67"/>
        <v>602140</v>
      </c>
      <c r="Q537" s="27">
        <f t="shared" si="67"/>
        <v>602140</v>
      </c>
      <c r="R537" s="27">
        <f>Q537/U537</f>
        <v>3542</v>
      </c>
      <c r="S537" s="38">
        <f>Q537/U537</f>
        <v>3542</v>
      </c>
      <c r="T537" s="38">
        <f>S537*AR537</f>
        <v>17710</v>
      </c>
      <c r="U537" s="38">
        <f t="shared" si="64"/>
        <v>170</v>
      </c>
      <c r="V537" s="38">
        <v>55</v>
      </c>
      <c r="W537" s="38">
        <v>115</v>
      </c>
      <c r="X537" s="38">
        <v>0</v>
      </c>
      <c r="Y537" s="38">
        <v>0</v>
      </c>
      <c r="Z537" s="38">
        <f t="shared" si="68"/>
        <v>0</v>
      </c>
      <c r="AA537" s="38">
        <f>55+115</f>
        <v>170</v>
      </c>
      <c r="AB537" s="38">
        <f t="shared" si="69"/>
        <v>602140</v>
      </c>
      <c r="AC537" s="38">
        <f>U537/AR537</f>
        <v>34</v>
      </c>
      <c r="AD537" s="38">
        <f t="shared" si="66"/>
        <v>34</v>
      </c>
      <c r="AE537" s="33">
        <v>45427</v>
      </c>
      <c r="AF537" s="33">
        <v>45474</v>
      </c>
      <c r="AG537" s="33"/>
      <c r="AH537" s="33">
        <v>45458</v>
      </c>
      <c r="AI537" s="33">
        <v>45505</v>
      </c>
      <c r="AJ537" s="42"/>
      <c r="AK537" s="37" t="s">
        <v>2848</v>
      </c>
      <c r="AL537" s="37" t="s">
        <v>2888</v>
      </c>
      <c r="AM537" s="37" t="s">
        <v>2850</v>
      </c>
      <c r="AN537" s="37" t="s">
        <v>352</v>
      </c>
      <c r="AO537" s="43">
        <v>0</v>
      </c>
      <c r="AP537" s="35">
        <v>100</v>
      </c>
      <c r="AQ537" s="35" t="s">
        <v>164</v>
      </c>
      <c r="AR537" s="44">
        <v>5</v>
      </c>
      <c r="AS537" s="37" t="s">
        <v>52</v>
      </c>
    </row>
    <row r="538" spans="1:45" ht="58.5" customHeight="1" x14ac:dyDescent="0.25">
      <c r="A538" s="32" t="s">
        <v>2889</v>
      </c>
      <c r="B538" s="56">
        <v>45362</v>
      </c>
      <c r="C538" s="35" t="s">
        <v>2213</v>
      </c>
      <c r="D538" s="36"/>
      <c r="E538" s="1" t="s">
        <v>2890</v>
      </c>
      <c r="F538" s="33">
        <v>45373</v>
      </c>
      <c r="G538" s="35" t="s">
        <v>2891</v>
      </c>
      <c r="H538" s="37" t="s">
        <v>411</v>
      </c>
      <c r="I538" s="58" t="s">
        <v>785</v>
      </c>
      <c r="J538" s="57">
        <v>9498341.1600000001</v>
      </c>
      <c r="K538" s="40">
        <f>((J538-M538)/J538)*100</f>
        <v>0</v>
      </c>
      <c r="L538" s="41">
        <f>J538-M538</f>
        <v>0</v>
      </c>
      <c r="M538" s="57">
        <v>9498341.1600000001</v>
      </c>
      <c r="N538" s="41">
        <f>J538-O538</f>
        <v>0</v>
      </c>
      <c r="O538" s="57">
        <v>9498341.1600000001</v>
      </c>
      <c r="P538" s="27">
        <f t="shared" si="67"/>
        <v>9498341.1600000001</v>
      </c>
      <c r="Q538" s="27">
        <f t="shared" si="67"/>
        <v>9498341.1600000001</v>
      </c>
      <c r="R538" s="27">
        <f>Q538/U538</f>
        <v>263842.81</v>
      </c>
      <c r="S538" s="38">
        <f>Q538/U538</f>
        <v>263842.81</v>
      </c>
      <c r="T538" s="38">
        <f>S538*AR538</f>
        <v>263842.81</v>
      </c>
      <c r="U538" s="38">
        <f t="shared" ref="U538:U601" si="70">V538+W538+X538</f>
        <v>36</v>
      </c>
      <c r="V538" s="38">
        <f>26+10</f>
        <v>36</v>
      </c>
      <c r="W538" s="38">
        <v>0</v>
      </c>
      <c r="X538" s="38">
        <v>0</v>
      </c>
      <c r="Y538" s="38">
        <v>26</v>
      </c>
      <c r="Z538" s="38">
        <f t="shared" si="68"/>
        <v>6859913.0599999996</v>
      </c>
      <c r="AA538" s="38">
        <v>10</v>
      </c>
      <c r="AB538" s="38">
        <f t="shared" si="69"/>
        <v>2638428.1</v>
      </c>
      <c r="AC538" s="38">
        <f>U538/AR538</f>
        <v>36</v>
      </c>
      <c r="AD538" s="38">
        <f t="shared" si="66"/>
        <v>36</v>
      </c>
      <c r="AE538" s="33">
        <v>45474</v>
      </c>
      <c r="AF538" s="33"/>
      <c r="AG538" s="33"/>
      <c r="AH538" s="33">
        <v>45505</v>
      </c>
      <c r="AI538" s="33"/>
      <c r="AJ538" s="42"/>
      <c r="AK538" s="37" t="s">
        <v>786</v>
      </c>
      <c r="AL538" s="37" t="s">
        <v>787</v>
      </c>
      <c r="AM538" s="37" t="s">
        <v>788</v>
      </c>
      <c r="AN538" s="37" t="s">
        <v>326</v>
      </c>
      <c r="AO538" s="43">
        <v>0</v>
      </c>
      <c r="AP538" s="35">
        <v>100</v>
      </c>
      <c r="AQ538" s="35" t="s">
        <v>164</v>
      </c>
      <c r="AR538" s="44">
        <v>1</v>
      </c>
      <c r="AS538" s="37" t="s">
        <v>52</v>
      </c>
    </row>
    <row r="539" spans="1:45" ht="58.5" customHeight="1" x14ac:dyDescent="0.25">
      <c r="A539" s="32" t="s">
        <v>2892</v>
      </c>
      <c r="B539" s="56">
        <v>45362</v>
      </c>
      <c r="C539" s="35" t="s">
        <v>2213</v>
      </c>
      <c r="D539" s="36"/>
      <c r="E539" s="1" t="s">
        <v>2893</v>
      </c>
      <c r="F539" s="33">
        <v>45373</v>
      </c>
      <c r="G539" s="35" t="s">
        <v>2894</v>
      </c>
      <c r="H539" s="37" t="s">
        <v>2176</v>
      </c>
      <c r="I539" s="58" t="s">
        <v>1158</v>
      </c>
      <c r="J539" s="57">
        <v>8252469</v>
      </c>
      <c r="K539" s="40">
        <f>((J539-M539)/J539)*100</f>
        <v>0</v>
      </c>
      <c r="L539" s="41">
        <f>J539-M539</f>
        <v>0</v>
      </c>
      <c r="M539" s="57">
        <v>8252469</v>
      </c>
      <c r="N539" s="41">
        <f>J539-O539</f>
        <v>0</v>
      </c>
      <c r="O539" s="57">
        <v>8252469</v>
      </c>
      <c r="P539" s="27">
        <f t="shared" si="67"/>
        <v>8252469</v>
      </c>
      <c r="Q539" s="27">
        <f t="shared" si="67"/>
        <v>8252469</v>
      </c>
      <c r="R539" s="27">
        <f>Q539/U539</f>
        <v>401.58</v>
      </c>
      <c r="S539" s="38">
        <f>Q539/U539</f>
        <v>401.58</v>
      </c>
      <c r="T539" s="38">
        <f>S539*AR539</f>
        <v>6023.7</v>
      </c>
      <c r="U539" s="38">
        <f t="shared" si="70"/>
        <v>20550</v>
      </c>
      <c r="V539" s="38">
        <v>20550</v>
      </c>
      <c r="W539" s="38">
        <v>0</v>
      </c>
      <c r="X539" s="38">
        <v>0</v>
      </c>
      <c r="Y539" s="38">
        <v>20550</v>
      </c>
      <c r="Z539" s="38">
        <f t="shared" si="68"/>
        <v>8252469</v>
      </c>
      <c r="AA539" s="38">
        <v>0</v>
      </c>
      <c r="AB539" s="38">
        <f t="shared" si="69"/>
        <v>0</v>
      </c>
      <c r="AC539" s="38">
        <f>U539/AR539</f>
        <v>1370</v>
      </c>
      <c r="AD539" s="38">
        <f t="shared" si="66"/>
        <v>1370</v>
      </c>
      <c r="AE539" s="33">
        <v>45505</v>
      </c>
      <c r="AF539" s="33"/>
      <c r="AG539" s="33"/>
      <c r="AH539" s="33">
        <v>45536</v>
      </c>
      <c r="AI539" s="33"/>
      <c r="AJ539" s="42"/>
      <c r="AK539" s="37" t="s">
        <v>2798</v>
      </c>
      <c r="AL539" s="37" t="s">
        <v>2895</v>
      </c>
      <c r="AM539" s="37" t="s">
        <v>2800</v>
      </c>
      <c r="AN539" s="37" t="s">
        <v>50</v>
      </c>
      <c r="AO539" s="43">
        <v>100</v>
      </c>
      <c r="AP539" s="35">
        <v>0</v>
      </c>
      <c r="AQ539" s="35" t="s">
        <v>164</v>
      </c>
      <c r="AR539" s="44">
        <v>15</v>
      </c>
      <c r="AS539" s="37" t="s">
        <v>52</v>
      </c>
    </row>
    <row r="540" spans="1:45" ht="45.75" customHeight="1" x14ac:dyDescent="0.25">
      <c r="A540" s="32" t="s">
        <v>2896</v>
      </c>
      <c r="B540" s="56">
        <v>45363</v>
      </c>
      <c r="C540" s="35" t="s">
        <v>486</v>
      </c>
      <c r="D540" s="36"/>
      <c r="E540" s="1" t="s">
        <v>2897</v>
      </c>
      <c r="F540" s="33">
        <v>45383</v>
      </c>
      <c r="G540" s="35" t="s">
        <v>2898</v>
      </c>
      <c r="H540" s="37" t="s">
        <v>273</v>
      </c>
      <c r="I540" s="58" t="s">
        <v>1713</v>
      </c>
      <c r="J540" s="57">
        <v>3795792</v>
      </c>
      <c r="K540" s="40">
        <f>((J540-M540)/J540)*100</f>
        <v>0</v>
      </c>
      <c r="L540" s="41">
        <f>J540-M540</f>
        <v>0</v>
      </c>
      <c r="M540" s="57">
        <v>3795792</v>
      </c>
      <c r="N540" s="41">
        <f>J540-O540</f>
        <v>0</v>
      </c>
      <c r="O540" s="57">
        <v>3795792</v>
      </c>
      <c r="P540" s="27">
        <f t="shared" si="67"/>
        <v>3795792</v>
      </c>
      <c r="Q540" s="27">
        <f t="shared" si="67"/>
        <v>3795792</v>
      </c>
      <c r="R540" s="27">
        <f>Q540/U540</f>
        <v>2.2000000000000002</v>
      </c>
      <c r="S540" s="38">
        <f>Q540/U540</f>
        <v>2.2000000000000002</v>
      </c>
      <c r="T540" s="38">
        <f>S540*AR540</f>
        <v>528</v>
      </c>
      <c r="U540" s="38">
        <f t="shared" si="70"/>
        <v>1725360</v>
      </c>
      <c r="V540" s="38">
        <v>867360</v>
      </c>
      <c r="W540" s="38">
        <v>858000</v>
      </c>
      <c r="X540" s="38">
        <v>0</v>
      </c>
      <c r="Y540" s="38">
        <v>0</v>
      </c>
      <c r="Z540" s="38">
        <f t="shared" si="68"/>
        <v>0</v>
      </c>
      <c r="AA540" s="38">
        <v>0</v>
      </c>
      <c r="AB540" s="38">
        <f t="shared" si="69"/>
        <v>0</v>
      </c>
      <c r="AC540" s="38">
        <f>U540/AR540</f>
        <v>7189</v>
      </c>
      <c r="AD540" s="38">
        <f t="shared" si="66"/>
        <v>7189</v>
      </c>
      <c r="AE540" s="33">
        <v>45427</v>
      </c>
      <c r="AF540" s="33">
        <v>45566</v>
      </c>
      <c r="AG540" s="33"/>
      <c r="AH540" s="33">
        <v>45458</v>
      </c>
      <c r="AI540" s="33">
        <v>45597</v>
      </c>
      <c r="AJ540" s="42"/>
      <c r="AK540" s="37" t="s">
        <v>2899</v>
      </c>
      <c r="AL540" s="37" t="s">
        <v>2900</v>
      </c>
      <c r="AM540" s="37" t="s">
        <v>2901</v>
      </c>
      <c r="AN540" s="37" t="s">
        <v>50</v>
      </c>
      <c r="AO540" s="43">
        <v>100</v>
      </c>
      <c r="AP540" s="35">
        <v>0</v>
      </c>
      <c r="AQ540" s="35" t="s">
        <v>164</v>
      </c>
      <c r="AR540" s="44">
        <v>240</v>
      </c>
      <c r="AS540" s="37" t="s">
        <v>52</v>
      </c>
    </row>
    <row r="541" spans="1:45" ht="58.5" customHeight="1" x14ac:dyDescent="0.25">
      <c r="A541" s="32" t="s">
        <v>2902</v>
      </c>
      <c r="B541" s="56">
        <v>45363</v>
      </c>
      <c r="C541" s="37" t="s">
        <v>2066</v>
      </c>
      <c r="D541" s="36"/>
      <c r="E541" s="1" t="s">
        <v>2903</v>
      </c>
      <c r="F541" s="33">
        <v>45373</v>
      </c>
      <c r="G541" s="35" t="s">
        <v>2904</v>
      </c>
      <c r="H541" s="37" t="s">
        <v>2061</v>
      </c>
      <c r="I541" s="58" t="s">
        <v>1838</v>
      </c>
      <c r="J541" s="57">
        <v>140250</v>
      </c>
      <c r="K541" s="40">
        <f>((J541-M541)/J541)*100</f>
        <v>6.6400000000000041</v>
      </c>
      <c r="L541" s="41">
        <f>J541-M541</f>
        <v>9312.6000000000058</v>
      </c>
      <c r="M541" s="38">
        <v>130937.4</v>
      </c>
      <c r="N541" s="41">
        <f>J541-O541</f>
        <v>9312.6000000000058</v>
      </c>
      <c r="O541" s="38">
        <v>130937.4</v>
      </c>
      <c r="P541" s="27">
        <f t="shared" si="67"/>
        <v>130937.4</v>
      </c>
      <c r="Q541" s="27">
        <f t="shared" si="67"/>
        <v>130937.4</v>
      </c>
      <c r="R541" s="27">
        <f>Q541/U541</f>
        <v>23.34</v>
      </c>
      <c r="S541" s="38">
        <f>Q541/U541</f>
        <v>23.34</v>
      </c>
      <c r="T541" s="38">
        <f>S541*AR541</f>
        <v>1400.4</v>
      </c>
      <c r="U541" s="38">
        <f t="shared" si="70"/>
        <v>5610</v>
      </c>
      <c r="V541" s="38">
        <v>5610</v>
      </c>
      <c r="W541" s="38">
        <v>0</v>
      </c>
      <c r="X541" s="38">
        <v>0</v>
      </c>
      <c r="Y541" s="38">
        <v>0</v>
      </c>
      <c r="Z541" s="38">
        <f t="shared" si="68"/>
        <v>0</v>
      </c>
      <c r="AA541" s="38">
        <v>0</v>
      </c>
      <c r="AB541" s="38">
        <f t="shared" si="69"/>
        <v>0</v>
      </c>
      <c r="AC541" s="38">
        <f>U541/AR541</f>
        <v>93.5</v>
      </c>
      <c r="AD541" s="38">
        <f t="shared" si="66"/>
        <v>94</v>
      </c>
      <c r="AE541" s="33">
        <v>45444</v>
      </c>
      <c r="AF541" s="33"/>
      <c r="AG541" s="33"/>
      <c r="AH541" s="33">
        <v>45474</v>
      </c>
      <c r="AI541" s="33"/>
      <c r="AJ541" s="42"/>
      <c r="AK541" s="37" t="s">
        <v>2905</v>
      </c>
      <c r="AL541" s="37" t="s">
        <v>2906</v>
      </c>
      <c r="AM541" s="37" t="s">
        <v>2907</v>
      </c>
      <c r="AN541" s="37" t="s">
        <v>50</v>
      </c>
      <c r="AO541" s="43">
        <v>100</v>
      </c>
      <c r="AP541" s="35">
        <v>0</v>
      </c>
      <c r="AQ541" s="35" t="s">
        <v>441</v>
      </c>
      <c r="AR541" s="44">
        <v>60</v>
      </c>
      <c r="AS541" s="37" t="s">
        <v>176</v>
      </c>
    </row>
    <row r="542" spans="1:45" ht="45.75" customHeight="1" x14ac:dyDescent="0.25">
      <c r="A542" s="32" t="s">
        <v>2908</v>
      </c>
      <c r="B542" s="56">
        <v>45363</v>
      </c>
      <c r="C542" s="35" t="s">
        <v>486</v>
      </c>
      <c r="D542" s="36"/>
      <c r="E542" s="1" t="s">
        <v>2909</v>
      </c>
      <c r="F542" s="33">
        <v>45384</v>
      </c>
      <c r="G542" s="35" t="s">
        <v>2910</v>
      </c>
      <c r="H542" s="37" t="s">
        <v>2061</v>
      </c>
      <c r="I542" s="58" t="s">
        <v>1838</v>
      </c>
      <c r="J542" s="57">
        <v>239686500</v>
      </c>
      <c r="K542" s="40">
        <f>((J542-M542)/J542)*100</f>
        <v>0.5</v>
      </c>
      <c r="L542" s="41">
        <f>J542-M542</f>
        <v>1198432.5</v>
      </c>
      <c r="M542" s="38">
        <v>238488067.5</v>
      </c>
      <c r="N542" s="41">
        <f>J542-O542</f>
        <v>1198432.5</v>
      </c>
      <c r="O542" s="38">
        <v>238488067.5</v>
      </c>
      <c r="P542" s="27">
        <v>238440130.19999999</v>
      </c>
      <c r="Q542" s="27">
        <f t="shared" si="67"/>
        <v>238440130.19999999</v>
      </c>
      <c r="R542" s="27">
        <f>Q542/U542</f>
        <v>24.869999999999997</v>
      </c>
      <c r="S542" s="38">
        <f>Q542/U542</f>
        <v>24.869999999999997</v>
      </c>
      <c r="T542" s="38">
        <f>S542*AR542</f>
        <v>1492.1999999999998</v>
      </c>
      <c r="U542" s="38">
        <f t="shared" si="70"/>
        <v>9587460</v>
      </c>
      <c r="V542" s="38">
        <v>9587460</v>
      </c>
      <c r="W542" s="38">
        <v>0</v>
      </c>
      <c r="X542" s="38">
        <v>0</v>
      </c>
      <c r="Y542" s="38">
        <v>0</v>
      </c>
      <c r="Z542" s="38">
        <f t="shared" si="68"/>
        <v>0</v>
      </c>
      <c r="AA542" s="38">
        <v>0</v>
      </c>
      <c r="AB542" s="38">
        <f t="shared" si="69"/>
        <v>0</v>
      </c>
      <c r="AC542" s="38">
        <f>U542/AR542</f>
        <v>159791</v>
      </c>
      <c r="AD542" s="38">
        <f t="shared" si="66"/>
        <v>159791</v>
      </c>
      <c r="AE542" s="33">
        <v>45505</v>
      </c>
      <c r="AF542" s="33"/>
      <c r="AG542" s="33"/>
      <c r="AH542" s="33">
        <v>45536</v>
      </c>
      <c r="AI542" s="33"/>
      <c r="AJ542" s="42"/>
      <c r="AK542" s="37" t="s">
        <v>2911</v>
      </c>
      <c r="AL542" s="37" t="s">
        <v>2912</v>
      </c>
      <c r="AM542" s="37" t="s">
        <v>2913</v>
      </c>
      <c r="AN542" s="37" t="s">
        <v>50</v>
      </c>
      <c r="AO542" s="43">
        <v>100</v>
      </c>
      <c r="AP542" s="35">
        <v>0</v>
      </c>
      <c r="AQ542" s="35" t="s">
        <v>441</v>
      </c>
      <c r="AR542" s="44">
        <v>60</v>
      </c>
      <c r="AS542" s="37" t="s">
        <v>52</v>
      </c>
    </row>
    <row r="543" spans="1:45" ht="58.5" customHeight="1" x14ac:dyDescent="0.25">
      <c r="A543" s="32" t="s">
        <v>2914</v>
      </c>
      <c r="B543" s="56">
        <v>45363</v>
      </c>
      <c r="C543" s="37" t="s">
        <v>2074</v>
      </c>
      <c r="D543" s="36"/>
      <c r="E543" s="1" t="s">
        <v>2915</v>
      </c>
      <c r="F543" s="33">
        <v>45373</v>
      </c>
      <c r="G543" s="35" t="s">
        <v>2916</v>
      </c>
      <c r="H543" s="37" t="s">
        <v>2589</v>
      </c>
      <c r="I543" s="58" t="s">
        <v>2917</v>
      </c>
      <c r="J543" s="57">
        <v>8860135.6799999997</v>
      </c>
      <c r="K543" s="40">
        <f>((J543-M543)/J543)*100</f>
        <v>0</v>
      </c>
      <c r="L543" s="41">
        <f>J543-M543</f>
        <v>0</v>
      </c>
      <c r="M543" s="57">
        <v>8860135.6799999997</v>
      </c>
      <c r="N543" s="41">
        <f>J543-O543</f>
        <v>0</v>
      </c>
      <c r="O543" s="57">
        <v>8860135.6799999997</v>
      </c>
      <c r="P543" s="27">
        <f t="shared" si="67"/>
        <v>8860135.6799999997</v>
      </c>
      <c r="Q543" s="27">
        <f t="shared" si="67"/>
        <v>8860135.6799999997</v>
      </c>
      <c r="R543" s="27">
        <f>Q543/U543</f>
        <v>144.66</v>
      </c>
      <c r="S543" s="38">
        <f>Q543/U543</f>
        <v>144.66</v>
      </c>
      <c r="T543" s="38">
        <f>S543*AR543</f>
        <v>6943.68</v>
      </c>
      <c r="U543" s="38">
        <f t="shared" si="70"/>
        <v>61248</v>
      </c>
      <c r="V543" s="38">
        <v>61248</v>
      </c>
      <c r="W543" s="38">
        <v>0</v>
      </c>
      <c r="X543" s="38">
        <v>0</v>
      </c>
      <c r="Y543" s="38">
        <v>0</v>
      </c>
      <c r="Z543" s="38">
        <f t="shared" si="68"/>
        <v>0</v>
      </c>
      <c r="AA543" s="38">
        <v>0</v>
      </c>
      <c r="AB543" s="38">
        <f t="shared" si="69"/>
        <v>0</v>
      </c>
      <c r="AC543" s="38">
        <f>U543/AR543</f>
        <v>1276</v>
      </c>
      <c r="AD543" s="38">
        <f t="shared" si="66"/>
        <v>1276</v>
      </c>
      <c r="AE543" s="33">
        <v>45402</v>
      </c>
      <c r="AF543" s="33"/>
      <c r="AG543" s="33"/>
      <c r="AH543" s="33">
        <v>45432</v>
      </c>
      <c r="AI543" s="33"/>
      <c r="AJ543" s="42"/>
      <c r="AK543" s="37" t="s">
        <v>1993</v>
      </c>
      <c r="AL543" s="37" t="s">
        <v>1994</v>
      </c>
      <c r="AM543" s="37" t="s">
        <v>1995</v>
      </c>
      <c r="AN543" s="37" t="s">
        <v>326</v>
      </c>
      <c r="AO543" s="43">
        <v>0</v>
      </c>
      <c r="AP543" s="35">
        <v>100</v>
      </c>
      <c r="AQ543" s="35" t="s">
        <v>441</v>
      </c>
      <c r="AR543" s="44">
        <v>48</v>
      </c>
      <c r="AS543" s="37" t="s">
        <v>52</v>
      </c>
    </row>
    <row r="544" spans="1:45" ht="45.75" customHeight="1" x14ac:dyDescent="0.25">
      <c r="A544" s="32" t="s">
        <v>2918</v>
      </c>
      <c r="B544" s="56">
        <v>45362</v>
      </c>
      <c r="C544" s="35">
        <v>1416</v>
      </c>
      <c r="D544" s="36"/>
      <c r="E544" s="1" t="s">
        <v>2919</v>
      </c>
      <c r="F544" s="33">
        <v>45383</v>
      </c>
      <c r="G544" s="35" t="s">
        <v>2920</v>
      </c>
      <c r="H544" s="37" t="s">
        <v>364</v>
      </c>
      <c r="I544" s="58" t="s">
        <v>2013</v>
      </c>
      <c r="J544" s="57">
        <v>187050741.90000001</v>
      </c>
      <c r="K544" s="40">
        <f>((J544-M544)/J544)*100</f>
        <v>0</v>
      </c>
      <c r="L544" s="41">
        <f>J544-M544</f>
        <v>0</v>
      </c>
      <c r="M544" s="57">
        <v>187050741.90000001</v>
      </c>
      <c r="N544" s="41">
        <f>J544-O544</f>
        <v>0</v>
      </c>
      <c r="O544" s="57">
        <v>187050741.90000001</v>
      </c>
      <c r="P544" s="27">
        <f t="shared" si="67"/>
        <v>187050741.90000001</v>
      </c>
      <c r="Q544" s="27">
        <f t="shared" si="67"/>
        <v>187050741.90000001</v>
      </c>
      <c r="R544" s="27">
        <f>Q544/U544</f>
        <v>3559.82</v>
      </c>
      <c r="S544" s="38">
        <f>Q544/U544</f>
        <v>3559.82</v>
      </c>
      <c r="T544" s="38">
        <f>S544*AR544</f>
        <v>17799.100000000002</v>
      </c>
      <c r="U544" s="38">
        <f t="shared" si="70"/>
        <v>52545</v>
      </c>
      <c r="V544" s="38">
        <v>52545</v>
      </c>
      <c r="W544" s="38">
        <v>0</v>
      </c>
      <c r="X544" s="38">
        <v>0</v>
      </c>
      <c r="Y544" s="38">
        <v>0</v>
      </c>
      <c r="Z544" s="38">
        <f t="shared" si="68"/>
        <v>0</v>
      </c>
      <c r="AA544" s="38">
        <v>52545</v>
      </c>
      <c r="AB544" s="38">
        <f t="shared" si="69"/>
        <v>187050741.90000001</v>
      </c>
      <c r="AC544" s="38">
        <f>U544/AR544</f>
        <v>10509</v>
      </c>
      <c r="AD544" s="38">
        <f t="shared" si="66"/>
        <v>10509</v>
      </c>
      <c r="AE544" s="33">
        <v>45444</v>
      </c>
      <c r="AF544" s="33"/>
      <c r="AG544" s="33"/>
      <c r="AH544" s="33">
        <v>45474</v>
      </c>
      <c r="AI544" s="33"/>
      <c r="AJ544" s="42"/>
      <c r="AK544" s="37" t="s">
        <v>2921</v>
      </c>
      <c r="AL544" s="37" t="s">
        <v>2922</v>
      </c>
      <c r="AM544" s="37" t="s">
        <v>2923</v>
      </c>
      <c r="AN544" s="37" t="s">
        <v>352</v>
      </c>
      <c r="AO544" s="43">
        <v>0</v>
      </c>
      <c r="AP544" s="35">
        <v>100</v>
      </c>
      <c r="AQ544" s="35" t="s">
        <v>164</v>
      </c>
      <c r="AR544" s="44">
        <v>5</v>
      </c>
      <c r="AS544" s="37" t="s">
        <v>52</v>
      </c>
    </row>
    <row r="545" spans="1:45" ht="47.25" customHeight="1" x14ac:dyDescent="0.25">
      <c r="A545" s="32" t="s">
        <v>2924</v>
      </c>
      <c r="B545" s="56">
        <v>45363</v>
      </c>
      <c r="C545" s="35">
        <v>545</v>
      </c>
      <c r="D545" s="33" t="s">
        <v>485</v>
      </c>
      <c r="E545" s="1" t="s">
        <v>2925</v>
      </c>
      <c r="F545" s="33" t="s">
        <v>485</v>
      </c>
      <c r="G545" s="33" t="s">
        <v>485</v>
      </c>
      <c r="H545" s="33" t="s">
        <v>485</v>
      </c>
      <c r="I545" s="58" t="s">
        <v>1361</v>
      </c>
      <c r="J545" s="57">
        <v>144229104</v>
      </c>
      <c r="K545" s="40">
        <f>((J545-M545)/J545)*100</f>
        <v>100</v>
      </c>
      <c r="L545" s="41">
        <f>J545-M545</f>
        <v>144229104</v>
      </c>
      <c r="M545" s="38"/>
      <c r="N545" s="41">
        <f>J545-O545</f>
        <v>144229104</v>
      </c>
      <c r="O545" s="38">
        <v>0</v>
      </c>
      <c r="P545" s="27">
        <f t="shared" si="67"/>
        <v>0</v>
      </c>
      <c r="Q545" s="27">
        <f t="shared" si="67"/>
        <v>0</v>
      </c>
      <c r="R545" s="27" t="e">
        <f>Q545/U545</f>
        <v>#DIV/0!</v>
      </c>
      <c r="S545" s="38" t="e">
        <f>Q545/U545</f>
        <v>#DIV/0!</v>
      </c>
      <c r="T545" s="38" t="e">
        <f>S545*AR545</f>
        <v>#DIV/0!</v>
      </c>
      <c r="U545" s="38">
        <f t="shared" si="70"/>
        <v>0</v>
      </c>
      <c r="V545" s="38">
        <v>0</v>
      </c>
      <c r="W545" s="38">
        <v>0</v>
      </c>
      <c r="X545" s="38">
        <v>0</v>
      </c>
      <c r="Y545" s="38"/>
      <c r="Z545" s="38" t="e">
        <f t="shared" si="68"/>
        <v>#DIV/0!</v>
      </c>
      <c r="AA545" s="38"/>
      <c r="AB545" s="38" t="e">
        <f t="shared" si="69"/>
        <v>#DIV/0!</v>
      </c>
      <c r="AC545" s="38" t="e">
        <f>U545/AR545</f>
        <v>#DIV/0!</v>
      </c>
      <c r="AD545" s="38" t="e">
        <f t="shared" ref="AD545:AD608" si="71">_xlfn.CEILING.MATH(AC545)</f>
        <v>#DIV/0!</v>
      </c>
      <c r="AE545" s="33">
        <v>45413</v>
      </c>
      <c r="AF545" s="33"/>
      <c r="AG545" s="33"/>
      <c r="AH545" s="33"/>
      <c r="AI545" s="33"/>
      <c r="AJ545" s="42"/>
      <c r="AK545" s="37"/>
      <c r="AL545" s="37"/>
      <c r="AM545" s="37"/>
      <c r="AN545" s="37"/>
      <c r="AO545" s="43"/>
      <c r="AP545" s="35"/>
      <c r="AQ545" s="35"/>
      <c r="AR545" s="44"/>
      <c r="AS545" s="37" t="s">
        <v>485</v>
      </c>
    </row>
    <row r="546" spans="1:45" ht="47.25" customHeight="1" x14ac:dyDescent="0.25">
      <c r="A546" s="32" t="s">
        <v>2926</v>
      </c>
      <c r="B546" s="56">
        <v>45363</v>
      </c>
      <c r="C546" s="35">
        <v>545</v>
      </c>
      <c r="D546" s="36"/>
      <c r="E546" s="1" t="s">
        <v>2927</v>
      </c>
      <c r="F546" s="33">
        <v>45383</v>
      </c>
      <c r="G546" s="35" t="s">
        <v>2928</v>
      </c>
      <c r="H546" s="37" t="s">
        <v>1897</v>
      </c>
      <c r="I546" s="59" t="s">
        <v>2929</v>
      </c>
      <c r="J546" s="57">
        <v>87439176</v>
      </c>
      <c r="K546" s="40">
        <f>((J546-M546)/J546)*100</f>
        <v>0</v>
      </c>
      <c r="L546" s="41">
        <f>J546-M546</f>
        <v>0</v>
      </c>
      <c r="M546" s="57">
        <v>87439176</v>
      </c>
      <c r="N546" s="41">
        <f>J546-O546</f>
        <v>0</v>
      </c>
      <c r="O546" s="57">
        <v>87439176</v>
      </c>
      <c r="P546" s="27">
        <v>98601624</v>
      </c>
      <c r="Q546" s="27">
        <f t="shared" ref="Q546:Q609" si="72">P546</f>
        <v>98601624</v>
      </c>
      <c r="R546" s="27">
        <f>Q546/U546</f>
        <v>15503.4</v>
      </c>
      <c r="S546" s="38">
        <f>Q546/U546</f>
        <v>15503.4</v>
      </c>
      <c r="T546" s="38">
        <f>S546*AR546</f>
        <v>930204</v>
      </c>
      <c r="U546" s="38">
        <f t="shared" si="70"/>
        <v>6360</v>
      </c>
      <c r="V546" s="38">
        <f>5640+720</f>
        <v>6360</v>
      </c>
      <c r="W546" s="38">
        <v>0</v>
      </c>
      <c r="X546" s="38">
        <v>0</v>
      </c>
      <c r="Y546" s="38">
        <v>0</v>
      </c>
      <c r="Z546" s="38">
        <f t="shared" si="68"/>
        <v>0</v>
      </c>
      <c r="AA546" s="38">
        <v>0</v>
      </c>
      <c r="AB546" s="38">
        <f t="shared" si="69"/>
        <v>0</v>
      </c>
      <c r="AC546" s="38">
        <f>U546/AR546</f>
        <v>106</v>
      </c>
      <c r="AD546" s="38">
        <f t="shared" si="71"/>
        <v>106</v>
      </c>
      <c r="AE546" s="33">
        <v>45402</v>
      </c>
      <c r="AF546" s="33"/>
      <c r="AG546" s="33"/>
      <c r="AH546" s="33">
        <v>45432</v>
      </c>
      <c r="AI546" s="33"/>
      <c r="AJ546" s="42"/>
      <c r="AK546" s="37" t="s">
        <v>437</v>
      </c>
      <c r="AL546" s="37" t="s">
        <v>438</v>
      </c>
      <c r="AM546" s="37" t="s">
        <v>439</v>
      </c>
      <c r="AN546" s="37" t="s">
        <v>440</v>
      </c>
      <c r="AO546" s="43">
        <v>0</v>
      </c>
      <c r="AP546" s="35">
        <v>100</v>
      </c>
      <c r="AQ546" s="35" t="s">
        <v>441</v>
      </c>
      <c r="AR546" s="44">
        <v>60</v>
      </c>
      <c r="AS546" s="37" t="s">
        <v>52</v>
      </c>
    </row>
    <row r="547" spans="1:45" ht="47.25" customHeight="1" x14ac:dyDescent="0.25">
      <c r="A547" s="32" t="s">
        <v>2930</v>
      </c>
      <c r="B547" s="56">
        <v>45363</v>
      </c>
      <c r="C547" s="35">
        <v>545</v>
      </c>
      <c r="D547" s="36"/>
      <c r="E547" s="1" t="s">
        <v>2931</v>
      </c>
      <c r="F547" s="33">
        <v>45383</v>
      </c>
      <c r="G547" s="35" t="s">
        <v>2932</v>
      </c>
      <c r="H547" s="37" t="s">
        <v>1897</v>
      </c>
      <c r="I547" s="59" t="s">
        <v>436</v>
      </c>
      <c r="J547" s="57">
        <v>20464488</v>
      </c>
      <c r="K547" s="40">
        <f>((J547-M547)/J547)*100</f>
        <v>0</v>
      </c>
      <c r="L547" s="41">
        <f>J547-M547</f>
        <v>0</v>
      </c>
      <c r="M547" s="57">
        <v>20464488</v>
      </c>
      <c r="N547" s="41">
        <f>J547-O547</f>
        <v>0</v>
      </c>
      <c r="O547" s="57">
        <v>20464488</v>
      </c>
      <c r="P547" s="27">
        <f t="shared" ref="P547:P570" si="73">O547</f>
        <v>20464488</v>
      </c>
      <c r="Q547" s="27">
        <f t="shared" si="72"/>
        <v>20464488</v>
      </c>
      <c r="R547" s="27">
        <f>Q547/U547</f>
        <v>15503.4</v>
      </c>
      <c r="S547" s="38">
        <f>Q547/U547</f>
        <v>15503.4</v>
      </c>
      <c r="T547" s="38">
        <f>S547*AR547</f>
        <v>930204</v>
      </c>
      <c r="U547" s="38">
        <f t="shared" si="70"/>
        <v>1320</v>
      </c>
      <c r="V547" s="38">
        <v>1320</v>
      </c>
      <c r="W547" s="38">
        <v>0</v>
      </c>
      <c r="X547" s="38">
        <v>0</v>
      </c>
      <c r="Y547" s="38">
        <v>0</v>
      </c>
      <c r="Z547" s="38">
        <f t="shared" si="68"/>
        <v>0</v>
      </c>
      <c r="AA547" s="38">
        <v>0</v>
      </c>
      <c r="AB547" s="38">
        <f t="shared" si="69"/>
        <v>0</v>
      </c>
      <c r="AC547" s="38">
        <f>U547/AR547</f>
        <v>22</v>
      </c>
      <c r="AD547" s="38">
        <f t="shared" si="71"/>
        <v>22</v>
      </c>
      <c r="AE547" s="33">
        <v>45402</v>
      </c>
      <c r="AF547" s="33"/>
      <c r="AG547" s="33"/>
      <c r="AH547" s="33">
        <v>45432</v>
      </c>
      <c r="AI547" s="33"/>
      <c r="AJ547" s="42"/>
      <c r="AK547" s="37" t="s">
        <v>437</v>
      </c>
      <c r="AL547" s="37" t="s">
        <v>438</v>
      </c>
      <c r="AM547" s="37" t="s">
        <v>439</v>
      </c>
      <c r="AN547" s="37" t="s">
        <v>440</v>
      </c>
      <c r="AO547" s="43">
        <v>0</v>
      </c>
      <c r="AP547" s="35">
        <v>100</v>
      </c>
      <c r="AQ547" s="35" t="s">
        <v>441</v>
      </c>
      <c r="AR547" s="44">
        <v>60</v>
      </c>
      <c r="AS547" s="37" t="s">
        <v>52</v>
      </c>
    </row>
    <row r="548" spans="1:45" ht="47.25" customHeight="1" x14ac:dyDescent="0.25">
      <c r="A548" s="32" t="s">
        <v>2933</v>
      </c>
      <c r="B548" s="56">
        <v>45365</v>
      </c>
      <c r="C548" s="37" t="s">
        <v>2074</v>
      </c>
      <c r="D548" s="33" t="s">
        <v>485</v>
      </c>
      <c r="E548" s="1" t="s">
        <v>2934</v>
      </c>
      <c r="F548" s="33" t="s">
        <v>485</v>
      </c>
      <c r="G548" s="33" t="s">
        <v>485</v>
      </c>
      <c r="H548" s="33" t="s">
        <v>485</v>
      </c>
      <c r="I548" s="58" t="s">
        <v>2935</v>
      </c>
      <c r="J548" s="57">
        <v>261703.59</v>
      </c>
      <c r="K548" s="40">
        <f>((J548-M548)/J548)*100</f>
        <v>100</v>
      </c>
      <c r="L548" s="41">
        <f>J548-M548</f>
        <v>261703.59</v>
      </c>
      <c r="M548" s="38"/>
      <c r="N548" s="41">
        <f>J548-O548</f>
        <v>261703.59</v>
      </c>
      <c r="O548" s="38">
        <v>0</v>
      </c>
      <c r="P548" s="27">
        <f t="shared" si="73"/>
        <v>0</v>
      </c>
      <c r="Q548" s="27">
        <f t="shared" si="72"/>
        <v>0</v>
      </c>
      <c r="R548" s="27" t="e">
        <f>Q548/U548</f>
        <v>#DIV/0!</v>
      </c>
      <c r="S548" s="38" t="e">
        <f>Q548/U548</f>
        <v>#DIV/0!</v>
      </c>
      <c r="T548" s="38" t="e">
        <f>S548*AR548</f>
        <v>#DIV/0!</v>
      </c>
      <c r="U548" s="38">
        <f t="shared" si="70"/>
        <v>0</v>
      </c>
      <c r="V548" s="38">
        <v>0</v>
      </c>
      <c r="W548" s="38">
        <v>0</v>
      </c>
      <c r="X548" s="38">
        <v>0</v>
      </c>
      <c r="Y548" s="38"/>
      <c r="Z548" s="38" t="e">
        <f t="shared" si="68"/>
        <v>#DIV/0!</v>
      </c>
      <c r="AA548" s="38"/>
      <c r="AB548" s="38" t="e">
        <f t="shared" si="69"/>
        <v>#DIV/0!</v>
      </c>
      <c r="AC548" s="38" t="e">
        <f>U548/AR548</f>
        <v>#DIV/0!</v>
      </c>
      <c r="AD548" s="38" t="e">
        <f t="shared" si="71"/>
        <v>#DIV/0!</v>
      </c>
      <c r="AE548" s="33">
        <v>45427</v>
      </c>
      <c r="AF548" s="33"/>
      <c r="AG548" s="33"/>
      <c r="AH548" s="33"/>
      <c r="AI548" s="33"/>
      <c r="AJ548" s="42"/>
      <c r="AK548" s="37"/>
      <c r="AL548" s="37"/>
      <c r="AM548" s="37"/>
      <c r="AN548" s="37"/>
      <c r="AO548" s="43"/>
      <c r="AP548" s="35"/>
      <c r="AQ548" s="35"/>
      <c r="AR548" s="44"/>
      <c r="AS548" s="37" t="s">
        <v>485</v>
      </c>
    </row>
    <row r="549" spans="1:45" ht="47.25" customHeight="1" x14ac:dyDescent="0.25">
      <c r="A549" s="32" t="s">
        <v>2936</v>
      </c>
      <c r="B549" s="56">
        <v>45365</v>
      </c>
      <c r="C549" s="37" t="s">
        <v>2066</v>
      </c>
      <c r="D549" s="33" t="s">
        <v>485</v>
      </c>
      <c r="E549" s="1" t="s">
        <v>2937</v>
      </c>
      <c r="F549" s="33" t="s">
        <v>485</v>
      </c>
      <c r="G549" s="33" t="s">
        <v>485</v>
      </c>
      <c r="H549" s="33" t="s">
        <v>485</v>
      </c>
      <c r="I549" s="58" t="s">
        <v>1558</v>
      </c>
      <c r="J549" s="57">
        <v>6570768.5999999996</v>
      </c>
      <c r="K549" s="40">
        <f>((J549-M549)/J549)*100</f>
        <v>100</v>
      </c>
      <c r="L549" s="41">
        <f>J549-M549</f>
        <v>6570768.5999999996</v>
      </c>
      <c r="M549" s="38"/>
      <c r="N549" s="41">
        <f>J549-O549</f>
        <v>6570768.5999999996</v>
      </c>
      <c r="O549" s="38">
        <v>0</v>
      </c>
      <c r="P549" s="27">
        <f t="shared" si="73"/>
        <v>0</v>
      </c>
      <c r="Q549" s="27">
        <f t="shared" si="72"/>
        <v>0</v>
      </c>
      <c r="R549" s="27" t="e">
        <f>Q549/U549</f>
        <v>#DIV/0!</v>
      </c>
      <c r="S549" s="38" t="e">
        <f>Q549/U549</f>
        <v>#DIV/0!</v>
      </c>
      <c r="T549" s="38" t="e">
        <f>S549*AR549</f>
        <v>#DIV/0!</v>
      </c>
      <c r="U549" s="38">
        <f t="shared" si="70"/>
        <v>0</v>
      </c>
      <c r="V549" s="38">
        <v>0</v>
      </c>
      <c r="W549" s="38">
        <v>0</v>
      </c>
      <c r="X549" s="38">
        <v>0</v>
      </c>
      <c r="Y549" s="38"/>
      <c r="Z549" s="38" t="e">
        <f t="shared" si="68"/>
        <v>#DIV/0!</v>
      </c>
      <c r="AA549" s="38"/>
      <c r="AB549" s="38" t="e">
        <f t="shared" si="69"/>
        <v>#DIV/0!</v>
      </c>
      <c r="AC549" s="38" t="e">
        <f>U549/AR549</f>
        <v>#DIV/0!</v>
      </c>
      <c r="AD549" s="38" t="e">
        <f t="shared" si="71"/>
        <v>#DIV/0!</v>
      </c>
      <c r="AE549" s="33">
        <v>45474</v>
      </c>
      <c r="AF549" s="33">
        <v>45536</v>
      </c>
      <c r="AG549" s="33"/>
      <c r="AH549" s="33"/>
      <c r="AI549" s="33"/>
      <c r="AJ549" s="42"/>
      <c r="AK549" s="37"/>
      <c r="AL549" s="37"/>
      <c r="AM549" s="37"/>
      <c r="AN549" s="37"/>
      <c r="AO549" s="43"/>
      <c r="AP549" s="35"/>
      <c r="AQ549" s="35"/>
      <c r="AR549" s="44"/>
      <c r="AS549" s="37" t="s">
        <v>485</v>
      </c>
    </row>
    <row r="550" spans="1:45" ht="47.25" customHeight="1" x14ac:dyDescent="0.25">
      <c r="A550" s="32" t="s">
        <v>2938</v>
      </c>
      <c r="B550" s="56">
        <v>45365</v>
      </c>
      <c r="C550" s="37" t="s">
        <v>2074</v>
      </c>
      <c r="D550" s="33" t="s">
        <v>485</v>
      </c>
      <c r="E550" s="1" t="s">
        <v>2939</v>
      </c>
      <c r="F550" s="33" t="s">
        <v>485</v>
      </c>
      <c r="G550" s="33" t="s">
        <v>485</v>
      </c>
      <c r="H550" s="33" t="s">
        <v>485</v>
      </c>
      <c r="I550" s="58" t="s">
        <v>2940</v>
      </c>
      <c r="J550" s="57">
        <v>22577.94</v>
      </c>
      <c r="K550" s="40">
        <f>((J550-M550)/J550)*100</f>
        <v>100</v>
      </c>
      <c r="L550" s="41">
        <f>J550-M550</f>
        <v>22577.94</v>
      </c>
      <c r="M550" s="38"/>
      <c r="N550" s="41">
        <f>J550-O550</f>
        <v>22577.94</v>
      </c>
      <c r="O550" s="38">
        <v>0</v>
      </c>
      <c r="P550" s="27">
        <f t="shared" si="73"/>
        <v>0</v>
      </c>
      <c r="Q550" s="27">
        <f t="shared" si="72"/>
        <v>0</v>
      </c>
      <c r="R550" s="27" t="e">
        <f>Q550/U550</f>
        <v>#DIV/0!</v>
      </c>
      <c r="S550" s="38" t="e">
        <f>Q550/U550</f>
        <v>#DIV/0!</v>
      </c>
      <c r="T550" s="38" t="e">
        <f>S550*AR550</f>
        <v>#DIV/0!</v>
      </c>
      <c r="U550" s="38">
        <f t="shared" si="70"/>
        <v>0</v>
      </c>
      <c r="V550" s="38">
        <v>0</v>
      </c>
      <c r="W550" s="38">
        <v>0</v>
      </c>
      <c r="X550" s="38">
        <v>0</v>
      </c>
      <c r="Y550" s="38"/>
      <c r="Z550" s="38" t="e">
        <f t="shared" si="68"/>
        <v>#DIV/0!</v>
      </c>
      <c r="AA550" s="38"/>
      <c r="AB550" s="38" t="e">
        <f t="shared" si="69"/>
        <v>#DIV/0!</v>
      </c>
      <c r="AC550" s="38" t="e">
        <f>U550/AR550</f>
        <v>#DIV/0!</v>
      </c>
      <c r="AD550" s="38" t="e">
        <f t="shared" si="71"/>
        <v>#DIV/0!</v>
      </c>
      <c r="AE550" s="33">
        <v>45427</v>
      </c>
      <c r="AF550" s="33"/>
      <c r="AG550" s="33"/>
      <c r="AH550" s="33"/>
      <c r="AI550" s="33"/>
      <c r="AJ550" s="42"/>
      <c r="AK550" s="37"/>
      <c r="AL550" s="37"/>
      <c r="AM550" s="37"/>
      <c r="AN550" s="37"/>
      <c r="AO550" s="43"/>
      <c r="AP550" s="35"/>
      <c r="AQ550" s="35"/>
      <c r="AR550" s="44"/>
      <c r="AS550" s="37" t="s">
        <v>485</v>
      </c>
    </row>
    <row r="551" spans="1:45" ht="47.25" customHeight="1" x14ac:dyDescent="0.25">
      <c r="A551" s="32" t="s">
        <v>2941</v>
      </c>
      <c r="B551" s="56">
        <v>45365</v>
      </c>
      <c r="C551" s="35" t="s">
        <v>486</v>
      </c>
      <c r="D551" s="36"/>
      <c r="E551" s="1" t="s">
        <v>2942</v>
      </c>
      <c r="F551" s="33">
        <v>45384</v>
      </c>
      <c r="G551" s="35" t="s">
        <v>2943</v>
      </c>
      <c r="H551" s="37" t="s">
        <v>273</v>
      </c>
      <c r="I551" s="58" t="s">
        <v>1836</v>
      </c>
      <c r="J551" s="57">
        <v>3093816</v>
      </c>
      <c r="K551" s="40">
        <f>((J551-M551)/J551)*100</f>
        <v>0.50000000000000244</v>
      </c>
      <c r="L551" s="41">
        <f>J551-M551</f>
        <v>15469.080000000075</v>
      </c>
      <c r="M551" s="38">
        <v>3078346.92</v>
      </c>
      <c r="N551" s="41">
        <f>J551-O551</f>
        <v>15469.080000000075</v>
      </c>
      <c r="O551" s="38">
        <v>3078346.92</v>
      </c>
      <c r="P551" s="27">
        <f t="shared" si="73"/>
        <v>3078346.92</v>
      </c>
      <c r="Q551" s="27">
        <f t="shared" si="72"/>
        <v>3078346.92</v>
      </c>
      <c r="R551" s="27">
        <f>Q551/U551</f>
        <v>1.0945</v>
      </c>
      <c r="S551" s="38">
        <f>Q551/U551</f>
        <v>1.0945</v>
      </c>
      <c r="T551" s="38">
        <f>S551*AR551</f>
        <v>262.68</v>
      </c>
      <c r="U551" s="38">
        <f t="shared" si="70"/>
        <v>2812560</v>
      </c>
      <c r="V551" s="38">
        <v>1406280</v>
      </c>
      <c r="W551" s="38">
        <v>1406280</v>
      </c>
      <c r="X551" s="38">
        <v>0</v>
      </c>
      <c r="Y551" s="38">
        <v>0</v>
      </c>
      <c r="Z551" s="38">
        <f t="shared" si="68"/>
        <v>0</v>
      </c>
      <c r="AA551" s="38">
        <v>0</v>
      </c>
      <c r="AB551" s="38">
        <f t="shared" si="69"/>
        <v>0</v>
      </c>
      <c r="AC551" s="38">
        <f>U551/AR551</f>
        <v>11719</v>
      </c>
      <c r="AD551" s="38">
        <f t="shared" si="71"/>
        <v>11719</v>
      </c>
      <c r="AE551" s="33">
        <v>45427</v>
      </c>
      <c r="AF551" s="33">
        <v>45566</v>
      </c>
      <c r="AG551" s="33"/>
      <c r="AH551" s="33">
        <v>45458</v>
      </c>
      <c r="AI551" s="33">
        <v>45597</v>
      </c>
      <c r="AJ551" s="42"/>
      <c r="AK551" s="37" t="s">
        <v>2944</v>
      </c>
      <c r="AL551" s="37" t="s">
        <v>2945</v>
      </c>
      <c r="AM551" s="37" t="s">
        <v>2946</v>
      </c>
      <c r="AN551" s="37" t="s">
        <v>50</v>
      </c>
      <c r="AO551" s="43">
        <v>100</v>
      </c>
      <c r="AP551" s="35">
        <v>0</v>
      </c>
      <c r="AQ551" s="35" t="s">
        <v>164</v>
      </c>
      <c r="AR551" s="44">
        <v>240</v>
      </c>
      <c r="AS551" s="37" t="s">
        <v>52</v>
      </c>
    </row>
    <row r="552" spans="1:45" ht="47.25" customHeight="1" x14ac:dyDescent="0.25">
      <c r="A552" s="32" t="s">
        <v>2947</v>
      </c>
      <c r="B552" s="56">
        <v>45365</v>
      </c>
      <c r="C552" s="35" t="s">
        <v>486</v>
      </c>
      <c r="D552" s="36"/>
      <c r="E552" s="1" t="s">
        <v>2948</v>
      </c>
      <c r="F552" s="33">
        <v>45385</v>
      </c>
      <c r="G552" s="35" t="s">
        <v>2949</v>
      </c>
      <c r="H552" s="37" t="s">
        <v>2061</v>
      </c>
      <c r="I552" s="58" t="s">
        <v>1641</v>
      </c>
      <c r="J552" s="57">
        <v>291060000</v>
      </c>
      <c r="K552" s="40">
        <f>((J552-M552)/J552)*100</f>
        <v>0</v>
      </c>
      <c r="L552" s="41">
        <f>J552-M552</f>
        <v>0</v>
      </c>
      <c r="M552" s="57">
        <v>291060000</v>
      </c>
      <c r="N552" s="41">
        <f>J552-O552</f>
        <v>0</v>
      </c>
      <c r="O552" s="57">
        <v>291060000</v>
      </c>
      <c r="P552" s="27">
        <f t="shared" si="73"/>
        <v>291060000</v>
      </c>
      <c r="Q552" s="27">
        <f t="shared" si="72"/>
        <v>291060000</v>
      </c>
      <c r="R552" s="27">
        <f>Q552/U552</f>
        <v>12</v>
      </c>
      <c r="S552" s="38">
        <f>Q552/U552</f>
        <v>12</v>
      </c>
      <c r="T552" s="38" t="e">
        <f>S552*AR552</f>
        <v>#VALUE!</v>
      </c>
      <c r="U552" s="38">
        <f t="shared" si="70"/>
        <v>24255000</v>
      </c>
      <c r="V552" s="38">
        <v>5910000</v>
      </c>
      <c r="W552" s="38">
        <v>18345000</v>
      </c>
      <c r="X552" s="38">
        <v>0</v>
      </c>
      <c r="Y552" s="38">
        <v>0</v>
      </c>
      <c r="Z552" s="38">
        <f t="shared" si="68"/>
        <v>0</v>
      </c>
      <c r="AA552" s="38">
        <v>0</v>
      </c>
      <c r="AB552" s="38">
        <f t="shared" si="69"/>
        <v>0</v>
      </c>
      <c r="AC552" s="38" t="e">
        <f>U552/AR552</f>
        <v>#VALUE!</v>
      </c>
      <c r="AD552" s="38" t="e">
        <f t="shared" si="71"/>
        <v>#VALUE!</v>
      </c>
      <c r="AE552" s="33">
        <v>45444</v>
      </c>
      <c r="AF552" s="33">
        <v>45595</v>
      </c>
      <c r="AG552" s="33"/>
      <c r="AH552" s="33">
        <v>45474</v>
      </c>
      <c r="AI552" s="33">
        <v>45627</v>
      </c>
      <c r="AJ552" s="42"/>
      <c r="AK552" s="37" t="s">
        <v>2950</v>
      </c>
      <c r="AL552" s="37" t="s">
        <v>2951</v>
      </c>
      <c r="AM552" s="37" t="s">
        <v>2952</v>
      </c>
      <c r="AN552" s="37" t="s">
        <v>50</v>
      </c>
      <c r="AO552" s="43">
        <v>100</v>
      </c>
      <c r="AP552" s="35">
        <v>0</v>
      </c>
      <c r="AQ552" s="35" t="s">
        <v>441</v>
      </c>
      <c r="AR552" s="48" t="s">
        <v>2953</v>
      </c>
      <c r="AS552" s="37" t="s">
        <v>52</v>
      </c>
    </row>
    <row r="553" spans="1:45" ht="47.25" customHeight="1" x14ac:dyDescent="0.25">
      <c r="A553" s="32" t="s">
        <v>2954</v>
      </c>
      <c r="B553" s="56">
        <v>45365</v>
      </c>
      <c r="C553" s="35" t="s">
        <v>486</v>
      </c>
      <c r="D553" s="36"/>
      <c r="E553" s="1" t="s">
        <v>2955</v>
      </c>
      <c r="F553" s="33">
        <v>45387</v>
      </c>
      <c r="G553" s="35" t="s">
        <v>2956</v>
      </c>
      <c r="H553" s="37" t="s">
        <v>2061</v>
      </c>
      <c r="I553" s="58" t="s">
        <v>1710</v>
      </c>
      <c r="J553" s="57">
        <v>236478936</v>
      </c>
      <c r="K553" s="40">
        <f>((J553-M553)/J553)*100</f>
        <v>0.500000000000003</v>
      </c>
      <c r="L553" s="41">
        <f>J553-M553</f>
        <v>1182394.6800000072</v>
      </c>
      <c r="M553" s="38">
        <v>235296541.31999999</v>
      </c>
      <c r="N553" s="41">
        <f>J553-O553</f>
        <v>1182394.6800000072</v>
      </c>
      <c r="O553" s="38">
        <v>235296541.31999999</v>
      </c>
      <c r="P553" s="27">
        <v>235139112</v>
      </c>
      <c r="Q553" s="27">
        <f t="shared" si="72"/>
        <v>235139112</v>
      </c>
      <c r="R553" s="27">
        <f>Q553/U553</f>
        <v>14.04</v>
      </c>
      <c r="S553" s="38">
        <f>Q553/U553</f>
        <v>14.04</v>
      </c>
      <c r="T553" s="38" t="e">
        <f>S553*AR553</f>
        <v>#VALUE!</v>
      </c>
      <c r="U553" s="38">
        <f t="shared" si="70"/>
        <v>16747800</v>
      </c>
      <c r="V553" s="38">
        <v>16747800</v>
      </c>
      <c r="W553" s="38">
        <v>0</v>
      </c>
      <c r="X553" s="38">
        <v>0</v>
      </c>
      <c r="Y553" s="38">
        <v>0</v>
      </c>
      <c r="Z553" s="38">
        <f t="shared" si="68"/>
        <v>0</v>
      </c>
      <c r="AA553" s="38">
        <v>0</v>
      </c>
      <c r="AB553" s="38">
        <f t="shared" si="69"/>
        <v>0</v>
      </c>
      <c r="AC553" s="38" t="e">
        <f>U553/AR553</f>
        <v>#VALUE!</v>
      </c>
      <c r="AD553" s="38" t="e">
        <f t="shared" si="71"/>
        <v>#VALUE!</v>
      </c>
      <c r="AE553" s="33">
        <v>45474</v>
      </c>
      <c r="AF553" s="33"/>
      <c r="AG553" s="33"/>
      <c r="AH553" s="33">
        <v>45505</v>
      </c>
      <c r="AI553" s="33"/>
      <c r="AJ553" s="42"/>
      <c r="AK553" s="37" t="s">
        <v>2957</v>
      </c>
      <c r="AL553" s="37" t="s">
        <v>2958</v>
      </c>
      <c r="AM553" s="37" t="s">
        <v>2959</v>
      </c>
      <c r="AN553" s="37" t="s">
        <v>50</v>
      </c>
      <c r="AO553" s="43">
        <v>100</v>
      </c>
      <c r="AP553" s="35">
        <v>0</v>
      </c>
      <c r="AQ553" s="35" t="s">
        <v>441</v>
      </c>
      <c r="AR553" s="48" t="s">
        <v>2960</v>
      </c>
      <c r="AS553" s="37" t="s">
        <v>52</v>
      </c>
    </row>
    <row r="554" spans="1:45" ht="47.25" customHeight="1" x14ac:dyDescent="0.25">
      <c r="A554" s="32" t="s">
        <v>2961</v>
      </c>
      <c r="B554" s="56">
        <v>45365</v>
      </c>
      <c r="C554" s="37" t="s">
        <v>2066</v>
      </c>
      <c r="D554" s="36"/>
      <c r="E554" s="1" t="s">
        <v>2962</v>
      </c>
      <c r="F554" s="33">
        <v>45377</v>
      </c>
      <c r="G554" s="35" t="s">
        <v>2963</v>
      </c>
      <c r="H554" s="37" t="s">
        <v>2061</v>
      </c>
      <c r="I554" s="58" t="s">
        <v>1710</v>
      </c>
      <c r="J554" s="57">
        <v>216459.6</v>
      </c>
      <c r="K554" s="40">
        <f>((J554-M554)/J554)*100</f>
        <v>0</v>
      </c>
      <c r="L554" s="41">
        <f>J554-M554</f>
        <v>0</v>
      </c>
      <c r="M554" s="57">
        <v>216459.6</v>
      </c>
      <c r="N554" s="41">
        <f>J554-O554</f>
        <v>0</v>
      </c>
      <c r="O554" s="57">
        <v>216459.6</v>
      </c>
      <c r="P554" s="27">
        <f t="shared" si="73"/>
        <v>216459.6</v>
      </c>
      <c r="Q554" s="27">
        <f t="shared" si="72"/>
        <v>216459.6</v>
      </c>
      <c r="R554" s="27">
        <f>Q554/U554</f>
        <v>14.120000000000001</v>
      </c>
      <c r="S554" s="38">
        <f>Q554/U554</f>
        <v>14.120000000000001</v>
      </c>
      <c r="T554" s="38">
        <f>S554*AR554</f>
        <v>423.6</v>
      </c>
      <c r="U554" s="38">
        <f t="shared" si="70"/>
        <v>15330</v>
      </c>
      <c r="V554" s="38">
        <v>15330</v>
      </c>
      <c r="W554" s="38">
        <v>0</v>
      </c>
      <c r="X554" s="38">
        <v>0</v>
      </c>
      <c r="Y554" s="38">
        <v>0</v>
      </c>
      <c r="Z554" s="38">
        <f t="shared" si="68"/>
        <v>0</v>
      </c>
      <c r="AA554" s="38">
        <v>0</v>
      </c>
      <c r="AB554" s="38">
        <f t="shared" si="69"/>
        <v>0</v>
      </c>
      <c r="AC554" s="38">
        <f>U554/AR554</f>
        <v>511</v>
      </c>
      <c r="AD554" s="38">
        <f t="shared" si="71"/>
        <v>511</v>
      </c>
      <c r="AE554" s="33">
        <v>45444</v>
      </c>
      <c r="AF554" s="33"/>
      <c r="AG554" s="33"/>
      <c r="AH554" s="33">
        <v>45474</v>
      </c>
      <c r="AI554" s="33"/>
      <c r="AJ554" s="42"/>
      <c r="AK554" s="37" t="s">
        <v>2964</v>
      </c>
      <c r="AL554" s="37" t="s">
        <v>2965</v>
      </c>
      <c r="AM554" s="37" t="s">
        <v>2966</v>
      </c>
      <c r="AN554" s="37" t="s">
        <v>50</v>
      </c>
      <c r="AO554" s="43">
        <v>100</v>
      </c>
      <c r="AP554" s="35">
        <v>0</v>
      </c>
      <c r="AQ554" s="35" t="s">
        <v>441</v>
      </c>
      <c r="AR554" s="44">
        <v>30</v>
      </c>
      <c r="AS554" s="37" t="s">
        <v>52</v>
      </c>
    </row>
    <row r="555" spans="1:45" ht="47.25" customHeight="1" x14ac:dyDescent="0.25">
      <c r="A555" s="32" t="s">
        <v>2967</v>
      </c>
      <c r="B555" s="56">
        <v>45366</v>
      </c>
      <c r="C555" s="35" t="s">
        <v>486</v>
      </c>
      <c r="D555" s="36"/>
      <c r="E555" s="1" t="s">
        <v>2968</v>
      </c>
      <c r="F555" s="33">
        <v>45387</v>
      </c>
      <c r="G555" s="35" t="s">
        <v>2969</v>
      </c>
      <c r="H555" s="37" t="s">
        <v>2061</v>
      </c>
      <c r="I555" s="58" t="s">
        <v>1753</v>
      </c>
      <c r="J555" s="57">
        <v>185283180</v>
      </c>
      <c r="K555" s="40">
        <f>((J555-M555)/J555)*100</f>
        <v>0.50000000000000322</v>
      </c>
      <c r="L555" s="41">
        <f>J555-M555</f>
        <v>926415.90000000596</v>
      </c>
      <c r="M555" s="38">
        <v>184356764.09999999</v>
      </c>
      <c r="N555" s="41">
        <f>J555-O555</f>
        <v>926415.90000000596</v>
      </c>
      <c r="O555" s="38">
        <v>184356764.09999999</v>
      </c>
      <c r="P555" s="27">
        <f t="shared" si="73"/>
        <v>184356764.09999999</v>
      </c>
      <c r="Q555" s="27">
        <f t="shared" si="72"/>
        <v>184356764.09999999</v>
      </c>
      <c r="R555" s="27">
        <f>Q555/U555</f>
        <v>24.974499999999999</v>
      </c>
      <c r="S555" s="38">
        <f>Q555/U555</f>
        <v>24.974499999999999</v>
      </c>
      <c r="T555" s="38" t="e">
        <f>S555*AR555</f>
        <v>#VALUE!</v>
      </c>
      <c r="U555" s="38">
        <f t="shared" si="70"/>
        <v>7381800</v>
      </c>
      <c r="V555" s="38">
        <v>3900000</v>
      </c>
      <c r="W555" s="38">
        <v>3481800</v>
      </c>
      <c r="X555" s="38">
        <v>0</v>
      </c>
      <c r="Y555" s="38">
        <v>0</v>
      </c>
      <c r="Z555" s="38">
        <f t="shared" si="68"/>
        <v>0</v>
      </c>
      <c r="AA555" s="38">
        <v>0</v>
      </c>
      <c r="AB555" s="38">
        <f t="shared" si="69"/>
        <v>0</v>
      </c>
      <c r="AC555" s="38" t="e">
        <f>U555/AR555</f>
        <v>#VALUE!</v>
      </c>
      <c r="AD555" s="38" t="e">
        <f t="shared" si="71"/>
        <v>#VALUE!</v>
      </c>
      <c r="AE555" s="33">
        <v>45444</v>
      </c>
      <c r="AF555" s="33">
        <v>45566</v>
      </c>
      <c r="AG555" s="33"/>
      <c r="AH555" s="33">
        <v>45474</v>
      </c>
      <c r="AI555" s="33">
        <v>45597</v>
      </c>
      <c r="AJ555" s="42"/>
      <c r="AK555" s="37" t="s">
        <v>2970</v>
      </c>
      <c r="AL555" s="37" t="s">
        <v>2971</v>
      </c>
      <c r="AM555" s="37" t="s">
        <v>2972</v>
      </c>
      <c r="AN555" s="37" t="s">
        <v>50</v>
      </c>
      <c r="AO555" s="43">
        <v>100</v>
      </c>
      <c r="AP555" s="35">
        <v>0</v>
      </c>
      <c r="AQ555" s="35" t="s">
        <v>441</v>
      </c>
      <c r="AR555" s="48" t="s">
        <v>2973</v>
      </c>
      <c r="AS555" s="37" t="s">
        <v>52</v>
      </c>
    </row>
    <row r="556" spans="1:45" ht="47.25" customHeight="1" x14ac:dyDescent="0.25">
      <c r="A556" s="32" t="s">
        <v>2974</v>
      </c>
      <c r="B556" s="56">
        <v>45366</v>
      </c>
      <c r="C556" s="35" t="s">
        <v>486</v>
      </c>
      <c r="D556" s="36"/>
      <c r="E556" s="1" t="s">
        <v>2975</v>
      </c>
      <c r="F556" s="33">
        <v>45387</v>
      </c>
      <c r="G556" s="35" t="s">
        <v>2976</v>
      </c>
      <c r="H556" s="37" t="s">
        <v>1166</v>
      </c>
      <c r="I556" s="59" t="s">
        <v>1311</v>
      </c>
      <c r="J556" s="57">
        <v>2701507.2</v>
      </c>
      <c r="K556" s="40">
        <f>((J556-M556)/J556)*100</f>
        <v>0</v>
      </c>
      <c r="L556" s="41">
        <f>J556-M556</f>
        <v>0</v>
      </c>
      <c r="M556" s="57">
        <v>2701507.2</v>
      </c>
      <c r="N556" s="41">
        <f>J556-O556</f>
        <v>606816.00000000023</v>
      </c>
      <c r="O556" s="38">
        <v>2094691.2</v>
      </c>
      <c r="P556" s="27">
        <f t="shared" si="73"/>
        <v>2094691.2</v>
      </c>
      <c r="Q556" s="27">
        <f t="shared" si="72"/>
        <v>2094691.2</v>
      </c>
      <c r="R556" s="27">
        <f>Q556/U556</f>
        <v>44.53</v>
      </c>
      <c r="S556" s="38">
        <f>Q556/U556</f>
        <v>44.53</v>
      </c>
      <c r="T556" s="38">
        <f>S556*AR556</f>
        <v>5343.6</v>
      </c>
      <c r="U556" s="38">
        <f t="shared" si="70"/>
        <v>47040</v>
      </c>
      <c r="V556" s="38">
        <v>47040</v>
      </c>
      <c r="W556" s="38">
        <v>0</v>
      </c>
      <c r="X556" s="38">
        <v>0</v>
      </c>
      <c r="Y556" s="38">
        <v>0</v>
      </c>
      <c r="Z556" s="38">
        <f t="shared" si="68"/>
        <v>0</v>
      </c>
      <c r="AA556" s="38">
        <v>0</v>
      </c>
      <c r="AB556" s="38">
        <f t="shared" si="69"/>
        <v>0</v>
      </c>
      <c r="AC556" s="38">
        <f>U556/AR556</f>
        <v>392</v>
      </c>
      <c r="AD556" s="38">
        <f t="shared" si="71"/>
        <v>392</v>
      </c>
      <c r="AE556" s="33">
        <v>45580</v>
      </c>
      <c r="AF556" s="33"/>
      <c r="AG556" s="33"/>
      <c r="AH556" s="33">
        <v>45611</v>
      </c>
      <c r="AI556" s="33"/>
      <c r="AJ556" s="42"/>
      <c r="AK556" s="37" t="s">
        <v>1302</v>
      </c>
      <c r="AL556" s="37" t="s">
        <v>2977</v>
      </c>
      <c r="AM556" s="37" t="s">
        <v>1304</v>
      </c>
      <c r="AN556" s="37" t="s">
        <v>50</v>
      </c>
      <c r="AO556" s="43">
        <v>100</v>
      </c>
      <c r="AP556" s="35">
        <v>0</v>
      </c>
      <c r="AQ556" s="35" t="s">
        <v>441</v>
      </c>
      <c r="AR556" s="44">
        <v>120</v>
      </c>
      <c r="AS556" s="37" t="s">
        <v>52</v>
      </c>
    </row>
    <row r="557" spans="1:45" ht="56.25" customHeight="1" x14ac:dyDescent="0.25">
      <c r="A557" s="32" t="s">
        <v>2978</v>
      </c>
      <c r="B557" s="33">
        <v>45369</v>
      </c>
      <c r="C557" s="35">
        <v>1416</v>
      </c>
      <c r="D557" s="36"/>
      <c r="E557" s="1" t="s">
        <v>2979</v>
      </c>
      <c r="F557" s="33">
        <v>45397</v>
      </c>
      <c r="G557" s="35" t="s">
        <v>2980</v>
      </c>
      <c r="H557" s="37" t="s">
        <v>411</v>
      </c>
      <c r="I557" s="37" t="s">
        <v>785</v>
      </c>
      <c r="J557" s="38">
        <v>696281175.59000003</v>
      </c>
      <c r="K557" s="40">
        <f>((J557-M557)/J557)*100</f>
        <v>0</v>
      </c>
      <c r="L557" s="41">
        <f>J557-M557</f>
        <v>0</v>
      </c>
      <c r="M557" s="38">
        <v>696281175.59000003</v>
      </c>
      <c r="N557" s="41">
        <f>J557-O557</f>
        <v>0</v>
      </c>
      <c r="O557" s="38">
        <v>696281175.59000003</v>
      </c>
      <c r="P557" s="27">
        <f t="shared" si="73"/>
        <v>696281175.59000003</v>
      </c>
      <c r="Q557" s="27">
        <f t="shared" si="72"/>
        <v>696281175.59000003</v>
      </c>
      <c r="R557" s="27">
        <f>Q557/U557</f>
        <v>263842.81</v>
      </c>
      <c r="S557" s="38">
        <f>Q557/U557</f>
        <v>263842.81</v>
      </c>
      <c r="T557" s="38">
        <f>S557*AR557</f>
        <v>263842.81</v>
      </c>
      <c r="U557" s="38">
        <f t="shared" si="70"/>
        <v>2639</v>
      </c>
      <c r="V557" s="38">
        <f>1449+1190</f>
        <v>2639</v>
      </c>
      <c r="W557" s="38">
        <v>0</v>
      </c>
      <c r="X557" s="38">
        <v>0</v>
      </c>
      <c r="Y557" s="38">
        <v>1449</v>
      </c>
      <c r="Z557" s="38">
        <f t="shared" si="68"/>
        <v>382308231.69</v>
      </c>
      <c r="AA557" s="38">
        <v>1190</v>
      </c>
      <c r="AB557" s="38">
        <f t="shared" si="69"/>
        <v>313972943.89999998</v>
      </c>
      <c r="AC557" s="38">
        <f>U557/AR557</f>
        <v>2639</v>
      </c>
      <c r="AD557" s="38">
        <f t="shared" si="71"/>
        <v>2639</v>
      </c>
      <c r="AE557" s="33">
        <v>45474</v>
      </c>
      <c r="AF557" s="33"/>
      <c r="AG557" s="33"/>
      <c r="AH557" s="33">
        <v>45505</v>
      </c>
      <c r="AI557" s="33"/>
      <c r="AJ557" s="42"/>
      <c r="AK557" s="37" t="s">
        <v>786</v>
      </c>
      <c r="AL557" s="37" t="s">
        <v>787</v>
      </c>
      <c r="AM557" s="37" t="s">
        <v>788</v>
      </c>
      <c r="AN557" s="37" t="s">
        <v>326</v>
      </c>
      <c r="AO557" s="43">
        <v>0</v>
      </c>
      <c r="AP557" s="35">
        <v>100</v>
      </c>
      <c r="AQ557" s="35" t="s">
        <v>164</v>
      </c>
      <c r="AR557" s="44">
        <v>1</v>
      </c>
      <c r="AS557" s="37" t="s">
        <v>52</v>
      </c>
    </row>
    <row r="558" spans="1:45" ht="56.25" customHeight="1" x14ac:dyDescent="0.25">
      <c r="A558" s="32" t="s">
        <v>2981</v>
      </c>
      <c r="B558" s="33">
        <v>45369</v>
      </c>
      <c r="C558" s="35" t="s">
        <v>486</v>
      </c>
      <c r="D558" s="36"/>
      <c r="E558" s="1" t="s">
        <v>2982</v>
      </c>
      <c r="F558" s="33">
        <v>45397</v>
      </c>
      <c r="G558" s="35" t="s">
        <v>2983</v>
      </c>
      <c r="H558" s="37" t="s">
        <v>291</v>
      </c>
      <c r="I558" s="37" t="s">
        <v>2984</v>
      </c>
      <c r="J558" s="38">
        <v>543881547</v>
      </c>
      <c r="K558" s="40">
        <f>((J558-M558)/J558)*100</f>
        <v>9.7643097643097647</v>
      </c>
      <c r="L558" s="41">
        <f>J558-M558</f>
        <v>53106279</v>
      </c>
      <c r="M558" s="38">
        <v>490775268</v>
      </c>
      <c r="N558" s="41">
        <f>J558-O558</f>
        <v>53106279</v>
      </c>
      <c r="O558" s="38">
        <v>490775268</v>
      </c>
      <c r="P558" s="27">
        <f t="shared" si="73"/>
        <v>490775268</v>
      </c>
      <c r="Q558" s="27">
        <f t="shared" si="72"/>
        <v>490775268</v>
      </c>
      <c r="R558" s="27">
        <f>Q558/U558</f>
        <v>5.36</v>
      </c>
      <c r="S558" s="38">
        <f>Q558/U558</f>
        <v>5.36</v>
      </c>
      <c r="T558" s="38" t="e">
        <f>S558*AR558</f>
        <v>#VALUE!</v>
      </c>
      <c r="U558" s="38">
        <f t="shared" si="70"/>
        <v>91562550</v>
      </c>
      <c r="V558" s="38">
        <v>45781260</v>
      </c>
      <c r="W558" s="38">
        <v>45781290</v>
      </c>
      <c r="X558" s="38">
        <v>0</v>
      </c>
      <c r="Y558" s="38">
        <v>0</v>
      </c>
      <c r="Z558" s="38">
        <f t="shared" si="68"/>
        <v>0</v>
      </c>
      <c r="AA558" s="38">
        <v>0</v>
      </c>
      <c r="AB558" s="38">
        <f t="shared" si="69"/>
        <v>0</v>
      </c>
      <c r="AC558" s="38" t="e">
        <f>U558/AR558</f>
        <v>#VALUE!</v>
      </c>
      <c r="AD558" s="38" t="e">
        <f t="shared" si="71"/>
        <v>#VALUE!</v>
      </c>
      <c r="AE558" s="33">
        <v>45474</v>
      </c>
      <c r="AF558" s="33">
        <v>45536</v>
      </c>
      <c r="AG558" s="33"/>
      <c r="AH558" s="33">
        <v>45505</v>
      </c>
      <c r="AI558" s="33">
        <v>45566</v>
      </c>
      <c r="AJ558" s="42"/>
      <c r="AK558" s="37" t="s">
        <v>2985</v>
      </c>
      <c r="AL558" s="37" t="s">
        <v>2986</v>
      </c>
      <c r="AM558" s="37" t="s">
        <v>2987</v>
      </c>
      <c r="AN558" s="37" t="s">
        <v>50</v>
      </c>
      <c r="AO558" s="43">
        <v>100</v>
      </c>
      <c r="AP558" s="35">
        <v>0</v>
      </c>
      <c r="AQ558" s="35" t="s">
        <v>441</v>
      </c>
      <c r="AR558" s="48" t="s">
        <v>2988</v>
      </c>
      <c r="AS558" s="37" t="s">
        <v>52</v>
      </c>
    </row>
    <row r="559" spans="1:45" ht="56.25" customHeight="1" x14ac:dyDescent="0.25">
      <c r="A559" s="32" t="s">
        <v>2989</v>
      </c>
      <c r="B559" s="33">
        <v>45369</v>
      </c>
      <c r="C559" s="35" t="s">
        <v>2213</v>
      </c>
      <c r="D559" s="36"/>
      <c r="E559" s="1" t="s">
        <v>2990</v>
      </c>
      <c r="F559" s="33">
        <v>45379</v>
      </c>
      <c r="G559" s="35" t="s">
        <v>2991</v>
      </c>
      <c r="H559" s="37" t="s">
        <v>1847</v>
      </c>
      <c r="I559" s="37" t="s">
        <v>2992</v>
      </c>
      <c r="J559" s="38">
        <v>534394.07999999996</v>
      </c>
      <c r="K559" s="40">
        <f>((J559-M559)/J559)*100</f>
        <v>4.491067715246524E-5</v>
      </c>
      <c r="L559" s="41">
        <f>J559-M559</f>
        <v>0.23999999999068677</v>
      </c>
      <c r="M559" s="38">
        <v>534393.84</v>
      </c>
      <c r="N559" s="41">
        <f>J559-O559</f>
        <v>0.23999999999068677</v>
      </c>
      <c r="O559" s="38">
        <v>534393.84</v>
      </c>
      <c r="P559" s="27">
        <f t="shared" si="73"/>
        <v>534393.84</v>
      </c>
      <c r="Q559" s="27">
        <f t="shared" si="72"/>
        <v>534393.84</v>
      </c>
      <c r="R559" s="27">
        <f>Q559/U559</f>
        <v>222664.1</v>
      </c>
      <c r="S559" s="38">
        <f>Q559/U559</f>
        <v>222664.1</v>
      </c>
      <c r="T559" s="38" t="e">
        <f>S559*AR559</f>
        <v>#VALUE!</v>
      </c>
      <c r="U559" s="38">
        <f t="shared" si="70"/>
        <v>2.4</v>
      </c>
      <c r="V559" s="38">
        <v>2.4</v>
      </c>
      <c r="W559" s="38">
        <v>0</v>
      </c>
      <c r="X559" s="38">
        <v>0</v>
      </c>
      <c r="Y559" s="38">
        <v>0</v>
      </c>
      <c r="Z559" s="38">
        <f t="shared" si="68"/>
        <v>0</v>
      </c>
      <c r="AA559" s="38">
        <v>2.4</v>
      </c>
      <c r="AB559" s="38">
        <f t="shared" si="69"/>
        <v>534393.84</v>
      </c>
      <c r="AC559" s="38" t="e">
        <f>U559/AR559</f>
        <v>#VALUE!</v>
      </c>
      <c r="AD559" s="38" t="e">
        <f t="shared" si="71"/>
        <v>#VALUE!</v>
      </c>
      <c r="AE559" s="33">
        <v>45444</v>
      </c>
      <c r="AF559" s="33"/>
      <c r="AG559" s="33"/>
      <c r="AH559" s="33">
        <v>45474</v>
      </c>
      <c r="AI559" s="33"/>
      <c r="AJ559" s="42"/>
      <c r="AK559" s="37" t="s">
        <v>794</v>
      </c>
      <c r="AL559" s="37" t="s">
        <v>2993</v>
      </c>
      <c r="AM559" s="37" t="s">
        <v>2994</v>
      </c>
      <c r="AN559" s="37" t="s">
        <v>174</v>
      </c>
      <c r="AO559" s="43">
        <v>0</v>
      </c>
      <c r="AP559" s="35">
        <v>100</v>
      </c>
      <c r="AQ559" s="35" t="s">
        <v>164</v>
      </c>
      <c r="AR559" s="48" t="s">
        <v>2995</v>
      </c>
      <c r="AS559" s="37" t="s">
        <v>52</v>
      </c>
    </row>
    <row r="560" spans="1:45" ht="56.25" customHeight="1" x14ac:dyDescent="0.25">
      <c r="A560" s="32" t="s">
        <v>2996</v>
      </c>
      <c r="B560" s="56">
        <v>45369</v>
      </c>
      <c r="C560" s="35" t="s">
        <v>548</v>
      </c>
      <c r="D560" s="35" t="s">
        <v>485</v>
      </c>
      <c r="E560" s="1" t="s">
        <v>2997</v>
      </c>
      <c r="F560" s="35" t="s">
        <v>485</v>
      </c>
      <c r="G560" s="35" t="s">
        <v>485</v>
      </c>
      <c r="H560" s="35" t="s">
        <v>485</v>
      </c>
      <c r="I560" s="58" t="s">
        <v>2527</v>
      </c>
      <c r="J560" s="57">
        <v>327200.94</v>
      </c>
      <c r="K560" s="40">
        <f>((J560-M560)/J560)*100</f>
        <v>100</v>
      </c>
      <c r="L560" s="41">
        <f>J560-M560</f>
        <v>327200.94</v>
      </c>
      <c r="M560" s="38"/>
      <c r="N560" s="41">
        <f>J560-O560</f>
        <v>327200.94</v>
      </c>
      <c r="O560" s="38">
        <v>0</v>
      </c>
      <c r="P560" s="27">
        <f t="shared" si="73"/>
        <v>0</v>
      </c>
      <c r="Q560" s="27">
        <f t="shared" si="72"/>
        <v>0</v>
      </c>
      <c r="R560" s="27" t="e">
        <f>Q560/U560</f>
        <v>#DIV/0!</v>
      </c>
      <c r="S560" s="38" t="e">
        <f>Q560/U560</f>
        <v>#DIV/0!</v>
      </c>
      <c r="T560" s="38" t="e">
        <f>S560*AR560</f>
        <v>#DIV/0!</v>
      </c>
      <c r="U560" s="38">
        <f t="shared" si="70"/>
        <v>0</v>
      </c>
      <c r="V560" s="38">
        <v>0</v>
      </c>
      <c r="W560" s="38">
        <v>0</v>
      </c>
      <c r="X560" s="38">
        <v>0</v>
      </c>
      <c r="Y560" s="38"/>
      <c r="Z560" s="38" t="e">
        <f t="shared" si="68"/>
        <v>#DIV/0!</v>
      </c>
      <c r="AA560" s="38"/>
      <c r="AB560" s="38" t="e">
        <f t="shared" si="69"/>
        <v>#DIV/0!</v>
      </c>
      <c r="AC560" s="38" t="e">
        <f>U560/AR560</f>
        <v>#DIV/0!</v>
      </c>
      <c r="AD560" s="38" t="e">
        <f t="shared" si="71"/>
        <v>#DIV/0!</v>
      </c>
      <c r="AE560" s="33">
        <v>45444</v>
      </c>
      <c r="AF560" s="33"/>
      <c r="AG560" s="33"/>
      <c r="AH560" s="33"/>
      <c r="AI560" s="33"/>
      <c r="AJ560" s="42"/>
      <c r="AK560" s="37"/>
      <c r="AL560" s="37"/>
      <c r="AM560" s="37"/>
      <c r="AN560" s="37"/>
      <c r="AO560" s="43"/>
      <c r="AP560" s="35"/>
      <c r="AQ560" s="35"/>
      <c r="AR560" s="44"/>
      <c r="AS560" s="37" t="s">
        <v>485</v>
      </c>
    </row>
    <row r="561" spans="1:45" ht="56.25" customHeight="1" x14ac:dyDescent="0.25">
      <c r="A561" s="32" t="s">
        <v>2998</v>
      </c>
      <c r="B561" s="56">
        <v>45369</v>
      </c>
      <c r="C561" s="35" t="s">
        <v>548</v>
      </c>
      <c r="D561" s="36"/>
      <c r="E561" s="1" t="s">
        <v>2999</v>
      </c>
      <c r="F561" s="33">
        <v>45390</v>
      </c>
      <c r="G561" s="35" t="s">
        <v>3000</v>
      </c>
      <c r="H561" s="37" t="s">
        <v>2375</v>
      </c>
      <c r="I561" s="58" t="s">
        <v>3001</v>
      </c>
      <c r="J561" s="57">
        <v>5884861.2999999998</v>
      </c>
      <c r="K561" s="40">
        <f>((J561-M561)/J561)*100</f>
        <v>0.50000005947463178</v>
      </c>
      <c r="L561" s="41">
        <f>J561-M561</f>
        <v>29424.30999999959</v>
      </c>
      <c r="M561" s="38">
        <v>5855436.9900000002</v>
      </c>
      <c r="N561" s="41">
        <f>J561-O561</f>
        <v>29424.30999999959</v>
      </c>
      <c r="O561" s="38">
        <v>5855436.9900000002</v>
      </c>
      <c r="P561" s="27">
        <v>5846460.9000000004</v>
      </c>
      <c r="Q561" s="27">
        <f t="shared" si="72"/>
        <v>5846460.9000000004</v>
      </c>
      <c r="R561" s="27">
        <f>Q561/U561</f>
        <v>6.0900000000000007</v>
      </c>
      <c r="S561" s="38">
        <f>Q561/U561</f>
        <v>6.0900000000000007</v>
      </c>
      <c r="T561" s="38" t="e">
        <f>S561*AR561</f>
        <v>#VALUE!</v>
      </c>
      <c r="U561" s="38">
        <f t="shared" si="70"/>
        <v>960010</v>
      </c>
      <c r="V561" s="38">
        <v>960010</v>
      </c>
      <c r="W561" s="38">
        <v>0</v>
      </c>
      <c r="X561" s="38">
        <v>0</v>
      </c>
      <c r="Y561" s="38">
        <v>0</v>
      </c>
      <c r="Z561" s="38">
        <f t="shared" si="68"/>
        <v>0</v>
      </c>
      <c r="AA561" s="38">
        <v>0</v>
      </c>
      <c r="AB561" s="38">
        <f t="shared" si="69"/>
        <v>0</v>
      </c>
      <c r="AC561" s="38" t="e">
        <f>U561/AR561</f>
        <v>#VALUE!</v>
      </c>
      <c r="AD561" s="38" t="e">
        <f t="shared" si="71"/>
        <v>#VALUE!</v>
      </c>
      <c r="AE561" s="33">
        <v>45444</v>
      </c>
      <c r="AF561" s="33"/>
      <c r="AG561" s="33"/>
      <c r="AH561" s="33">
        <v>45474</v>
      </c>
      <c r="AI561" s="33"/>
      <c r="AJ561" s="42"/>
      <c r="AK561" s="37" t="s">
        <v>3002</v>
      </c>
      <c r="AL561" s="37" t="s">
        <v>3003</v>
      </c>
      <c r="AM561" s="37" t="s">
        <v>2428</v>
      </c>
      <c r="AN561" s="37" t="s">
        <v>50</v>
      </c>
      <c r="AO561" s="43">
        <v>100</v>
      </c>
      <c r="AP561" s="35">
        <v>0</v>
      </c>
      <c r="AQ561" s="35" t="s">
        <v>441</v>
      </c>
      <c r="AR561" s="48" t="s">
        <v>2429</v>
      </c>
      <c r="AS561" s="37" t="s">
        <v>52</v>
      </c>
    </row>
    <row r="562" spans="1:45" ht="56.25" customHeight="1" x14ac:dyDescent="0.25">
      <c r="A562" s="32" t="s">
        <v>3004</v>
      </c>
      <c r="B562" s="56">
        <v>45369</v>
      </c>
      <c r="C562" s="35" t="s">
        <v>486</v>
      </c>
      <c r="D562" s="36"/>
      <c r="E562" s="1" t="s">
        <v>3005</v>
      </c>
      <c r="F562" s="33">
        <v>45390</v>
      </c>
      <c r="G562" s="35" t="s">
        <v>3006</v>
      </c>
      <c r="H562" s="37" t="s">
        <v>291</v>
      </c>
      <c r="I562" s="58" t="s">
        <v>3007</v>
      </c>
      <c r="J562" s="57">
        <v>16804518</v>
      </c>
      <c r="K562" s="40">
        <f>((J562-M562)/J562)*100</f>
        <v>0</v>
      </c>
      <c r="L562" s="41">
        <f>J562-M562</f>
        <v>0</v>
      </c>
      <c r="M562" s="57">
        <v>16804518</v>
      </c>
      <c r="N562" s="41">
        <f>J562-O562</f>
        <v>0</v>
      </c>
      <c r="O562" s="57">
        <v>16804518</v>
      </c>
      <c r="P562" s="27">
        <f t="shared" si="73"/>
        <v>16804518</v>
      </c>
      <c r="Q562" s="27">
        <f t="shared" si="72"/>
        <v>16804518</v>
      </c>
      <c r="R562" s="27">
        <f>Q562/U562</f>
        <v>14.9</v>
      </c>
      <c r="S562" s="38">
        <f>Q562/U562</f>
        <v>14.9</v>
      </c>
      <c r="T562" s="38">
        <f>S562*AR562</f>
        <v>894</v>
      </c>
      <c r="U562" s="38">
        <f t="shared" si="70"/>
        <v>1127820</v>
      </c>
      <c r="V562" s="38">
        <v>1127820</v>
      </c>
      <c r="W562" s="38">
        <v>0</v>
      </c>
      <c r="X562" s="38">
        <v>0</v>
      </c>
      <c r="Y562" s="38">
        <v>0</v>
      </c>
      <c r="Z562" s="38">
        <f t="shared" si="68"/>
        <v>0</v>
      </c>
      <c r="AA562" s="38">
        <v>0</v>
      </c>
      <c r="AB562" s="38">
        <f t="shared" si="69"/>
        <v>0</v>
      </c>
      <c r="AC562" s="38">
        <f>U562/AR562</f>
        <v>18797</v>
      </c>
      <c r="AD562" s="38">
        <f t="shared" si="71"/>
        <v>18797</v>
      </c>
      <c r="AE562" s="33">
        <v>45444</v>
      </c>
      <c r="AF562" s="33"/>
      <c r="AG562" s="33"/>
      <c r="AH562" s="33">
        <v>45474</v>
      </c>
      <c r="AI562" s="33"/>
      <c r="AJ562" s="42"/>
      <c r="AK562" s="37" t="s">
        <v>3008</v>
      </c>
      <c r="AL562" s="37" t="s">
        <v>3009</v>
      </c>
      <c r="AM562" s="37" t="s">
        <v>3010</v>
      </c>
      <c r="AN562" s="37" t="s">
        <v>50</v>
      </c>
      <c r="AO562" s="43">
        <v>100</v>
      </c>
      <c r="AP562" s="35">
        <v>0</v>
      </c>
      <c r="AQ562" s="35" t="s">
        <v>441</v>
      </c>
      <c r="AR562" s="44">
        <v>60</v>
      </c>
      <c r="AS562" s="37" t="s">
        <v>52</v>
      </c>
    </row>
    <row r="563" spans="1:45" ht="56.25" customHeight="1" x14ac:dyDescent="0.25">
      <c r="A563" s="32" t="s">
        <v>3011</v>
      </c>
      <c r="B563" s="56">
        <v>45369</v>
      </c>
      <c r="C563" s="35" t="s">
        <v>548</v>
      </c>
      <c r="D563" s="36"/>
      <c r="E563" s="1" t="s">
        <v>3012</v>
      </c>
      <c r="F563" s="33">
        <v>45392</v>
      </c>
      <c r="G563" s="35" t="s">
        <v>3013</v>
      </c>
      <c r="H563" s="37" t="s">
        <v>3014</v>
      </c>
      <c r="I563" s="58" t="s">
        <v>3015</v>
      </c>
      <c r="J563" s="57">
        <v>4340213.37</v>
      </c>
      <c r="K563" s="40">
        <f>((J563-M563)/J563)*100</f>
        <v>0</v>
      </c>
      <c r="L563" s="41">
        <f>J563-M563</f>
        <v>0</v>
      </c>
      <c r="M563" s="57">
        <v>4340213.37</v>
      </c>
      <c r="N563" s="41">
        <f>J563-O563</f>
        <v>0</v>
      </c>
      <c r="O563" s="57">
        <v>4340213.37</v>
      </c>
      <c r="P563" s="27">
        <f t="shared" si="73"/>
        <v>4340213.37</v>
      </c>
      <c r="Q563" s="27">
        <f t="shared" si="72"/>
        <v>4340213.37</v>
      </c>
      <c r="R563" s="27">
        <f>Q563/U563</f>
        <v>3.11</v>
      </c>
      <c r="S563" s="38">
        <f>Q563/U563</f>
        <v>3.11</v>
      </c>
      <c r="T563" s="38" t="e">
        <f>S563*AR563</f>
        <v>#VALUE!</v>
      </c>
      <c r="U563" s="38">
        <f t="shared" si="70"/>
        <v>1395567</v>
      </c>
      <c r="V563" s="38">
        <v>1395567</v>
      </c>
      <c r="W563" s="38">
        <v>0</v>
      </c>
      <c r="X563" s="38">
        <v>0</v>
      </c>
      <c r="Y563" s="38">
        <v>0</v>
      </c>
      <c r="Z563" s="38">
        <f t="shared" si="68"/>
        <v>0</v>
      </c>
      <c r="AA563" s="38">
        <v>0</v>
      </c>
      <c r="AB563" s="38">
        <f t="shared" si="69"/>
        <v>0</v>
      </c>
      <c r="AC563" s="38" t="e">
        <f>U563/AR563</f>
        <v>#VALUE!</v>
      </c>
      <c r="AD563" s="38" t="e">
        <f t="shared" si="71"/>
        <v>#VALUE!</v>
      </c>
      <c r="AE563" s="33">
        <v>45444</v>
      </c>
      <c r="AF563" s="33"/>
      <c r="AG563" s="33"/>
      <c r="AH563" s="33">
        <v>45474</v>
      </c>
      <c r="AI563" s="33"/>
      <c r="AJ563" s="42"/>
      <c r="AK563" s="37" t="s">
        <v>3016</v>
      </c>
      <c r="AL563" s="37" t="s">
        <v>3017</v>
      </c>
      <c r="AM563" s="37" t="s">
        <v>3018</v>
      </c>
      <c r="AN563" s="37" t="s">
        <v>50</v>
      </c>
      <c r="AO563" s="43">
        <v>100</v>
      </c>
      <c r="AP563" s="35">
        <v>0</v>
      </c>
      <c r="AQ563" s="35" t="s">
        <v>164</v>
      </c>
      <c r="AR563" s="48" t="s">
        <v>3019</v>
      </c>
      <c r="AS563" s="37" t="s">
        <v>52</v>
      </c>
    </row>
    <row r="564" spans="1:45" ht="56.25" customHeight="1" x14ac:dyDescent="0.25">
      <c r="A564" s="32" t="s">
        <v>3020</v>
      </c>
      <c r="B564" s="56">
        <v>45369</v>
      </c>
      <c r="C564" s="35">
        <v>1416</v>
      </c>
      <c r="D564" s="36"/>
      <c r="E564" s="1" t="s">
        <v>3021</v>
      </c>
      <c r="F564" s="33">
        <v>45390</v>
      </c>
      <c r="G564" s="35" t="s">
        <v>3022</v>
      </c>
      <c r="H564" s="37" t="s">
        <v>364</v>
      </c>
      <c r="I564" s="58" t="s">
        <v>2992</v>
      </c>
      <c r="J564" s="57">
        <v>63325698.479999997</v>
      </c>
      <c r="K564" s="40">
        <f>((J564-M564)/J564)*100</f>
        <v>0</v>
      </c>
      <c r="L564" s="41">
        <f>J564-M564</f>
        <v>0</v>
      </c>
      <c r="M564" s="57">
        <v>63325698.479999997</v>
      </c>
      <c r="N564" s="41">
        <f>J564-O564</f>
        <v>0</v>
      </c>
      <c r="O564" s="57">
        <v>63325698.479999997</v>
      </c>
      <c r="P564" s="27">
        <f t="shared" si="73"/>
        <v>63325698.479999997</v>
      </c>
      <c r="Q564" s="27">
        <f t="shared" si="72"/>
        <v>63325698.479999997</v>
      </c>
      <c r="R564" s="27">
        <f>Q564/U564</f>
        <v>222664.2</v>
      </c>
      <c r="S564" s="38">
        <f>Q564/U564</f>
        <v>222664.2</v>
      </c>
      <c r="T564" s="38">
        <f>S564*AR564</f>
        <v>267197.03999999998</v>
      </c>
      <c r="U564" s="38">
        <f t="shared" si="70"/>
        <v>284.39999999999998</v>
      </c>
      <c r="V564" s="38">
        <v>284.39999999999998</v>
      </c>
      <c r="W564" s="38">
        <v>0</v>
      </c>
      <c r="X564" s="38">
        <v>0</v>
      </c>
      <c r="Y564" s="38">
        <v>0</v>
      </c>
      <c r="Z564" s="38">
        <f t="shared" si="68"/>
        <v>0</v>
      </c>
      <c r="AA564" s="38">
        <v>284.39999999999998</v>
      </c>
      <c r="AB564" s="38">
        <f t="shared" si="69"/>
        <v>63325698.479999997</v>
      </c>
      <c r="AC564" s="38">
        <f>U564/AR564</f>
        <v>237</v>
      </c>
      <c r="AD564" s="38">
        <f t="shared" si="71"/>
        <v>237</v>
      </c>
      <c r="AE564" s="33">
        <v>45444</v>
      </c>
      <c r="AF564" s="33"/>
      <c r="AG564" s="33"/>
      <c r="AH564" s="33">
        <v>45474</v>
      </c>
      <c r="AI564" s="33"/>
      <c r="AJ564" s="42"/>
      <c r="AK564" s="37" t="s">
        <v>794</v>
      </c>
      <c r="AL564" s="37" t="s">
        <v>3023</v>
      </c>
      <c r="AM564" s="37" t="s">
        <v>3023</v>
      </c>
      <c r="AN564" s="37" t="s">
        <v>174</v>
      </c>
      <c r="AO564" s="43">
        <v>0</v>
      </c>
      <c r="AP564" s="35">
        <v>100</v>
      </c>
      <c r="AQ564" s="35" t="s">
        <v>164</v>
      </c>
      <c r="AR564" s="49">
        <v>1.2</v>
      </c>
      <c r="AS564" s="37" t="s">
        <v>52</v>
      </c>
    </row>
    <row r="565" spans="1:45" ht="56.25" customHeight="1" x14ac:dyDescent="0.25">
      <c r="A565" s="32" t="s">
        <v>3024</v>
      </c>
      <c r="B565" s="56">
        <v>45369</v>
      </c>
      <c r="C565" s="35" t="s">
        <v>548</v>
      </c>
      <c r="D565" s="35" t="s">
        <v>485</v>
      </c>
      <c r="E565" s="1" t="s">
        <v>3025</v>
      </c>
      <c r="F565" s="35" t="s">
        <v>485</v>
      </c>
      <c r="G565" s="35" t="s">
        <v>485</v>
      </c>
      <c r="H565" s="35" t="s">
        <v>485</v>
      </c>
      <c r="I565" s="58" t="s">
        <v>2467</v>
      </c>
      <c r="J565" s="57">
        <v>6397619.2300000004</v>
      </c>
      <c r="K565" s="40">
        <f>((J565-M565)/J565)*100</f>
        <v>100</v>
      </c>
      <c r="L565" s="41">
        <f>J565-M565</f>
        <v>6397619.2300000004</v>
      </c>
      <c r="M565" s="38"/>
      <c r="N565" s="41">
        <f>J565-O565</f>
        <v>6397619.2300000004</v>
      </c>
      <c r="O565" s="38">
        <v>0</v>
      </c>
      <c r="P565" s="27">
        <f t="shared" si="73"/>
        <v>0</v>
      </c>
      <c r="Q565" s="27">
        <f t="shared" si="72"/>
        <v>0</v>
      </c>
      <c r="R565" s="27" t="e">
        <f>Q565/U565</f>
        <v>#DIV/0!</v>
      </c>
      <c r="S565" s="38" t="e">
        <f>Q565/U565</f>
        <v>#DIV/0!</v>
      </c>
      <c r="T565" s="38" t="e">
        <f>S565*AR565</f>
        <v>#DIV/0!</v>
      </c>
      <c r="U565" s="38">
        <f t="shared" si="70"/>
        <v>0</v>
      </c>
      <c r="V565" s="38">
        <v>0</v>
      </c>
      <c r="W565" s="38">
        <v>0</v>
      </c>
      <c r="X565" s="38">
        <v>0</v>
      </c>
      <c r="Y565" s="38"/>
      <c r="Z565" s="38" t="e">
        <f t="shared" si="68"/>
        <v>#DIV/0!</v>
      </c>
      <c r="AA565" s="38"/>
      <c r="AB565" s="38" t="e">
        <f t="shared" si="69"/>
        <v>#DIV/0!</v>
      </c>
      <c r="AC565" s="38" t="e">
        <f>U565/AR565</f>
        <v>#DIV/0!</v>
      </c>
      <c r="AD565" s="38" t="e">
        <f t="shared" si="71"/>
        <v>#DIV/0!</v>
      </c>
      <c r="AE565" s="33">
        <v>45444</v>
      </c>
      <c r="AF565" s="33"/>
      <c r="AG565" s="33"/>
      <c r="AH565" s="33"/>
      <c r="AI565" s="33"/>
      <c r="AJ565" s="42"/>
      <c r="AK565" s="37"/>
      <c r="AL565" s="37"/>
      <c r="AM565" s="37"/>
      <c r="AN565" s="37"/>
      <c r="AO565" s="43"/>
      <c r="AP565" s="35"/>
      <c r="AQ565" s="35"/>
      <c r="AR565" s="44"/>
      <c r="AS565" s="37" t="s">
        <v>485</v>
      </c>
    </row>
    <row r="566" spans="1:45" ht="56.25" customHeight="1" x14ac:dyDescent="0.25">
      <c r="A566" s="32" t="s">
        <v>3026</v>
      </c>
      <c r="B566" s="56">
        <v>45370</v>
      </c>
      <c r="C566" s="35" t="s">
        <v>2213</v>
      </c>
      <c r="D566" s="36"/>
      <c r="E566" s="1" t="s">
        <v>3027</v>
      </c>
      <c r="F566" s="33"/>
      <c r="G566" s="35"/>
      <c r="H566" s="37"/>
      <c r="I566" s="64" t="s">
        <v>1191</v>
      </c>
      <c r="J566" s="57">
        <v>2041600</v>
      </c>
      <c r="K566" s="40">
        <f>((J566-M566)/J566)*100</f>
        <v>100</v>
      </c>
      <c r="L566" s="41">
        <f>J566-M566</f>
        <v>2041600</v>
      </c>
      <c r="M566" s="38"/>
      <c r="N566" s="41">
        <f>J566-O566</f>
        <v>2041600</v>
      </c>
      <c r="O566" s="38">
        <v>0</v>
      </c>
      <c r="P566" s="27">
        <f t="shared" si="73"/>
        <v>0</v>
      </c>
      <c r="Q566" s="27">
        <f t="shared" si="72"/>
        <v>0</v>
      </c>
      <c r="R566" s="27" t="e">
        <f>Q566/U566</f>
        <v>#DIV/0!</v>
      </c>
      <c r="S566" s="38" t="e">
        <f>Q566/U566</f>
        <v>#DIV/0!</v>
      </c>
      <c r="T566" s="38" t="e">
        <f>S566*AR566</f>
        <v>#DIV/0!</v>
      </c>
      <c r="U566" s="38">
        <f t="shared" si="70"/>
        <v>0</v>
      </c>
      <c r="V566" s="38">
        <v>0</v>
      </c>
      <c r="W566" s="38">
        <v>0</v>
      </c>
      <c r="X566" s="38">
        <v>0</v>
      </c>
      <c r="Y566" s="38"/>
      <c r="Z566" s="38" t="e">
        <f t="shared" si="68"/>
        <v>#DIV/0!</v>
      </c>
      <c r="AA566" s="38"/>
      <c r="AB566" s="38" t="e">
        <f t="shared" si="69"/>
        <v>#DIV/0!</v>
      </c>
      <c r="AC566" s="38" t="e">
        <f>U566/AR566</f>
        <v>#DIV/0!</v>
      </c>
      <c r="AD566" s="38" t="e">
        <f t="shared" si="71"/>
        <v>#DIV/0!</v>
      </c>
      <c r="AE566" s="33">
        <v>45458</v>
      </c>
      <c r="AF566" s="33"/>
      <c r="AG566" s="33"/>
      <c r="AH566" s="33"/>
      <c r="AI566" s="33"/>
      <c r="AJ566" s="42"/>
      <c r="AK566" s="37"/>
      <c r="AL566" s="37"/>
      <c r="AM566" s="37"/>
      <c r="AN566" s="37"/>
      <c r="AO566" s="43"/>
      <c r="AP566" s="35"/>
      <c r="AQ566" s="35"/>
      <c r="AR566" s="44"/>
      <c r="AS566" s="37"/>
    </row>
    <row r="567" spans="1:45" ht="57" customHeight="1" x14ac:dyDescent="0.25">
      <c r="A567" s="32" t="s">
        <v>3028</v>
      </c>
      <c r="B567" s="56">
        <v>45370</v>
      </c>
      <c r="C567" s="35">
        <v>545</v>
      </c>
      <c r="D567" s="36"/>
      <c r="E567" s="1" t="s">
        <v>3029</v>
      </c>
      <c r="F567" s="33">
        <v>45397</v>
      </c>
      <c r="G567" s="35" t="s">
        <v>3030</v>
      </c>
      <c r="H567" s="37" t="s">
        <v>331</v>
      </c>
      <c r="I567" s="64" t="s">
        <v>3031</v>
      </c>
      <c r="J567" s="57">
        <v>178200000</v>
      </c>
      <c r="K567" s="40">
        <f>((J567-M567)/J567)*100</f>
        <v>0</v>
      </c>
      <c r="L567" s="41">
        <f>J567-M567</f>
        <v>0</v>
      </c>
      <c r="M567" s="57">
        <v>178200000</v>
      </c>
      <c r="N567" s="41">
        <f>J567-O567</f>
        <v>0</v>
      </c>
      <c r="O567" s="57">
        <v>178200000</v>
      </c>
      <c r="P567" s="27">
        <f t="shared" si="73"/>
        <v>178200000</v>
      </c>
      <c r="Q567" s="27">
        <f t="shared" si="72"/>
        <v>178200000</v>
      </c>
      <c r="R567" s="27">
        <f>Q567/U567</f>
        <v>59400000</v>
      </c>
      <c r="S567" s="38">
        <f>Q567/U567</f>
        <v>59400000</v>
      </c>
      <c r="T567" s="38">
        <f>S567*AR567</f>
        <v>29700000</v>
      </c>
      <c r="U567" s="38">
        <f t="shared" si="70"/>
        <v>3</v>
      </c>
      <c r="V567" s="38">
        <v>3</v>
      </c>
      <c r="W567" s="38">
        <v>0</v>
      </c>
      <c r="X567" s="38">
        <v>0</v>
      </c>
      <c r="Y567" s="38">
        <v>0</v>
      </c>
      <c r="Z567" s="38">
        <f t="shared" si="68"/>
        <v>0</v>
      </c>
      <c r="AA567" s="38">
        <v>0</v>
      </c>
      <c r="AB567" s="38">
        <f t="shared" si="69"/>
        <v>0</v>
      </c>
      <c r="AC567" s="38">
        <f>U567/AR567</f>
        <v>6</v>
      </c>
      <c r="AD567" s="38">
        <f t="shared" si="71"/>
        <v>6</v>
      </c>
      <c r="AE567" s="33">
        <v>45440</v>
      </c>
      <c r="AF567" s="33"/>
      <c r="AG567" s="33"/>
      <c r="AH567" s="33">
        <v>45471</v>
      </c>
      <c r="AI567" s="33"/>
      <c r="AJ567" s="42"/>
      <c r="AK567" s="37" t="s">
        <v>3032</v>
      </c>
      <c r="AL567" s="37" t="s">
        <v>3033</v>
      </c>
      <c r="AM567" s="37" t="s">
        <v>3034</v>
      </c>
      <c r="AN567" s="37" t="s">
        <v>2320</v>
      </c>
      <c r="AO567" s="43">
        <v>0</v>
      </c>
      <c r="AP567" s="35">
        <v>100</v>
      </c>
      <c r="AQ567" s="35" t="s">
        <v>164</v>
      </c>
      <c r="AR567" s="49">
        <v>0.5</v>
      </c>
      <c r="AS567" s="37" t="s">
        <v>52</v>
      </c>
    </row>
    <row r="568" spans="1:45" ht="57" customHeight="1" x14ac:dyDescent="0.25">
      <c r="A568" s="32" t="s">
        <v>3035</v>
      </c>
      <c r="B568" s="56">
        <v>45370</v>
      </c>
      <c r="C568" s="35">
        <v>545</v>
      </c>
      <c r="D568" s="36"/>
      <c r="E568" s="1" t="s">
        <v>3036</v>
      </c>
      <c r="F568" s="33">
        <v>45390</v>
      </c>
      <c r="G568" s="35" t="s">
        <v>3037</v>
      </c>
      <c r="H568" s="54" t="s">
        <v>374</v>
      </c>
      <c r="I568" s="58" t="s">
        <v>3038</v>
      </c>
      <c r="J568" s="57">
        <v>20847200</v>
      </c>
      <c r="K568" s="40">
        <f>((J568-M568)/J568)*100</f>
        <v>0</v>
      </c>
      <c r="L568" s="41">
        <f>J568-M568</f>
        <v>0</v>
      </c>
      <c r="M568" s="57">
        <v>20847200</v>
      </c>
      <c r="N568" s="41">
        <f>J568-O568</f>
        <v>0</v>
      </c>
      <c r="O568" s="57">
        <v>20847200</v>
      </c>
      <c r="P568" s="27">
        <f t="shared" si="73"/>
        <v>20847200</v>
      </c>
      <c r="Q568" s="27">
        <f t="shared" si="72"/>
        <v>20847200</v>
      </c>
      <c r="R568" s="27">
        <f>Q568/U568</f>
        <v>521180</v>
      </c>
      <c r="S568" s="38">
        <f>Q568/U568</f>
        <v>521180</v>
      </c>
      <c r="T568" s="38">
        <f>S568*AR568</f>
        <v>1042360</v>
      </c>
      <c r="U568" s="38">
        <f t="shared" si="70"/>
        <v>40</v>
      </c>
      <c r="V568" s="38">
        <v>40</v>
      </c>
      <c r="W568" s="38">
        <v>0</v>
      </c>
      <c r="X568" s="38">
        <v>0</v>
      </c>
      <c r="Y568" s="38">
        <v>0</v>
      </c>
      <c r="Z568" s="38">
        <f t="shared" si="68"/>
        <v>0</v>
      </c>
      <c r="AA568" s="38">
        <v>0</v>
      </c>
      <c r="AB568" s="38">
        <f t="shared" si="69"/>
        <v>0</v>
      </c>
      <c r="AC568" s="38">
        <f>U568/AR568</f>
        <v>20</v>
      </c>
      <c r="AD568" s="38">
        <f t="shared" si="71"/>
        <v>20</v>
      </c>
      <c r="AE568" s="33">
        <v>45413</v>
      </c>
      <c r="AF568" s="33"/>
      <c r="AG568" s="33"/>
      <c r="AH568" s="33">
        <v>45444</v>
      </c>
      <c r="AI568" s="33"/>
      <c r="AJ568" s="42"/>
      <c r="AK568" s="37" t="s">
        <v>523</v>
      </c>
      <c r="AL568" s="37" t="s">
        <v>3039</v>
      </c>
      <c r="AM568" s="37" t="s">
        <v>525</v>
      </c>
      <c r="AN568" s="37" t="s">
        <v>174</v>
      </c>
      <c r="AO568" s="43">
        <v>0</v>
      </c>
      <c r="AP568" s="35">
        <v>100</v>
      </c>
      <c r="AQ568" s="35" t="s">
        <v>164</v>
      </c>
      <c r="AR568" s="44">
        <v>2</v>
      </c>
      <c r="AS568" s="37" t="s">
        <v>52</v>
      </c>
    </row>
    <row r="569" spans="1:45" ht="57" customHeight="1" x14ac:dyDescent="0.25">
      <c r="A569" s="32" t="s">
        <v>3040</v>
      </c>
      <c r="B569" s="56">
        <v>45370</v>
      </c>
      <c r="C569" s="35">
        <v>545</v>
      </c>
      <c r="D569" s="36"/>
      <c r="E569" s="1" t="s">
        <v>3041</v>
      </c>
      <c r="F569" s="33">
        <v>45391</v>
      </c>
      <c r="G569" s="35" t="s">
        <v>3042</v>
      </c>
      <c r="H569" s="37" t="s">
        <v>331</v>
      </c>
      <c r="I569" s="58" t="s">
        <v>3043</v>
      </c>
      <c r="J569" s="57">
        <v>2691716.7</v>
      </c>
      <c r="K569" s="40">
        <f>((J569-M569)/J569)*100</f>
        <v>0</v>
      </c>
      <c r="L569" s="41">
        <f>J569-M569</f>
        <v>0</v>
      </c>
      <c r="M569" s="57">
        <v>2691716.7</v>
      </c>
      <c r="N569" s="41">
        <f>J569-O569</f>
        <v>0</v>
      </c>
      <c r="O569" s="57">
        <v>2691716.7</v>
      </c>
      <c r="P569" s="27">
        <f t="shared" si="73"/>
        <v>2691716.7</v>
      </c>
      <c r="Q569" s="27">
        <f t="shared" si="72"/>
        <v>2691716.7</v>
      </c>
      <c r="R569" s="27">
        <f>Q569/U569</f>
        <v>2424.9700000000003</v>
      </c>
      <c r="S569" s="38">
        <f>Q569/U569</f>
        <v>2424.9700000000003</v>
      </c>
      <c r="T569" s="38">
        <f>S569*AR569</f>
        <v>72749.100000000006</v>
      </c>
      <c r="U569" s="38">
        <f t="shared" si="70"/>
        <v>1110</v>
      </c>
      <c r="V569" s="38">
        <v>1110</v>
      </c>
      <c r="W569" s="38">
        <v>0</v>
      </c>
      <c r="X569" s="38">
        <v>0</v>
      </c>
      <c r="Y569" s="38">
        <v>0</v>
      </c>
      <c r="Z569" s="38">
        <f t="shared" si="68"/>
        <v>0</v>
      </c>
      <c r="AA569" s="38">
        <v>0</v>
      </c>
      <c r="AB569" s="38">
        <f t="shared" si="69"/>
        <v>0</v>
      </c>
      <c r="AC569" s="38">
        <f>U569/AR569</f>
        <v>37</v>
      </c>
      <c r="AD569" s="38">
        <f t="shared" si="71"/>
        <v>37</v>
      </c>
      <c r="AE569" s="33">
        <v>45407</v>
      </c>
      <c r="AF569" s="33"/>
      <c r="AG569" s="33"/>
      <c r="AH569" s="33">
        <v>45437</v>
      </c>
      <c r="AI569" s="33"/>
      <c r="AJ569" s="42"/>
      <c r="AK569" s="37" t="s">
        <v>494</v>
      </c>
      <c r="AL569" s="37" t="s">
        <v>495</v>
      </c>
      <c r="AM569" s="37" t="s">
        <v>496</v>
      </c>
      <c r="AN569" s="37" t="s">
        <v>352</v>
      </c>
      <c r="AO569" s="43">
        <v>0</v>
      </c>
      <c r="AP569" s="35">
        <v>100</v>
      </c>
      <c r="AQ569" s="35" t="s">
        <v>441</v>
      </c>
      <c r="AR569" s="44">
        <v>30</v>
      </c>
      <c r="AS569" s="37" t="s">
        <v>52</v>
      </c>
    </row>
    <row r="570" spans="1:45" ht="57" customHeight="1" x14ac:dyDescent="0.25">
      <c r="A570" s="32" t="s">
        <v>3044</v>
      </c>
      <c r="B570" s="56">
        <v>45370</v>
      </c>
      <c r="C570" s="35">
        <v>545</v>
      </c>
      <c r="D570" s="36"/>
      <c r="E570" s="1" t="s">
        <v>3045</v>
      </c>
      <c r="F570" s="33">
        <v>45390</v>
      </c>
      <c r="G570" s="35" t="s">
        <v>3046</v>
      </c>
      <c r="H570" s="37" t="s">
        <v>331</v>
      </c>
      <c r="I570" s="59" t="s">
        <v>530</v>
      </c>
      <c r="J570" s="57">
        <v>29552638.5</v>
      </c>
      <c r="K570" s="40">
        <f>((J570-M570)/J570)*100</f>
        <v>0</v>
      </c>
      <c r="L570" s="41">
        <f>J570-M570</f>
        <v>0</v>
      </c>
      <c r="M570" s="57">
        <v>29552638.5</v>
      </c>
      <c r="N570" s="41">
        <f>J570-O570</f>
        <v>0</v>
      </c>
      <c r="O570" s="57">
        <v>29552638.5</v>
      </c>
      <c r="P570" s="27">
        <f t="shared" si="73"/>
        <v>29552638.5</v>
      </c>
      <c r="Q570" s="27">
        <f t="shared" si="72"/>
        <v>29552638.5</v>
      </c>
      <c r="R570" s="27">
        <f>Q570/U570</f>
        <v>970.53</v>
      </c>
      <c r="S570" s="38">
        <f>Q570/U570</f>
        <v>970.53</v>
      </c>
      <c r="T570" s="38">
        <f>S570*AR570</f>
        <v>29115.899999999998</v>
      </c>
      <c r="U570" s="38">
        <f t="shared" si="70"/>
        <v>30450</v>
      </c>
      <c r="V570" s="38">
        <v>30450</v>
      </c>
      <c r="W570" s="38">
        <v>0</v>
      </c>
      <c r="X570" s="38">
        <v>0</v>
      </c>
      <c r="Y570" s="38">
        <v>0</v>
      </c>
      <c r="Z570" s="38">
        <f t="shared" si="68"/>
        <v>0</v>
      </c>
      <c r="AA570" s="38">
        <v>0</v>
      </c>
      <c r="AB570" s="38">
        <f t="shared" si="69"/>
        <v>0</v>
      </c>
      <c r="AC570" s="38">
        <f>U570/AR570</f>
        <v>1015</v>
      </c>
      <c r="AD570" s="38">
        <f t="shared" si="71"/>
        <v>1015</v>
      </c>
      <c r="AE570" s="33">
        <v>45458</v>
      </c>
      <c r="AF570" s="33"/>
      <c r="AG570" s="33"/>
      <c r="AH570" s="33">
        <v>45488</v>
      </c>
      <c r="AI570" s="33"/>
      <c r="AJ570" s="42"/>
      <c r="AK570" s="37" t="s">
        <v>494</v>
      </c>
      <c r="AL570" s="37" t="s">
        <v>531</v>
      </c>
      <c r="AM570" s="37" t="s">
        <v>496</v>
      </c>
      <c r="AN570" s="37" t="s">
        <v>352</v>
      </c>
      <c r="AO570" s="43">
        <v>0</v>
      </c>
      <c r="AP570" s="35">
        <v>100</v>
      </c>
      <c r="AQ570" s="35" t="s">
        <v>441</v>
      </c>
      <c r="AR570" s="44">
        <v>30</v>
      </c>
      <c r="AS570" s="37" t="s">
        <v>52</v>
      </c>
    </row>
    <row r="571" spans="1:45" ht="57" customHeight="1" x14ac:dyDescent="0.25">
      <c r="A571" s="32" t="s">
        <v>3047</v>
      </c>
      <c r="B571" s="56">
        <v>45370</v>
      </c>
      <c r="C571" s="35">
        <v>545</v>
      </c>
      <c r="D571" s="36"/>
      <c r="E571" s="1" t="s">
        <v>3048</v>
      </c>
      <c r="F571" s="33">
        <v>45390</v>
      </c>
      <c r="G571" s="35" t="s">
        <v>3049</v>
      </c>
      <c r="H571" s="37" t="s">
        <v>411</v>
      </c>
      <c r="I571" s="65" t="s">
        <v>412</v>
      </c>
      <c r="J571" s="57">
        <v>149887062</v>
      </c>
      <c r="K571" s="40">
        <f>((J571-M571)/J571)*100</f>
        <v>0</v>
      </c>
      <c r="L571" s="41">
        <f>J571-M571</f>
        <v>0</v>
      </c>
      <c r="M571" s="57">
        <v>149887062</v>
      </c>
      <c r="N571" s="41">
        <f>J571-O571</f>
        <v>0</v>
      </c>
      <c r="O571" s="57">
        <v>149887062</v>
      </c>
      <c r="P571" s="27">
        <v>193853933.52000001</v>
      </c>
      <c r="Q571" s="27">
        <f t="shared" si="72"/>
        <v>193853933.52000001</v>
      </c>
      <c r="R571" s="27">
        <f>Q571/U571</f>
        <v>333082.36000000004</v>
      </c>
      <c r="S571" s="38">
        <f>Q571/U571</f>
        <v>333082.36000000004</v>
      </c>
      <c r="T571" s="38">
        <f>S571*AR571</f>
        <v>666164.72000000009</v>
      </c>
      <c r="U571" s="38">
        <f t="shared" si="70"/>
        <v>582</v>
      </c>
      <c r="V571" s="38">
        <f>450+132</f>
        <v>582</v>
      </c>
      <c r="W571" s="38">
        <v>0</v>
      </c>
      <c r="X571" s="38">
        <v>0</v>
      </c>
      <c r="Y571" s="38">
        <v>0</v>
      </c>
      <c r="Z571" s="38">
        <f t="shared" si="68"/>
        <v>0</v>
      </c>
      <c r="AA571" s="38">
        <v>0</v>
      </c>
      <c r="AB571" s="38">
        <f t="shared" si="69"/>
        <v>0</v>
      </c>
      <c r="AC571" s="38">
        <f>U571/AR571</f>
        <v>291</v>
      </c>
      <c r="AD571" s="38">
        <f t="shared" si="71"/>
        <v>291</v>
      </c>
      <c r="AE571" s="33">
        <v>45407</v>
      </c>
      <c r="AF571" s="33"/>
      <c r="AG571" s="33"/>
      <c r="AH571" s="33">
        <v>45437</v>
      </c>
      <c r="AI571" s="33"/>
      <c r="AJ571" s="42"/>
      <c r="AK571" s="37" t="s">
        <v>1655</v>
      </c>
      <c r="AL571" s="37" t="s">
        <v>1656</v>
      </c>
      <c r="AM571" s="37" t="s">
        <v>1657</v>
      </c>
      <c r="AN571" s="37" t="s">
        <v>352</v>
      </c>
      <c r="AO571" s="43">
        <v>0</v>
      </c>
      <c r="AP571" s="35">
        <v>100</v>
      </c>
      <c r="AQ571" s="35" t="s">
        <v>398</v>
      </c>
      <c r="AR571" s="44">
        <v>2</v>
      </c>
      <c r="AS571" s="37" t="s">
        <v>52</v>
      </c>
    </row>
    <row r="572" spans="1:45" ht="57" customHeight="1" x14ac:dyDescent="0.25">
      <c r="A572" s="32" t="s">
        <v>3050</v>
      </c>
      <c r="B572" s="56">
        <v>45370</v>
      </c>
      <c r="C572" s="35">
        <v>545</v>
      </c>
      <c r="D572" s="36"/>
      <c r="E572" s="1" t="s">
        <v>3051</v>
      </c>
      <c r="F572" s="33">
        <v>45390</v>
      </c>
      <c r="G572" s="35" t="s">
        <v>3052</v>
      </c>
      <c r="H572" s="37" t="s">
        <v>3053</v>
      </c>
      <c r="I572" s="58" t="s">
        <v>3054</v>
      </c>
      <c r="J572" s="57">
        <v>41002353</v>
      </c>
      <c r="K572" s="40">
        <f>((J572-M572)/J572)*100</f>
        <v>0</v>
      </c>
      <c r="L572" s="41">
        <f>J572-M572</f>
        <v>0</v>
      </c>
      <c r="M572" s="57">
        <v>41002353</v>
      </c>
      <c r="N572" s="41">
        <f>J572-O572</f>
        <v>0</v>
      </c>
      <c r="O572" s="57">
        <v>41002353</v>
      </c>
      <c r="P572" s="27">
        <v>51936313.799999997</v>
      </c>
      <c r="Q572" s="27">
        <f t="shared" si="72"/>
        <v>51936313.799999997</v>
      </c>
      <c r="R572" s="27">
        <f>Q572/U572</f>
        <v>6508.3099999999995</v>
      </c>
      <c r="S572" s="38">
        <f>Q572/U572</f>
        <v>6508.3099999999995</v>
      </c>
      <c r="T572" s="38">
        <f>S572*AR572</f>
        <v>390498.6</v>
      </c>
      <c r="U572" s="38">
        <f t="shared" si="70"/>
        <v>7980</v>
      </c>
      <c r="V572" s="38">
        <f>6300+1680</f>
        <v>7980</v>
      </c>
      <c r="W572" s="38">
        <v>0</v>
      </c>
      <c r="X572" s="38">
        <v>0</v>
      </c>
      <c r="Y572" s="38">
        <v>0</v>
      </c>
      <c r="Z572" s="38">
        <f t="shared" si="68"/>
        <v>0</v>
      </c>
      <c r="AA572" s="38">
        <v>0</v>
      </c>
      <c r="AB572" s="38">
        <f t="shared" si="69"/>
        <v>0</v>
      </c>
      <c r="AC572" s="38">
        <f>U572/AR572</f>
        <v>133</v>
      </c>
      <c r="AD572" s="38">
        <f t="shared" si="71"/>
        <v>133</v>
      </c>
      <c r="AE572" s="33">
        <v>45407</v>
      </c>
      <c r="AF572" s="33"/>
      <c r="AG572" s="33"/>
      <c r="AH572" s="33">
        <v>45437</v>
      </c>
      <c r="AI572" s="33"/>
      <c r="AJ572" s="42"/>
      <c r="AK572" s="37" t="s">
        <v>3055</v>
      </c>
      <c r="AL572" s="37" t="s">
        <v>3056</v>
      </c>
      <c r="AM572" s="37" t="s">
        <v>3057</v>
      </c>
      <c r="AN572" s="37" t="s">
        <v>3058</v>
      </c>
      <c r="AO572" s="43">
        <v>0</v>
      </c>
      <c r="AP572" s="35">
        <v>100</v>
      </c>
      <c r="AQ572" s="35" t="s">
        <v>441</v>
      </c>
      <c r="AR572" s="44">
        <v>60</v>
      </c>
      <c r="AS572" s="37" t="s">
        <v>52</v>
      </c>
    </row>
    <row r="573" spans="1:45" ht="57" customHeight="1" x14ac:dyDescent="0.25">
      <c r="A573" s="32" t="s">
        <v>3059</v>
      </c>
      <c r="B573" s="56">
        <v>45370</v>
      </c>
      <c r="C573" s="35">
        <v>545</v>
      </c>
      <c r="D573" s="36"/>
      <c r="E573" s="1" t="s">
        <v>3060</v>
      </c>
      <c r="F573" s="33">
        <v>45390</v>
      </c>
      <c r="G573" s="35" t="s">
        <v>3061</v>
      </c>
      <c r="H573" s="37" t="s">
        <v>719</v>
      </c>
      <c r="I573" s="58" t="s">
        <v>3062</v>
      </c>
      <c r="J573" s="57">
        <v>29389160.91</v>
      </c>
      <c r="K573" s="40">
        <f>((J573-M573)/J573)*100</f>
        <v>0</v>
      </c>
      <c r="L573" s="41">
        <f>J573-M573</f>
        <v>0</v>
      </c>
      <c r="M573" s="57">
        <v>29389160.91</v>
      </c>
      <c r="N573" s="41">
        <f>J573-O573</f>
        <v>0</v>
      </c>
      <c r="O573" s="57">
        <v>29389160.91</v>
      </c>
      <c r="P573" s="27">
        <v>34934285.609999999</v>
      </c>
      <c r="Q573" s="27">
        <f t="shared" si="72"/>
        <v>34934285.609999999</v>
      </c>
      <c r="R573" s="27">
        <f>Q573/U573</f>
        <v>554512.47</v>
      </c>
      <c r="S573" s="38">
        <f>Q573/U573</f>
        <v>554512.47</v>
      </c>
      <c r="T573" s="38">
        <f>S573*AR573</f>
        <v>554512.47</v>
      </c>
      <c r="U573" s="38">
        <f t="shared" si="70"/>
        <v>63</v>
      </c>
      <c r="V573" s="38">
        <v>63</v>
      </c>
      <c r="W573" s="38">
        <v>0</v>
      </c>
      <c r="X573" s="38">
        <v>0</v>
      </c>
      <c r="Y573" s="38">
        <v>0</v>
      </c>
      <c r="Z573" s="38">
        <f t="shared" si="68"/>
        <v>0</v>
      </c>
      <c r="AA573" s="38">
        <v>0</v>
      </c>
      <c r="AB573" s="38">
        <f t="shared" si="69"/>
        <v>0</v>
      </c>
      <c r="AC573" s="38">
        <f>U573/AR573</f>
        <v>63</v>
      </c>
      <c r="AD573" s="38">
        <f t="shared" si="71"/>
        <v>63</v>
      </c>
      <c r="AE573" s="33">
        <v>45407</v>
      </c>
      <c r="AF573" s="33"/>
      <c r="AG573" s="33"/>
      <c r="AH573" s="33">
        <v>45437</v>
      </c>
      <c r="AI573" s="33"/>
      <c r="AJ573" s="42"/>
      <c r="AK573" s="37" t="s">
        <v>349</v>
      </c>
      <c r="AL573" s="37" t="s">
        <v>447</v>
      </c>
      <c r="AM573" s="37" t="s">
        <v>351</v>
      </c>
      <c r="AN573" s="37" t="s">
        <v>352</v>
      </c>
      <c r="AO573" s="43">
        <v>0</v>
      </c>
      <c r="AP573" s="35">
        <v>100</v>
      </c>
      <c r="AQ573" s="35" t="s">
        <v>164</v>
      </c>
      <c r="AR573" s="44">
        <v>1</v>
      </c>
      <c r="AS573" s="37" t="s">
        <v>52</v>
      </c>
    </row>
    <row r="574" spans="1:45" ht="57" customHeight="1" x14ac:dyDescent="0.25">
      <c r="A574" s="32" t="s">
        <v>3063</v>
      </c>
      <c r="B574" s="56">
        <v>45371</v>
      </c>
      <c r="C574" s="35" t="s">
        <v>548</v>
      </c>
      <c r="D574" s="36"/>
      <c r="E574" s="1" t="s">
        <v>3064</v>
      </c>
      <c r="F574" s="33">
        <v>45390</v>
      </c>
      <c r="G574" s="35" t="s">
        <v>3065</v>
      </c>
      <c r="H574" s="37" t="s">
        <v>291</v>
      </c>
      <c r="I574" s="58" t="s">
        <v>1998</v>
      </c>
      <c r="J574" s="57">
        <v>11502240</v>
      </c>
      <c r="K574" s="40">
        <f>((J574-M574)/J574)*100</f>
        <v>0</v>
      </c>
      <c r="L574" s="41">
        <f>J574-M574</f>
        <v>0</v>
      </c>
      <c r="M574" s="57">
        <v>11502240</v>
      </c>
      <c r="N574" s="41">
        <f>J574-O574</f>
        <v>0</v>
      </c>
      <c r="O574" s="57">
        <v>11502240</v>
      </c>
      <c r="P574" s="27">
        <f t="shared" ref="P574:Q610" si="74">O574</f>
        <v>11502240</v>
      </c>
      <c r="Q574" s="27">
        <f t="shared" si="72"/>
        <v>11502240</v>
      </c>
      <c r="R574" s="27">
        <f>Q574/U574</f>
        <v>6.2</v>
      </c>
      <c r="S574" s="38">
        <f>Q574/U574</f>
        <v>6.2</v>
      </c>
      <c r="T574" s="38">
        <f>S574*AR574</f>
        <v>310</v>
      </c>
      <c r="U574" s="38">
        <f t="shared" si="70"/>
        <v>1855200</v>
      </c>
      <c r="V574" s="38">
        <v>1855200</v>
      </c>
      <c r="W574" s="38">
        <v>0</v>
      </c>
      <c r="X574" s="38">
        <v>0</v>
      </c>
      <c r="Y574" s="38">
        <v>0</v>
      </c>
      <c r="Z574" s="38">
        <f t="shared" si="68"/>
        <v>0</v>
      </c>
      <c r="AA574" s="38">
        <v>0</v>
      </c>
      <c r="AB574" s="38">
        <f t="shared" si="69"/>
        <v>0</v>
      </c>
      <c r="AC574" s="38">
        <f>U574/AR574</f>
        <v>37104</v>
      </c>
      <c r="AD574" s="38">
        <f t="shared" si="71"/>
        <v>37104</v>
      </c>
      <c r="AE574" s="33">
        <v>45444</v>
      </c>
      <c r="AF574" s="33"/>
      <c r="AG574" s="33"/>
      <c r="AH574" s="33">
        <v>45474</v>
      </c>
      <c r="AI574" s="33"/>
      <c r="AJ574" s="42"/>
      <c r="AK574" s="37" t="s">
        <v>3066</v>
      </c>
      <c r="AL574" s="37" t="s">
        <v>3067</v>
      </c>
      <c r="AM574" s="37" t="s">
        <v>3068</v>
      </c>
      <c r="AN574" s="37" t="s">
        <v>50</v>
      </c>
      <c r="AO574" s="43">
        <v>100</v>
      </c>
      <c r="AP574" s="35">
        <v>0</v>
      </c>
      <c r="AQ574" s="35" t="s">
        <v>441</v>
      </c>
      <c r="AR574" s="44">
        <v>50</v>
      </c>
      <c r="AS574" s="37" t="s">
        <v>52</v>
      </c>
    </row>
    <row r="575" spans="1:45" ht="57" customHeight="1" x14ac:dyDescent="0.25">
      <c r="A575" s="32" t="s">
        <v>3069</v>
      </c>
      <c r="B575" s="56">
        <v>45371</v>
      </c>
      <c r="C575" s="35" t="s">
        <v>548</v>
      </c>
      <c r="D575" s="36"/>
      <c r="E575" s="1" t="s">
        <v>3070</v>
      </c>
      <c r="F575" s="33">
        <v>45390</v>
      </c>
      <c r="G575" s="35" t="s">
        <v>3071</v>
      </c>
      <c r="H575" s="37" t="s">
        <v>2032</v>
      </c>
      <c r="I575" s="58" t="s">
        <v>3072</v>
      </c>
      <c r="J575" s="57">
        <v>7355106</v>
      </c>
      <c r="K575" s="40">
        <f>((J575-M575)/J575)*100</f>
        <v>0</v>
      </c>
      <c r="L575" s="41">
        <f>J575-M575</f>
        <v>0</v>
      </c>
      <c r="M575" s="57">
        <v>7355106</v>
      </c>
      <c r="N575" s="41">
        <f>J575-O575</f>
        <v>0</v>
      </c>
      <c r="O575" s="57">
        <v>7355106</v>
      </c>
      <c r="P575" s="27">
        <f t="shared" si="74"/>
        <v>7355106</v>
      </c>
      <c r="Q575" s="27">
        <f t="shared" si="72"/>
        <v>7355106</v>
      </c>
      <c r="R575" s="27">
        <f>Q575/U575</f>
        <v>72.599999999999994</v>
      </c>
      <c r="S575" s="38">
        <f>Q575/U575</f>
        <v>72.599999999999994</v>
      </c>
      <c r="T575" s="38">
        <f>S575*AR575</f>
        <v>726</v>
      </c>
      <c r="U575" s="38">
        <f t="shared" si="70"/>
        <v>101310</v>
      </c>
      <c r="V575" s="38">
        <v>101310</v>
      </c>
      <c r="W575" s="38">
        <v>0</v>
      </c>
      <c r="X575" s="38">
        <v>0</v>
      </c>
      <c r="Y575" s="38">
        <v>0</v>
      </c>
      <c r="Z575" s="38">
        <f t="shared" si="68"/>
        <v>0</v>
      </c>
      <c r="AA575" s="38">
        <v>0</v>
      </c>
      <c r="AB575" s="38">
        <f t="shared" si="69"/>
        <v>0</v>
      </c>
      <c r="AC575" s="38">
        <f>U575/AR575</f>
        <v>10131</v>
      </c>
      <c r="AD575" s="38">
        <f t="shared" si="71"/>
        <v>10131</v>
      </c>
      <c r="AE575" s="33">
        <v>45444</v>
      </c>
      <c r="AF575" s="33"/>
      <c r="AG575" s="33"/>
      <c r="AH575" s="33">
        <v>45474</v>
      </c>
      <c r="AI575" s="33"/>
      <c r="AJ575" s="42"/>
      <c r="AK575" s="37" t="s">
        <v>3073</v>
      </c>
      <c r="AL575" s="37" t="s">
        <v>3074</v>
      </c>
      <c r="AM575" s="37" t="s">
        <v>3075</v>
      </c>
      <c r="AN575" s="37" t="s">
        <v>50</v>
      </c>
      <c r="AO575" s="43">
        <v>100</v>
      </c>
      <c r="AP575" s="35">
        <v>0</v>
      </c>
      <c r="AQ575" s="35" t="s">
        <v>441</v>
      </c>
      <c r="AR575" s="44">
        <v>10</v>
      </c>
      <c r="AS575" s="37" t="s">
        <v>52</v>
      </c>
    </row>
    <row r="576" spans="1:45" ht="57" customHeight="1" x14ac:dyDescent="0.25">
      <c r="A576" s="32" t="s">
        <v>3076</v>
      </c>
      <c r="B576" s="56">
        <v>45371</v>
      </c>
      <c r="C576" s="37" t="s">
        <v>2066</v>
      </c>
      <c r="D576" s="36"/>
      <c r="E576" s="1" t="s">
        <v>3077</v>
      </c>
      <c r="F576" s="33">
        <v>45383</v>
      </c>
      <c r="G576" s="35" t="s">
        <v>3078</v>
      </c>
      <c r="H576" s="37" t="s">
        <v>1166</v>
      </c>
      <c r="I576" s="58" t="s">
        <v>3079</v>
      </c>
      <c r="J576" s="57">
        <v>4143700</v>
      </c>
      <c r="K576" s="40">
        <f>((J576-M576)/J576)*100</f>
        <v>0</v>
      </c>
      <c r="L576" s="41">
        <f>J576-M576</f>
        <v>0</v>
      </c>
      <c r="M576" s="57">
        <v>4143700</v>
      </c>
      <c r="N576" s="41">
        <f>J576-O576</f>
        <v>0</v>
      </c>
      <c r="O576" s="57">
        <v>4143700</v>
      </c>
      <c r="P576" s="27">
        <f t="shared" si="74"/>
        <v>4143700</v>
      </c>
      <c r="Q576" s="27">
        <f t="shared" si="72"/>
        <v>4143700</v>
      </c>
      <c r="R576" s="27">
        <f>Q576/U576</f>
        <v>37.67</v>
      </c>
      <c r="S576" s="38">
        <f>Q576/U576</f>
        <v>37.67</v>
      </c>
      <c r="T576" s="38">
        <f>S576*AR576</f>
        <v>4520.4000000000005</v>
      </c>
      <c r="U576" s="38">
        <f t="shared" si="70"/>
        <v>110000</v>
      </c>
      <c r="V576" s="38">
        <v>110000</v>
      </c>
      <c r="W576" s="38">
        <v>0</v>
      </c>
      <c r="X576" s="38">
        <v>0</v>
      </c>
      <c r="Y576" s="38">
        <v>0</v>
      </c>
      <c r="Z576" s="38">
        <f t="shared" si="68"/>
        <v>0</v>
      </c>
      <c r="AA576" s="38">
        <v>0</v>
      </c>
      <c r="AB576" s="38">
        <f t="shared" si="69"/>
        <v>0</v>
      </c>
      <c r="AC576" s="38">
        <f>U576/AR576</f>
        <v>916.66666666666663</v>
      </c>
      <c r="AD576" s="38">
        <f t="shared" si="71"/>
        <v>917</v>
      </c>
      <c r="AE576" s="33">
        <v>45474</v>
      </c>
      <c r="AF576" s="33"/>
      <c r="AG576" s="33"/>
      <c r="AH576" s="33">
        <v>45505</v>
      </c>
      <c r="AI576" s="33"/>
      <c r="AJ576" s="42"/>
      <c r="AK576" s="37" t="s">
        <v>3080</v>
      </c>
      <c r="AL576" s="37" t="s">
        <v>3081</v>
      </c>
      <c r="AM576" s="37" t="s">
        <v>3082</v>
      </c>
      <c r="AN576" s="37" t="s">
        <v>50</v>
      </c>
      <c r="AO576" s="43">
        <v>100</v>
      </c>
      <c r="AP576" s="35">
        <v>0</v>
      </c>
      <c r="AQ576" s="35" t="s">
        <v>441</v>
      </c>
      <c r="AR576" s="44">
        <v>120</v>
      </c>
      <c r="AS576" s="37" t="s">
        <v>52</v>
      </c>
    </row>
    <row r="577" spans="1:45" ht="57" customHeight="1" x14ac:dyDescent="0.25">
      <c r="A577" s="32" t="s">
        <v>3083</v>
      </c>
      <c r="B577" s="56">
        <v>45371</v>
      </c>
      <c r="C577" s="37" t="s">
        <v>2074</v>
      </c>
      <c r="D577" s="36"/>
      <c r="E577" s="1" t="s">
        <v>3084</v>
      </c>
      <c r="F577" s="33">
        <v>45383</v>
      </c>
      <c r="G577" s="35" t="s">
        <v>3085</v>
      </c>
      <c r="H577" s="37" t="s">
        <v>1166</v>
      </c>
      <c r="I577" s="58" t="s">
        <v>1998</v>
      </c>
      <c r="J577" s="57">
        <v>403000</v>
      </c>
      <c r="K577" s="40">
        <f>((J577-M577)/J577)*100</f>
        <v>0</v>
      </c>
      <c r="L577" s="41">
        <f>J577-M577</f>
        <v>0</v>
      </c>
      <c r="M577" s="57">
        <v>403000</v>
      </c>
      <c r="N577" s="41">
        <f>J577-O577</f>
        <v>0</v>
      </c>
      <c r="O577" s="57">
        <v>403000</v>
      </c>
      <c r="P577" s="27">
        <f t="shared" si="74"/>
        <v>403000</v>
      </c>
      <c r="Q577" s="27">
        <f t="shared" si="72"/>
        <v>403000</v>
      </c>
      <c r="R577" s="27">
        <f>Q577/U577</f>
        <v>6.2</v>
      </c>
      <c r="S577" s="38">
        <f>Q577/U577</f>
        <v>6.2</v>
      </c>
      <c r="T577" s="38">
        <f>S577*AR577</f>
        <v>310</v>
      </c>
      <c r="U577" s="38">
        <f t="shared" si="70"/>
        <v>65000</v>
      </c>
      <c r="V577" s="38">
        <v>65000</v>
      </c>
      <c r="W577" s="38">
        <v>0</v>
      </c>
      <c r="X577" s="38">
        <v>0</v>
      </c>
      <c r="Y577" s="38">
        <v>0</v>
      </c>
      <c r="Z577" s="38">
        <f t="shared" si="68"/>
        <v>0</v>
      </c>
      <c r="AA577" s="38">
        <v>0</v>
      </c>
      <c r="AB577" s="38">
        <f t="shared" si="69"/>
        <v>0</v>
      </c>
      <c r="AC577" s="38">
        <f>U577/AR577</f>
        <v>1300</v>
      </c>
      <c r="AD577" s="38">
        <f t="shared" si="71"/>
        <v>1300</v>
      </c>
      <c r="AE577" s="33">
        <v>45444</v>
      </c>
      <c r="AF577" s="33"/>
      <c r="AG577" s="33"/>
      <c r="AH577" s="33">
        <v>45474</v>
      </c>
      <c r="AI577" s="33"/>
      <c r="AJ577" s="42"/>
      <c r="AK577" s="37" t="s">
        <v>3086</v>
      </c>
      <c r="AL577" s="37" t="s">
        <v>3087</v>
      </c>
      <c r="AM577" s="37" t="s">
        <v>3088</v>
      </c>
      <c r="AN577" s="37" t="s">
        <v>50</v>
      </c>
      <c r="AO577" s="43">
        <v>100</v>
      </c>
      <c r="AP577" s="35">
        <v>0</v>
      </c>
      <c r="AQ577" s="35" t="s">
        <v>441</v>
      </c>
      <c r="AR577" s="44">
        <v>50</v>
      </c>
      <c r="AS577" s="37" t="s">
        <v>52</v>
      </c>
    </row>
    <row r="578" spans="1:45" ht="57" customHeight="1" x14ac:dyDescent="0.25">
      <c r="A578" s="32" t="s">
        <v>3089</v>
      </c>
      <c r="B578" s="56">
        <v>45371</v>
      </c>
      <c r="C578" s="37" t="s">
        <v>2066</v>
      </c>
      <c r="D578" s="36"/>
      <c r="E578" s="1" t="s">
        <v>3090</v>
      </c>
      <c r="F578" s="33">
        <v>45383</v>
      </c>
      <c r="G578" s="35" t="s">
        <v>3091</v>
      </c>
      <c r="H578" s="37" t="s">
        <v>2589</v>
      </c>
      <c r="I578" s="58" t="s">
        <v>3092</v>
      </c>
      <c r="J578" s="57">
        <v>3327640.2</v>
      </c>
      <c r="K578" s="40">
        <f>((J578-M578)/J578)*100</f>
        <v>0</v>
      </c>
      <c r="L578" s="41">
        <f>J578-M578</f>
        <v>0</v>
      </c>
      <c r="M578" s="57">
        <v>3327640.2</v>
      </c>
      <c r="N578" s="41">
        <f>J578-O578</f>
        <v>0</v>
      </c>
      <c r="O578" s="57">
        <v>3327640.2</v>
      </c>
      <c r="P578" s="27">
        <f t="shared" si="74"/>
        <v>3327640.2</v>
      </c>
      <c r="Q578" s="27">
        <f t="shared" si="72"/>
        <v>3327640.2</v>
      </c>
      <c r="R578" s="27">
        <f>Q578/U578</f>
        <v>83.211807951988007</v>
      </c>
      <c r="S578" s="38">
        <f>Q578/U578</f>
        <v>83.211807951988007</v>
      </c>
      <c r="T578" s="38" t="e">
        <f>S578*AR578</f>
        <v>#VALUE!</v>
      </c>
      <c r="U578" s="38">
        <f t="shared" si="70"/>
        <v>39990</v>
      </c>
      <c r="V578" s="38">
        <f>1440+25350+13200</f>
        <v>39990</v>
      </c>
      <c r="W578" s="38">
        <v>0</v>
      </c>
      <c r="X578" s="38">
        <v>0</v>
      </c>
      <c r="Y578" s="38">
        <v>0</v>
      </c>
      <c r="Z578" s="38">
        <f t="shared" si="68"/>
        <v>0</v>
      </c>
      <c r="AA578" s="38">
        <v>0</v>
      </c>
      <c r="AB578" s="38">
        <f t="shared" si="69"/>
        <v>0</v>
      </c>
      <c r="AC578" s="38" t="e">
        <f>U578/AR578</f>
        <v>#VALUE!</v>
      </c>
      <c r="AD578" s="38" t="e">
        <f t="shared" si="71"/>
        <v>#VALUE!</v>
      </c>
      <c r="AE578" s="33">
        <v>45444</v>
      </c>
      <c r="AF578" s="33"/>
      <c r="AG578" s="33"/>
      <c r="AH578" s="33">
        <v>45474</v>
      </c>
      <c r="AI578" s="33"/>
      <c r="AJ578" s="42"/>
      <c r="AK578" s="37" t="s">
        <v>3093</v>
      </c>
      <c r="AL578" s="37" t="s">
        <v>3094</v>
      </c>
      <c r="AM578" s="37" t="s">
        <v>3095</v>
      </c>
      <c r="AN578" s="37" t="s">
        <v>440</v>
      </c>
      <c r="AO578" s="43">
        <v>0</v>
      </c>
      <c r="AP578" s="35">
        <v>100</v>
      </c>
      <c r="AQ578" s="37" t="s">
        <v>3096</v>
      </c>
      <c r="AR578" s="48" t="s">
        <v>3097</v>
      </c>
      <c r="AS578" s="37" t="s">
        <v>52</v>
      </c>
    </row>
    <row r="579" spans="1:45" ht="57" customHeight="1" x14ac:dyDescent="0.25">
      <c r="A579" s="32" t="s">
        <v>3098</v>
      </c>
      <c r="B579" s="56">
        <v>45371</v>
      </c>
      <c r="C579" s="37" t="s">
        <v>2074</v>
      </c>
      <c r="D579" s="36"/>
      <c r="E579" s="1" t="s">
        <v>3099</v>
      </c>
      <c r="F579" s="33">
        <v>45383</v>
      </c>
      <c r="G579" s="35" t="s">
        <v>3100</v>
      </c>
      <c r="H579" s="37" t="s">
        <v>1166</v>
      </c>
      <c r="I579" s="58" t="s">
        <v>2644</v>
      </c>
      <c r="J579" s="57">
        <v>254100</v>
      </c>
      <c r="K579" s="40">
        <f>((J579-M579)/J579)*100</f>
        <v>0</v>
      </c>
      <c r="L579" s="41">
        <f>J579-M579</f>
        <v>0</v>
      </c>
      <c r="M579" s="57">
        <v>254100</v>
      </c>
      <c r="N579" s="41">
        <f>J579-O579</f>
        <v>0</v>
      </c>
      <c r="O579" s="57">
        <v>254100</v>
      </c>
      <c r="P579" s="27">
        <f t="shared" si="74"/>
        <v>254100</v>
      </c>
      <c r="Q579" s="27">
        <f t="shared" si="72"/>
        <v>254100</v>
      </c>
      <c r="R579" s="27">
        <f>Q579/U579</f>
        <v>16.5</v>
      </c>
      <c r="S579" s="38">
        <f>Q579/U579</f>
        <v>16.5</v>
      </c>
      <c r="T579" s="38">
        <f>S579*AR579</f>
        <v>8250</v>
      </c>
      <c r="U579" s="38">
        <f t="shared" si="70"/>
        <v>15400</v>
      </c>
      <c r="V579" s="38">
        <v>15400</v>
      </c>
      <c r="W579" s="38">
        <v>0</v>
      </c>
      <c r="X579" s="38">
        <v>0</v>
      </c>
      <c r="Y579" s="38">
        <v>0</v>
      </c>
      <c r="Z579" s="38">
        <f t="shared" si="68"/>
        <v>0</v>
      </c>
      <c r="AA579" s="38">
        <v>0</v>
      </c>
      <c r="AB579" s="38">
        <f t="shared" si="69"/>
        <v>0</v>
      </c>
      <c r="AC579" s="38">
        <f>U579/AR579</f>
        <v>30.8</v>
      </c>
      <c r="AD579" s="38">
        <f t="shared" si="71"/>
        <v>31</v>
      </c>
      <c r="AE579" s="33">
        <v>45444</v>
      </c>
      <c r="AF579" s="33"/>
      <c r="AG579" s="33"/>
      <c r="AH579" s="33">
        <v>45474</v>
      </c>
      <c r="AI579" s="33"/>
      <c r="AJ579" s="42"/>
      <c r="AK579" s="37" t="s">
        <v>3101</v>
      </c>
      <c r="AL579" s="37" t="s">
        <v>3102</v>
      </c>
      <c r="AM579" s="37" t="s">
        <v>3103</v>
      </c>
      <c r="AN579" s="37" t="s">
        <v>50</v>
      </c>
      <c r="AO579" s="43">
        <v>100</v>
      </c>
      <c r="AP579" s="35">
        <v>0</v>
      </c>
      <c r="AQ579" s="35" t="s">
        <v>441</v>
      </c>
      <c r="AR579" s="44">
        <v>500</v>
      </c>
      <c r="AS579" s="37" t="s">
        <v>52</v>
      </c>
    </row>
    <row r="580" spans="1:45" ht="57" customHeight="1" x14ac:dyDescent="0.25">
      <c r="A580" s="32" t="s">
        <v>3104</v>
      </c>
      <c r="B580" s="56">
        <v>45372</v>
      </c>
      <c r="C580" s="35">
        <v>545</v>
      </c>
      <c r="D580" s="36"/>
      <c r="E580" s="1" t="s">
        <v>3105</v>
      </c>
      <c r="F580" s="33">
        <v>45397</v>
      </c>
      <c r="G580" s="35" t="s">
        <v>3106</v>
      </c>
      <c r="H580" s="37" t="s">
        <v>1897</v>
      </c>
      <c r="I580" s="58" t="s">
        <v>3107</v>
      </c>
      <c r="J580" s="57">
        <v>50163522.200000003</v>
      </c>
      <c r="K580" s="40">
        <f>((J580-M580)/J580)*100</f>
        <v>0</v>
      </c>
      <c r="L580" s="41">
        <f>J580-M580</f>
        <v>0</v>
      </c>
      <c r="M580" s="57">
        <v>50163522.200000003</v>
      </c>
      <c r="N580" s="41">
        <f>J580-O580</f>
        <v>0</v>
      </c>
      <c r="O580" s="57">
        <v>50163522.200000003</v>
      </c>
      <c r="P580" s="27">
        <f t="shared" si="74"/>
        <v>50163522.200000003</v>
      </c>
      <c r="Q580" s="27">
        <f t="shared" si="72"/>
        <v>50163522.200000003</v>
      </c>
      <c r="R580" s="27">
        <f>Q580/U580</f>
        <v>46021.58</v>
      </c>
      <c r="S580" s="38">
        <f>Q580/U580</f>
        <v>46021.58</v>
      </c>
      <c r="T580" s="38">
        <f>S580*AR580</f>
        <v>460215.80000000005</v>
      </c>
      <c r="U580" s="38">
        <f t="shared" si="70"/>
        <v>1090</v>
      </c>
      <c r="V580" s="38">
        <v>1090</v>
      </c>
      <c r="W580" s="38">
        <v>0</v>
      </c>
      <c r="X580" s="38">
        <v>0</v>
      </c>
      <c r="Y580" s="38">
        <v>0</v>
      </c>
      <c r="Z580" s="38">
        <f t="shared" si="68"/>
        <v>0</v>
      </c>
      <c r="AA580" s="38">
        <v>0</v>
      </c>
      <c r="AB580" s="38">
        <f t="shared" si="69"/>
        <v>0</v>
      </c>
      <c r="AC580" s="38">
        <f>U580/AR580</f>
        <v>109</v>
      </c>
      <c r="AD580" s="38">
        <f t="shared" si="71"/>
        <v>109</v>
      </c>
      <c r="AE580" s="33">
        <v>45413</v>
      </c>
      <c r="AF580" s="33"/>
      <c r="AG580" s="33"/>
      <c r="AH580" s="33">
        <v>45444</v>
      </c>
      <c r="AI580" s="33"/>
      <c r="AJ580" s="42"/>
      <c r="AK580" s="37" t="s">
        <v>3108</v>
      </c>
      <c r="AL580" s="37" t="s">
        <v>3109</v>
      </c>
      <c r="AM580" s="37" t="s">
        <v>3110</v>
      </c>
      <c r="AN580" s="37" t="s">
        <v>143</v>
      </c>
      <c r="AO580" s="43">
        <v>0</v>
      </c>
      <c r="AP580" s="35">
        <v>100</v>
      </c>
      <c r="AQ580" s="35" t="s">
        <v>164</v>
      </c>
      <c r="AR580" s="44">
        <v>10</v>
      </c>
      <c r="AS580" s="37" t="s">
        <v>52</v>
      </c>
    </row>
    <row r="581" spans="1:45" ht="57" customHeight="1" x14ac:dyDescent="0.25">
      <c r="A581" s="32" t="s">
        <v>3111</v>
      </c>
      <c r="B581" s="56">
        <v>45372</v>
      </c>
      <c r="C581" s="35" t="s">
        <v>1861</v>
      </c>
      <c r="D581" s="36"/>
      <c r="E581" s="1" t="s">
        <v>3112</v>
      </c>
      <c r="F581" s="33">
        <v>45384</v>
      </c>
      <c r="G581" s="35" t="s">
        <v>3113</v>
      </c>
      <c r="H581" s="37" t="s">
        <v>331</v>
      </c>
      <c r="I581" s="58" t="s">
        <v>501</v>
      </c>
      <c r="J581" s="57">
        <v>4600464.5999999996</v>
      </c>
      <c r="K581" s="40">
        <f>((J581-M581)/J581)*100</f>
        <v>6.8993031703676461E-3</v>
      </c>
      <c r="L581" s="41">
        <f>J581-M581</f>
        <v>317.39999999944121</v>
      </c>
      <c r="M581" s="38">
        <v>4600147.2</v>
      </c>
      <c r="N581" s="41">
        <f>J581-O581</f>
        <v>317.39999999944121</v>
      </c>
      <c r="O581" s="38">
        <v>4600147.2</v>
      </c>
      <c r="P581" s="27">
        <f t="shared" si="74"/>
        <v>4600147.2</v>
      </c>
      <c r="Q581" s="27">
        <f t="shared" si="72"/>
        <v>4600147.2</v>
      </c>
      <c r="R581" s="27">
        <f>Q581/U581</f>
        <v>3333.44</v>
      </c>
      <c r="S581" s="38">
        <f>Q581/U581</f>
        <v>3333.44</v>
      </c>
      <c r="T581" s="38">
        <f>S581*AR581</f>
        <v>200006.39999999999</v>
      </c>
      <c r="U581" s="38">
        <f t="shared" si="70"/>
        <v>1380</v>
      </c>
      <c r="V581" s="38">
        <v>1380</v>
      </c>
      <c r="W581" s="38">
        <v>0</v>
      </c>
      <c r="X581" s="38">
        <v>0</v>
      </c>
      <c r="Y581" s="38">
        <v>0</v>
      </c>
      <c r="Z581" s="38">
        <f t="shared" si="68"/>
        <v>0</v>
      </c>
      <c r="AA581" s="38">
        <v>0</v>
      </c>
      <c r="AB581" s="38">
        <f t="shared" si="69"/>
        <v>0</v>
      </c>
      <c r="AC581" s="38">
        <f>U581/AR581</f>
        <v>23</v>
      </c>
      <c r="AD581" s="38">
        <f t="shared" si="71"/>
        <v>23</v>
      </c>
      <c r="AE581" s="33">
        <v>45397</v>
      </c>
      <c r="AF581" s="33"/>
      <c r="AG581" s="33"/>
      <c r="AH581" s="33">
        <v>45427</v>
      </c>
      <c r="AI581" s="33"/>
      <c r="AJ581" s="42"/>
      <c r="AK581" s="37" t="s">
        <v>481</v>
      </c>
      <c r="AL581" s="37" t="s">
        <v>502</v>
      </c>
      <c r="AM581" s="37" t="s">
        <v>483</v>
      </c>
      <c r="AN581" s="37" t="s">
        <v>174</v>
      </c>
      <c r="AO581" s="43">
        <v>0</v>
      </c>
      <c r="AP581" s="35">
        <v>100</v>
      </c>
      <c r="AQ581" s="35" t="s">
        <v>441</v>
      </c>
      <c r="AR581" s="44">
        <v>60</v>
      </c>
      <c r="AS581" s="37" t="s">
        <v>52</v>
      </c>
    </row>
    <row r="582" spans="1:45" ht="57" customHeight="1" x14ac:dyDescent="0.25">
      <c r="A582" s="32" t="s">
        <v>3114</v>
      </c>
      <c r="B582" s="56">
        <v>45372</v>
      </c>
      <c r="C582" s="35">
        <v>545</v>
      </c>
      <c r="D582" s="35" t="s">
        <v>485</v>
      </c>
      <c r="E582" s="1" t="s">
        <v>3115</v>
      </c>
      <c r="F582" s="35" t="s">
        <v>485</v>
      </c>
      <c r="G582" s="35" t="s">
        <v>485</v>
      </c>
      <c r="H582" s="35" t="s">
        <v>485</v>
      </c>
      <c r="I582" s="66" t="s">
        <v>516</v>
      </c>
      <c r="J582" s="57">
        <v>3625066.5</v>
      </c>
      <c r="K582" s="40">
        <f>((J582-M582)/J582)*100</f>
        <v>100</v>
      </c>
      <c r="L582" s="41">
        <f>J582-M582</f>
        <v>3625066.5</v>
      </c>
      <c r="M582" s="38"/>
      <c r="N582" s="41">
        <f>J582-O582</f>
        <v>3625066.5</v>
      </c>
      <c r="O582" s="38">
        <v>0</v>
      </c>
      <c r="P582" s="27">
        <f t="shared" si="74"/>
        <v>0</v>
      </c>
      <c r="Q582" s="27">
        <f t="shared" si="72"/>
        <v>0</v>
      </c>
      <c r="R582" s="27" t="e">
        <f>Q582/U582</f>
        <v>#DIV/0!</v>
      </c>
      <c r="S582" s="38" t="e">
        <f>Q582/U582</f>
        <v>#DIV/0!</v>
      </c>
      <c r="T582" s="38" t="e">
        <f>S582*AR582</f>
        <v>#DIV/0!</v>
      </c>
      <c r="U582" s="38">
        <f t="shared" si="70"/>
        <v>0</v>
      </c>
      <c r="V582" s="38">
        <v>0</v>
      </c>
      <c r="W582" s="38">
        <v>0</v>
      </c>
      <c r="X582" s="38">
        <v>0</v>
      </c>
      <c r="Y582" s="38"/>
      <c r="Z582" s="38" t="e">
        <f t="shared" si="68"/>
        <v>#DIV/0!</v>
      </c>
      <c r="AA582" s="38"/>
      <c r="AB582" s="38" t="e">
        <f t="shared" si="69"/>
        <v>#DIV/0!</v>
      </c>
      <c r="AC582" s="38" t="e">
        <f>U582/AR582</f>
        <v>#DIV/0!</v>
      </c>
      <c r="AD582" s="38" t="e">
        <f t="shared" si="71"/>
        <v>#DIV/0!</v>
      </c>
      <c r="AE582" s="33">
        <v>45412</v>
      </c>
      <c r="AF582" s="33"/>
      <c r="AG582" s="33"/>
      <c r="AH582" s="33"/>
      <c r="AI582" s="33"/>
      <c r="AJ582" s="42"/>
      <c r="AK582" s="37"/>
      <c r="AL582" s="37"/>
      <c r="AM582" s="37"/>
      <c r="AN582" s="37"/>
      <c r="AO582" s="43"/>
      <c r="AP582" s="35"/>
      <c r="AQ582" s="35"/>
      <c r="AR582" s="44"/>
      <c r="AS582" s="37" t="s">
        <v>485</v>
      </c>
    </row>
    <row r="583" spans="1:45" ht="57" customHeight="1" x14ac:dyDescent="0.25">
      <c r="A583" s="32" t="s">
        <v>3116</v>
      </c>
      <c r="B583" s="56">
        <v>45372</v>
      </c>
      <c r="C583" s="35" t="s">
        <v>548</v>
      </c>
      <c r="D583" s="36"/>
      <c r="E583" s="1" t="s">
        <v>3117</v>
      </c>
      <c r="F583" s="33">
        <v>45397</v>
      </c>
      <c r="G583" s="35" t="s">
        <v>3118</v>
      </c>
      <c r="H583" s="37" t="s">
        <v>2061</v>
      </c>
      <c r="I583" s="67" t="s">
        <v>2644</v>
      </c>
      <c r="J583" s="57">
        <v>15906000</v>
      </c>
      <c r="K583" s="40">
        <f>((J583-M583)/J583)*100</f>
        <v>0</v>
      </c>
      <c r="L583" s="41">
        <f>J583-M583</f>
        <v>0</v>
      </c>
      <c r="M583" s="57">
        <v>15906000</v>
      </c>
      <c r="N583" s="41">
        <f>J583-O583</f>
        <v>0</v>
      </c>
      <c r="O583" s="57">
        <v>15906000</v>
      </c>
      <c r="P583" s="27">
        <f t="shared" si="74"/>
        <v>15906000</v>
      </c>
      <c r="Q583" s="27">
        <f t="shared" si="72"/>
        <v>15906000</v>
      </c>
      <c r="R583" s="27">
        <f>Q583/U583</f>
        <v>16.5</v>
      </c>
      <c r="S583" s="38">
        <f>Q583/U583</f>
        <v>16.5</v>
      </c>
      <c r="T583" s="38" t="e">
        <f>S583*AR583</f>
        <v>#VALUE!</v>
      </c>
      <c r="U583" s="38">
        <f t="shared" si="70"/>
        <v>964000</v>
      </c>
      <c r="V583" s="38">
        <v>964000</v>
      </c>
      <c r="W583" s="38">
        <v>0</v>
      </c>
      <c r="X583" s="38">
        <v>0</v>
      </c>
      <c r="Y583" s="38">
        <v>0</v>
      </c>
      <c r="Z583" s="38">
        <f t="shared" si="68"/>
        <v>0</v>
      </c>
      <c r="AA583" s="38">
        <v>0</v>
      </c>
      <c r="AB583" s="38">
        <f t="shared" si="69"/>
        <v>0</v>
      </c>
      <c r="AC583" s="38" t="e">
        <f>U583/AR583</f>
        <v>#VALUE!</v>
      </c>
      <c r="AD583" s="38" t="e">
        <f t="shared" si="71"/>
        <v>#VALUE!</v>
      </c>
      <c r="AE583" s="33">
        <v>45444</v>
      </c>
      <c r="AF583" s="33"/>
      <c r="AG583" s="33"/>
      <c r="AH583" s="33">
        <v>45474</v>
      </c>
      <c r="AI583" s="33"/>
      <c r="AJ583" s="42"/>
      <c r="AK583" s="37" t="s">
        <v>3119</v>
      </c>
      <c r="AL583" s="37" t="s">
        <v>3120</v>
      </c>
      <c r="AM583" s="37" t="s">
        <v>3121</v>
      </c>
      <c r="AN583" s="37" t="s">
        <v>50</v>
      </c>
      <c r="AO583" s="43">
        <v>100</v>
      </c>
      <c r="AP583" s="35">
        <v>0</v>
      </c>
      <c r="AQ583" s="35" t="s">
        <v>441</v>
      </c>
      <c r="AR583" s="48" t="s">
        <v>3122</v>
      </c>
      <c r="AS583" s="37" t="s">
        <v>52</v>
      </c>
    </row>
    <row r="584" spans="1:45" ht="57" customHeight="1" x14ac:dyDescent="0.25">
      <c r="A584" s="32" t="s">
        <v>3123</v>
      </c>
      <c r="B584" s="56">
        <v>45372</v>
      </c>
      <c r="C584" s="35" t="s">
        <v>548</v>
      </c>
      <c r="D584" s="36"/>
      <c r="E584" s="1" t="s">
        <v>3124</v>
      </c>
      <c r="F584" s="33">
        <v>45397</v>
      </c>
      <c r="G584" s="35" t="s">
        <v>3125</v>
      </c>
      <c r="H584" s="37" t="s">
        <v>2080</v>
      </c>
      <c r="I584" s="45" t="s">
        <v>3126</v>
      </c>
      <c r="J584" s="57">
        <v>90851625.700000003</v>
      </c>
      <c r="K584" s="40">
        <f>((J584-M584)/J584)*100</f>
        <v>0</v>
      </c>
      <c r="L584" s="41">
        <f>J584-M584</f>
        <v>0</v>
      </c>
      <c r="M584" s="57">
        <v>90851625.700000003</v>
      </c>
      <c r="N584" s="41">
        <f>J584-O584</f>
        <v>0</v>
      </c>
      <c r="O584" s="57">
        <v>90851625.700000003</v>
      </c>
      <c r="P584" s="27">
        <f t="shared" si="74"/>
        <v>90851625.700000003</v>
      </c>
      <c r="Q584" s="27">
        <f t="shared" si="72"/>
        <v>90851625.700000003</v>
      </c>
      <c r="R584" s="27">
        <f>Q584/U584</f>
        <v>26.51</v>
      </c>
      <c r="S584" s="38">
        <f>Q584/U584</f>
        <v>26.51</v>
      </c>
      <c r="T584" s="38">
        <f>S584*AR584</f>
        <v>2651</v>
      </c>
      <c r="U584" s="38">
        <f t="shared" si="70"/>
        <v>3427070</v>
      </c>
      <c r="V584" s="38">
        <v>3427070</v>
      </c>
      <c r="W584" s="38">
        <v>0</v>
      </c>
      <c r="X584" s="38">
        <v>0</v>
      </c>
      <c r="Y584" s="38">
        <v>0</v>
      </c>
      <c r="Z584" s="38">
        <f t="shared" si="68"/>
        <v>0</v>
      </c>
      <c r="AA584" s="38">
        <v>0</v>
      </c>
      <c r="AB584" s="38">
        <f t="shared" si="69"/>
        <v>0</v>
      </c>
      <c r="AC584" s="38">
        <f>U584/AR584</f>
        <v>34270.699999999997</v>
      </c>
      <c r="AD584" s="38">
        <f t="shared" si="71"/>
        <v>34271</v>
      </c>
      <c r="AE584" s="33">
        <v>45505</v>
      </c>
      <c r="AF584" s="33"/>
      <c r="AG584" s="33"/>
      <c r="AH584" s="33">
        <v>45536</v>
      </c>
      <c r="AI584" s="33"/>
      <c r="AJ584" s="42"/>
      <c r="AK584" s="37" t="s">
        <v>3127</v>
      </c>
      <c r="AL584" s="37" t="s">
        <v>3128</v>
      </c>
      <c r="AM584" s="37" t="s">
        <v>3129</v>
      </c>
      <c r="AN584" s="37" t="s">
        <v>50</v>
      </c>
      <c r="AO584" s="43">
        <v>100</v>
      </c>
      <c r="AP584" s="35">
        <v>0</v>
      </c>
      <c r="AQ584" s="35" t="s">
        <v>441</v>
      </c>
      <c r="AR584" s="44">
        <v>100</v>
      </c>
      <c r="AS584" s="37" t="s">
        <v>52</v>
      </c>
    </row>
    <row r="585" spans="1:45" ht="57" customHeight="1" x14ac:dyDescent="0.25">
      <c r="A585" s="32" t="s">
        <v>3130</v>
      </c>
      <c r="B585" s="56">
        <v>45372</v>
      </c>
      <c r="C585" s="35" t="s">
        <v>548</v>
      </c>
      <c r="D585" s="36"/>
      <c r="E585" s="1" t="s">
        <v>3131</v>
      </c>
      <c r="F585" s="33">
        <v>45397</v>
      </c>
      <c r="G585" s="35" t="s">
        <v>3132</v>
      </c>
      <c r="H585" s="37" t="s">
        <v>3133</v>
      </c>
      <c r="I585" s="45" t="s">
        <v>3134</v>
      </c>
      <c r="J585" s="57">
        <v>17214516.600000001</v>
      </c>
      <c r="K585" s="40">
        <f>((J585-M585)/J585)*100</f>
        <v>0</v>
      </c>
      <c r="L585" s="41">
        <f>J585-M585</f>
        <v>0</v>
      </c>
      <c r="M585" s="57">
        <v>17214516.600000001</v>
      </c>
      <c r="N585" s="41">
        <f>J585-O585</f>
        <v>0</v>
      </c>
      <c r="O585" s="57">
        <v>17214516.600000001</v>
      </c>
      <c r="P585" s="27">
        <f t="shared" si="74"/>
        <v>17214516.600000001</v>
      </c>
      <c r="Q585" s="27">
        <f t="shared" si="72"/>
        <v>17214516.600000001</v>
      </c>
      <c r="R585" s="27">
        <f>Q585/U585</f>
        <v>49.74</v>
      </c>
      <c r="S585" s="38">
        <f>Q585/U585</f>
        <v>49.74</v>
      </c>
      <c r="T585" s="38">
        <f>S585*AR585</f>
        <v>497.40000000000003</v>
      </c>
      <c r="U585" s="38">
        <f t="shared" si="70"/>
        <v>346090</v>
      </c>
      <c r="V585" s="38">
        <v>103890</v>
      </c>
      <c r="W585" s="38">
        <v>242200</v>
      </c>
      <c r="X585" s="38">
        <v>0</v>
      </c>
      <c r="Y585" s="38">
        <v>0</v>
      </c>
      <c r="Z585" s="38">
        <f t="shared" si="68"/>
        <v>0</v>
      </c>
      <c r="AA585" s="38">
        <v>0</v>
      </c>
      <c r="AB585" s="38">
        <f t="shared" si="69"/>
        <v>0</v>
      </c>
      <c r="AC585" s="38">
        <f>U585/AR585</f>
        <v>34609</v>
      </c>
      <c r="AD585" s="38">
        <f t="shared" si="71"/>
        <v>34609</v>
      </c>
      <c r="AE585" s="33">
        <v>45444</v>
      </c>
      <c r="AF585" s="33">
        <v>45536</v>
      </c>
      <c r="AG585" s="33"/>
      <c r="AH585" s="33">
        <v>45474</v>
      </c>
      <c r="AI585" s="33">
        <v>45566</v>
      </c>
      <c r="AJ585" s="42"/>
      <c r="AK585" s="37" t="s">
        <v>3135</v>
      </c>
      <c r="AL585" s="37" t="s">
        <v>3136</v>
      </c>
      <c r="AM585" s="37" t="s">
        <v>3137</v>
      </c>
      <c r="AN585" s="37" t="s">
        <v>50</v>
      </c>
      <c r="AO585" s="43">
        <v>100</v>
      </c>
      <c r="AP585" s="35">
        <v>0</v>
      </c>
      <c r="AQ585" s="35" t="s">
        <v>441</v>
      </c>
      <c r="AR585" s="44">
        <v>10</v>
      </c>
      <c r="AS585" s="37" t="s">
        <v>52</v>
      </c>
    </row>
    <row r="586" spans="1:45" ht="57" customHeight="1" x14ac:dyDescent="0.25">
      <c r="A586" s="32" t="s">
        <v>3138</v>
      </c>
      <c r="B586" s="56">
        <v>45372</v>
      </c>
      <c r="C586" s="35" t="s">
        <v>548</v>
      </c>
      <c r="D586" s="36"/>
      <c r="E586" s="1" t="s">
        <v>3139</v>
      </c>
      <c r="F586" s="33">
        <v>45397</v>
      </c>
      <c r="G586" s="35" t="s">
        <v>3140</v>
      </c>
      <c r="H586" s="37" t="s">
        <v>2597</v>
      </c>
      <c r="I586" s="45" t="s">
        <v>2482</v>
      </c>
      <c r="J586" s="57">
        <v>16993350</v>
      </c>
      <c r="K586" s="40">
        <f>((J586-M586)/J586)*100</f>
        <v>0</v>
      </c>
      <c r="L586" s="41">
        <f>J586-M586</f>
        <v>0</v>
      </c>
      <c r="M586" s="57">
        <v>16993350</v>
      </c>
      <c r="N586" s="41">
        <f>J586-O586</f>
        <v>0</v>
      </c>
      <c r="O586" s="57">
        <v>16993350</v>
      </c>
      <c r="P586" s="27">
        <f t="shared" si="74"/>
        <v>16993350</v>
      </c>
      <c r="Q586" s="27">
        <f t="shared" si="72"/>
        <v>16993350</v>
      </c>
      <c r="R586" s="27">
        <f>Q586/U586</f>
        <v>165</v>
      </c>
      <c r="S586" s="38">
        <f>Q586/U586</f>
        <v>165</v>
      </c>
      <c r="T586" s="38">
        <f>S586*AR586</f>
        <v>1650</v>
      </c>
      <c r="U586" s="38">
        <f t="shared" si="70"/>
        <v>102990</v>
      </c>
      <c r="V586" s="38">
        <v>102990</v>
      </c>
      <c r="W586" s="38">
        <v>0</v>
      </c>
      <c r="X586" s="38">
        <v>0</v>
      </c>
      <c r="Y586" s="38">
        <v>0</v>
      </c>
      <c r="Z586" s="38">
        <f t="shared" si="68"/>
        <v>0</v>
      </c>
      <c r="AA586" s="38">
        <v>0</v>
      </c>
      <c r="AB586" s="38">
        <f t="shared" si="69"/>
        <v>0</v>
      </c>
      <c r="AC586" s="38">
        <f>U586/AR586</f>
        <v>10299</v>
      </c>
      <c r="AD586" s="38">
        <f t="shared" si="71"/>
        <v>10299</v>
      </c>
      <c r="AE586" s="33">
        <v>45444</v>
      </c>
      <c r="AF586" s="33"/>
      <c r="AG586" s="33"/>
      <c r="AH586" s="33">
        <v>45474</v>
      </c>
      <c r="AI586" s="33"/>
      <c r="AJ586" s="42"/>
      <c r="AK586" s="37" t="s">
        <v>3141</v>
      </c>
      <c r="AL586" s="37" t="s">
        <v>3142</v>
      </c>
      <c r="AM586" s="37" t="s">
        <v>3143</v>
      </c>
      <c r="AN586" s="37" t="s">
        <v>2601</v>
      </c>
      <c r="AO586" s="43">
        <v>0</v>
      </c>
      <c r="AP586" s="35">
        <v>100</v>
      </c>
      <c r="AQ586" s="35" t="s">
        <v>441</v>
      </c>
      <c r="AR586" s="44">
        <v>10</v>
      </c>
      <c r="AS586" s="37" t="s">
        <v>52</v>
      </c>
    </row>
    <row r="587" spans="1:45" ht="57" customHeight="1" x14ac:dyDescent="0.25">
      <c r="A587" s="32" t="s">
        <v>3144</v>
      </c>
      <c r="B587" s="56">
        <v>45372</v>
      </c>
      <c r="C587" s="35" t="s">
        <v>548</v>
      </c>
      <c r="D587" s="36"/>
      <c r="E587" s="1" t="s">
        <v>3145</v>
      </c>
      <c r="F587" s="33">
        <v>45397</v>
      </c>
      <c r="G587" s="35" t="s">
        <v>3146</v>
      </c>
      <c r="H587" s="37" t="s">
        <v>291</v>
      </c>
      <c r="I587" s="58" t="s">
        <v>2482</v>
      </c>
      <c r="J587" s="57">
        <v>259688550</v>
      </c>
      <c r="K587" s="40">
        <f>((J587-M587)/J587)*100</f>
        <v>0</v>
      </c>
      <c r="L587" s="41">
        <f>J587-M587</f>
        <v>0</v>
      </c>
      <c r="M587" s="57">
        <v>259688550</v>
      </c>
      <c r="N587" s="41">
        <f>J587-O587</f>
        <v>0</v>
      </c>
      <c r="O587" s="57">
        <v>259688550</v>
      </c>
      <c r="P587" s="27">
        <f t="shared" si="74"/>
        <v>259688550</v>
      </c>
      <c r="Q587" s="27">
        <f t="shared" si="72"/>
        <v>259688550</v>
      </c>
      <c r="R587" s="27">
        <f>Q587/U587</f>
        <v>165</v>
      </c>
      <c r="S587" s="38">
        <f>Q587/U587</f>
        <v>165</v>
      </c>
      <c r="T587" s="38" t="e">
        <f>S587*AR587</f>
        <v>#VALUE!</v>
      </c>
      <c r="U587" s="38">
        <f t="shared" si="70"/>
        <v>1573870</v>
      </c>
      <c r="V587" s="38">
        <v>472170</v>
      </c>
      <c r="W587" s="38">
        <v>1101700</v>
      </c>
      <c r="X587" s="38">
        <v>0</v>
      </c>
      <c r="Y587" s="38">
        <v>0</v>
      </c>
      <c r="Z587" s="38">
        <f t="shared" si="68"/>
        <v>0</v>
      </c>
      <c r="AA587" s="38">
        <v>0</v>
      </c>
      <c r="AB587" s="38">
        <f t="shared" si="69"/>
        <v>0</v>
      </c>
      <c r="AC587" s="38" t="e">
        <f>U587/AR587</f>
        <v>#VALUE!</v>
      </c>
      <c r="AD587" s="38" t="e">
        <f t="shared" si="71"/>
        <v>#VALUE!</v>
      </c>
      <c r="AE587" s="33">
        <v>45444</v>
      </c>
      <c r="AF587" s="33">
        <v>45536</v>
      </c>
      <c r="AG587" s="33"/>
      <c r="AH587" s="33">
        <v>45474</v>
      </c>
      <c r="AI587" s="33">
        <v>45566</v>
      </c>
      <c r="AJ587" s="42"/>
      <c r="AK587" s="37" t="s">
        <v>3147</v>
      </c>
      <c r="AL587" s="37" t="s">
        <v>3148</v>
      </c>
      <c r="AM587" s="37" t="s">
        <v>3149</v>
      </c>
      <c r="AN587" s="37" t="s">
        <v>50</v>
      </c>
      <c r="AO587" s="43">
        <v>100</v>
      </c>
      <c r="AP587" s="35">
        <v>0</v>
      </c>
      <c r="AQ587" s="35" t="s">
        <v>441</v>
      </c>
      <c r="AR587" s="48" t="s">
        <v>3150</v>
      </c>
      <c r="AS587" s="37" t="s">
        <v>52</v>
      </c>
    </row>
    <row r="588" spans="1:45" ht="57" customHeight="1" x14ac:dyDescent="0.25">
      <c r="A588" s="32" t="s">
        <v>3151</v>
      </c>
      <c r="B588" s="56">
        <v>45372</v>
      </c>
      <c r="C588" s="35">
        <v>545</v>
      </c>
      <c r="D588" s="36"/>
      <c r="E588" s="1" t="s">
        <v>3152</v>
      </c>
      <c r="F588" s="33">
        <v>45397</v>
      </c>
      <c r="G588" s="35" t="s">
        <v>3153</v>
      </c>
      <c r="H588" s="37" t="s">
        <v>331</v>
      </c>
      <c r="I588" s="58" t="s">
        <v>2451</v>
      </c>
      <c r="J588" s="57">
        <v>229043533.94999999</v>
      </c>
      <c r="K588" s="40">
        <f>((J588-M588)/J588)*100</f>
        <v>0</v>
      </c>
      <c r="L588" s="41">
        <f>J588-M588</f>
        <v>0</v>
      </c>
      <c r="M588" s="38">
        <v>229043533.94999999</v>
      </c>
      <c r="N588" s="41">
        <f>J588-O588</f>
        <v>0</v>
      </c>
      <c r="O588" s="38">
        <v>229043533.94999999</v>
      </c>
      <c r="P588" s="27">
        <f t="shared" si="74"/>
        <v>229043533.94999999</v>
      </c>
      <c r="Q588" s="27">
        <f t="shared" si="72"/>
        <v>229043533.94999999</v>
      </c>
      <c r="R588" s="27">
        <f>Q588/U588</f>
        <v>204411.9</v>
      </c>
      <c r="S588" s="38">
        <f>Q588/U588</f>
        <v>204411.9</v>
      </c>
      <c r="T588" s="38">
        <f>S588*AR588</f>
        <v>919853.54999999993</v>
      </c>
      <c r="U588" s="38">
        <f t="shared" si="70"/>
        <v>1120.5</v>
      </c>
      <c r="V588" s="38">
        <v>1120.5</v>
      </c>
      <c r="W588" s="38">
        <v>0</v>
      </c>
      <c r="X588" s="38">
        <v>0</v>
      </c>
      <c r="Y588" s="38">
        <v>0</v>
      </c>
      <c r="Z588" s="38">
        <f t="shared" ref="Z588:Z651" si="75">Y588*S588</f>
        <v>0</v>
      </c>
      <c r="AA588" s="38">
        <v>0</v>
      </c>
      <c r="AB588" s="38">
        <f t="shared" ref="AB588:AB651" si="76">AA588*S588</f>
        <v>0</v>
      </c>
      <c r="AC588" s="38">
        <f>U588/AR588</f>
        <v>249</v>
      </c>
      <c r="AD588" s="38">
        <f t="shared" si="71"/>
        <v>249</v>
      </c>
      <c r="AE588" s="33">
        <v>45443</v>
      </c>
      <c r="AF588" s="33"/>
      <c r="AG588" s="33"/>
      <c r="AH588" s="33">
        <v>45473</v>
      </c>
      <c r="AI588" s="33"/>
      <c r="AJ588" s="42"/>
      <c r="AK588" s="37" t="s">
        <v>2452</v>
      </c>
      <c r="AL588" s="37" t="s">
        <v>2453</v>
      </c>
      <c r="AM588" s="37" t="s">
        <v>804</v>
      </c>
      <c r="AN588" s="37" t="s">
        <v>224</v>
      </c>
      <c r="AO588" s="43">
        <v>0</v>
      </c>
      <c r="AP588" s="35">
        <v>100</v>
      </c>
      <c r="AQ588" s="35" t="s">
        <v>164</v>
      </c>
      <c r="AR588" s="49">
        <v>4.5</v>
      </c>
      <c r="AS588" s="37" t="s">
        <v>52</v>
      </c>
    </row>
    <row r="589" spans="1:45" ht="60" customHeight="1" x14ac:dyDescent="0.25">
      <c r="A589" s="32" t="s">
        <v>3154</v>
      </c>
      <c r="B589" s="56">
        <v>45373</v>
      </c>
      <c r="C589" s="35" t="s">
        <v>2213</v>
      </c>
      <c r="D589" s="36"/>
      <c r="E589" s="1" t="s">
        <v>3155</v>
      </c>
      <c r="F589" s="33">
        <v>45387</v>
      </c>
      <c r="G589" s="32" t="s">
        <v>3156</v>
      </c>
      <c r="H589" s="37" t="s">
        <v>1847</v>
      </c>
      <c r="I589" s="58" t="s">
        <v>306</v>
      </c>
      <c r="J589" s="57">
        <v>367037.44</v>
      </c>
      <c r="K589" s="40">
        <f>((J589-M589)/J589)*100</f>
        <v>15.000213602187292</v>
      </c>
      <c r="L589" s="41">
        <f>J589-M589</f>
        <v>55056.400000000023</v>
      </c>
      <c r="M589" s="38">
        <v>311981.03999999998</v>
      </c>
      <c r="N589" s="41">
        <f>J589-O589</f>
        <v>55056.400000000023</v>
      </c>
      <c r="O589" s="38">
        <v>311981.03999999998</v>
      </c>
      <c r="P589" s="27">
        <f t="shared" si="74"/>
        <v>311981.03999999998</v>
      </c>
      <c r="Q589" s="27">
        <f t="shared" si="72"/>
        <v>311981.03999999998</v>
      </c>
      <c r="R589" s="27">
        <f>Q589/U589</f>
        <v>795.86999999999989</v>
      </c>
      <c r="S589" s="38">
        <f>Q589/U589</f>
        <v>795.86999999999989</v>
      </c>
      <c r="T589" s="38">
        <f>S589*AR589</f>
        <v>22284.359999999997</v>
      </c>
      <c r="U589" s="38">
        <f t="shared" si="70"/>
        <v>392</v>
      </c>
      <c r="V589" s="38">
        <f>224+168</f>
        <v>392</v>
      </c>
      <c r="W589" s="38">
        <v>0</v>
      </c>
      <c r="X589" s="38">
        <v>0</v>
      </c>
      <c r="Y589" s="38">
        <v>224</v>
      </c>
      <c r="Z589" s="38">
        <f t="shared" si="75"/>
        <v>178274.87999999998</v>
      </c>
      <c r="AA589" s="38">
        <v>168</v>
      </c>
      <c r="AB589" s="38">
        <f t="shared" si="76"/>
        <v>133706.15999999997</v>
      </c>
      <c r="AC589" s="38">
        <f>U589/AR589</f>
        <v>14</v>
      </c>
      <c r="AD589" s="38">
        <f t="shared" si="71"/>
        <v>14</v>
      </c>
      <c r="AE589" s="33">
        <v>45444</v>
      </c>
      <c r="AF589" s="33"/>
      <c r="AG589" s="33"/>
      <c r="AH589" s="33">
        <v>45474</v>
      </c>
      <c r="AI589" s="33"/>
      <c r="AJ589" s="42"/>
      <c r="AK589" s="37" t="s">
        <v>307</v>
      </c>
      <c r="AL589" s="37" t="s">
        <v>308</v>
      </c>
      <c r="AM589" s="37" t="s">
        <v>309</v>
      </c>
      <c r="AN589" s="37" t="s">
        <v>50</v>
      </c>
      <c r="AO589" s="43">
        <v>100</v>
      </c>
      <c r="AP589" s="35">
        <v>0</v>
      </c>
      <c r="AQ589" s="35" t="s">
        <v>441</v>
      </c>
      <c r="AR589" s="44">
        <v>28</v>
      </c>
      <c r="AS589" s="37" t="s">
        <v>52</v>
      </c>
    </row>
    <row r="590" spans="1:45" ht="60" customHeight="1" x14ac:dyDescent="0.25">
      <c r="A590" s="32" t="s">
        <v>3157</v>
      </c>
      <c r="B590" s="56">
        <v>45373</v>
      </c>
      <c r="C590" s="37" t="s">
        <v>2074</v>
      </c>
      <c r="D590" s="36"/>
      <c r="E590" s="1" t="s">
        <v>3158</v>
      </c>
      <c r="F590" s="33">
        <v>45387</v>
      </c>
      <c r="G590" s="32" t="s">
        <v>3159</v>
      </c>
      <c r="H590" s="37" t="s">
        <v>2375</v>
      </c>
      <c r="I590" s="58" t="s">
        <v>3160</v>
      </c>
      <c r="J590" s="57">
        <v>572453</v>
      </c>
      <c r="K590" s="40">
        <f>((J590-M590)/J590)*100</f>
        <v>0</v>
      </c>
      <c r="L590" s="41">
        <f>J590-M590</f>
        <v>0</v>
      </c>
      <c r="M590" s="57">
        <v>572453</v>
      </c>
      <c r="N590" s="41">
        <f>J590-O590</f>
        <v>0</v>
      </c>
      <c r="O590" s="57">
        <v>572453</v>
      </c>
      <c r="P590" s="27">
        <f t="shared" si="74"/>
        <v>572453</v>
      </c>
      <c r="Q590" s="27">
        <f t="shared" si="72"/>
        <v>572453</v>
      </c>
      <c r="R590" s="27">
        <f>Q590/U590</f>
        <v>5.3</v>
      </c>
      <c r="S590" s="38">
        <f>Q590/U590</f>
        <v>5.3</v>
      </c>
      <c r="T590" s="38" t="e">
        <f>S590*AR590</f>
        <v>#VALUE!</v>
      </c>
      <c r="U590" s="38">
        <f t="shared" si="70"/>
        <v>108010</v>
      </c>
      <c r="V590" s="38">
        <v>108010</v>
      </c>
      <c r="W590" s="38">
        <v>0</v>
      </c>
      <c r="X590" s="38">
        <v>0</v>
      </c>
      <c r="Y590" s="38">
        <v>0</v>
      </c>
      <c r="Z590" s="38">
        <f t="shared" si="75"/>
        <v>0</v>
      </c>
      <c r="AA590" s="38">
        <v>0</v>
      </c>
      <c r="AB590" s="38">
        <f t="shared" si="76"/>
        <v>0</v>
      </c>
      <c r="AC590" s="38" t="e">
        <f>U590/AR590</f>
        <v>#VALUE!</v>
      </c>
      <c r="AD590" s="38" t="e">
        <f t="shared" si="71"/>
        <v>#VALUE!</v>
      </c>
      <c r="AE590" s="33">
        <v>45444</v>
      </c>
      <c r="AF590" s="33"/>
      <c r="AG590" s="33"/>
      <c r="AH590" s="33">
        <v>45474</v>
      </c>
      <c r="AI590" s="33"/>
      <c r="AJ590" s="42"/>
      <c r="AK590" s="37" t="s">
        <v>3002</v>
      </c>
      <c r="AL590" s="37" t="s">
        <v>3161</v>
      </c>
      <c r="AM590" s="37" t="s">
        <v>2428</v>
      </c>
      <c r="AN590" s="37" t="s">
        <v>50</v>
      </c>
      <c r="AO590" s="43">
        <v>100</v>
      </c>
      <c r="AP590" s="35">
        <v>0</v>
      </c>
      <c r="AQ590" s="35" t="s">
        <v>441</v>
      </c>
      <c r="AR590" s="48" t="s">
        <v>2429</v>
      </c>
      <c r="AS590" s="37" t="s">
        <v>52</v>
      </c>
    </row>
    <row r="591" spans="1:45" ht="60" customHeight="1" x14ac:dyDescent="0.25">
      <c r="A591" s="32" t="s">
        <v>3162</v>
      </c>
      <c r="B591" s="56">
        <v>45373</v>
      </c>
      <c r="C591" s="37" t="s">
        <v>2074</v>
      </c>
      <c r="D591" s="36"/>
      <c r="E591" s="1" t="s">
        <v>3163</v>
      </c>
      <c r="F591" s="33">
        <v>45387</v>
      </c>
      <c r="G591" s="32" t="s">
        <v>3164</v>
      </c>
      <c r="H591" s="37" t="s">
        <v>1166</v>
      </c>
      <c r="I591" s="58" t="s">
        <v>2475</v>
      </c>
      <c r="J591" s="57">
        <v>27522.799999999999</v>
      </c>
      <c r="K591" s="40">
        <f>((J591-M591)/J591)*100</f>
        <v>0</v>
      </c>
      <c r="L591" s="41">
        <f>J591-M591</f>
        <v>0</v>
      </c>
      <c r="M591" s="57">
        <v>27522.799999999999</v>
      </c>
      <c r="N591" s="41">
        <f>J591-O591</f>
        <v>0</v>
      </c>
      <c r="O591" s="57">
        <v>27522.799999999999</v>
      </c>
      <c r="P591" s="27">
        <f t="shared" si="74"/>
        <v>27522.799999999999</v>
      </c>
      <c r="Q591" s="27">
        <f t="shared" si="72"/>
        <v>27522.799999999999</v>
      </c>
      <c r="R591" s="27">
        <f>Q591/U591</f>
        <v>33.159999999999997</v>
      </c>
      <c r="S591" s="38">
        <f>Q591/U591</f>
        <v>33.159999999999997</v>
      </c>
      <c r="T591" s="38">
        <f>S591*AR591</f>
        <v>331.59999999999997</v>
      </c>
      <c r="U591" s="38">
        <f t="shared" si="70"/>
        <v>830</v>
      </c>
      <c r="V591" s="38">
        <v>830</v>
      </c>
      <c r="W591" s="38">
        <v>0</v>
      </c>
      <c r="X591" s="38">
        <v>0</v>
      </c>
      <c r="Y591" s="38">
        <v>0</v>
      </c>
      <c r="Z591" s="38">
        <f t="shared" si="75"/>
        <v>0</v>
      </c>
      <c r="AA591" s="38">
        <v>0</v>
      </c>
      <c r="AB591" s="38">
        <f t="shared" si="76"/>
        <v>0</v>
      </c>
      <c r="AC591" s="38">
        <f>U591/AR591</f>
        <v>83</v>
      </c>
      <c r="AD591" s="38">
        <f t="shared" si="71"/>
        <v>83</v>
      </c>
      <c r="AE591" s="33">
        <v>45427</v>
      </c>
      <c r="AF591" s="33"/>
      <c r="AG591" s="33"/>
      <c r="AH591" s="33">
        <v>45458</v>
      </c>
      <c r="AI591" s="33"/>
      <c r="AJ591" s="42"/>
      <c r="AK591" s="37" t="s">
        <v>3165</v>
      </c>
      <c r="AL591" s="37" t="s">
        <v>3166</v>
      </c>
      <c r="AM591" s="37" t="s">
        <v>3167</v>
      </c>
      <c r="AN591" s="37" t="s">
        <v>50</v>
      </c>
      <c r="AO591" s="43">
        <v>100</v>
      </c>
      <c r="AP591" s="35">
        <v>0</v>
      </c>
      <c r="AQ591" s="35" t="s">
        <v>441</v>
      </c>
      <c r="AR591" s="44">
        <v>10</v>
      </c>
      <c r="AS591" s="37" t="s">
        <v>52</v>
      </c>
    </row>
    <row r="592" spans="1:45" ht="60" customHeight="1" x14ac:dyDescent="0.25">
      <c r="A592" s="32" t="s">
        <v>3168</v>
      </c>
      <c r="B592" s="56">
        <v>45373</v>
      </c>
      <c r="C592" s="35">
        <v>1416</v>
      </c>
      <c r="D592" s="36"/>
      <c r="E592" s="1" t="s">
        <v>3169</v>
      </c>
      <c r="F592" s="33">
        <v>45397</v>
      </c>
      <c r="G592" s="35" t="s">
        <v>3170</v>
      </c>
      <c r="H592" s="37" t="s">
        <v>291</v>
      </c>
      <c r="I592" s="58" t="s">
        <v>306</v>
      </c>
      <c r="J592" s="57">
        <v>269756948.72000003</v>
      </c>
      <c r="K592" s="40">
        <f>((J592-M592)/J592)*100</f>
        <v>94.513053950886928</v>
      </c>
      <c r="L592" s="41">
        <f>J592-M592</f>
        <v>254955530.48000002</v>
      </c>
      <c r="M592" s="38">
        <v>14801418.24</v>
      </c>
      <c r="N592" s="41">
        <f>J592-O592</f>
        <v>254955530.48000002</v>
      </c>
      <c r="O592" s="38">
        <v>14801418.24</v>
      </c>
      <c r="P592" s="27">
        <f t="shared" si="74"/>
        <v>14801418.24</v>
      </c>
      <c r="Q592" s="27">
        <f t="shared" si="72"/>
        <v>14801418.24</v>
      </c>
      <c r="R592" s="27">
        <f>Q592/U592</f>
        <v>53.76</v>
      </c>
      <c r="S592" s="38">
        <f>Q592/U592</f>
        <v>53.76</v>
      </c>
      <c r="T592" s="38">
        <f>S592*AR592</f>
        <v>1505.28</v>
      </c>
      <c r="U592" s="38">
        <f t="shared" si="70"/>
        <v>275324</v>
      </c>
      <c r="V592" s="38">
        <f>3220+272104</f>
        <v>275324</v>
      </c>
      <c r="W592" s="38">
        <v>0</v>
      </c>
      <c r="X592" s="38">
        <v>0</v>
      </c>
      <c r="Y592" s="38">
        <v>3220</v>
      </c>
      <c r="Z592" s="38">
        <f t="shared" si="75"/>
        <v>173107.19999999998</v>
      </c>
      <c r="AA592" s="38">
        <v>272104</v>
      </c>
      <c r="AB592" s="38">
        <f t="shared" si="76"/>
        <v>14628311.039999999</v>
      </c>
      <c r="AC592" s="38">
        <f>U592/AR592</f>
        <v>9833</v>
      </c>
      <c r="AD592" s="38">
        <f t="shared" si="71"/>
        <v>9833</v>
      </c>
      <c r="AE592" s="33">
        <v>45444</v>
      </c>
      <c r="AF592" s="33"/>
      <c r="AG592" s="33"/>
      <c r="AH592" s="33">
        <v>45474</v>
      </c>
      <c r="AI592" s="33"/>
      <c r="AJ592" s="42"/>
      <c r="AK592" s="37" t="s">
        <v>3171</v>
      </c>
      <c r="AL592" s="37" t="s">
        <v>3172</v>
      </c>
      <c r="AM592" s="37" t="s">
        <v>3173</v>
      </c>
      <c r="AN592" s="37" t="s">
        <v>50</v>
      </c>
      <c r="AO592" s="43">
        <v>100</v>
      </c>
      <c r="AP592" s="35">
        <v>0</v>
      </c>
      <c r="AQ592" s="35" t="s">
        <v>441</v>
      </c>
      <c r="AR592" s="44">
        <v>28</v>
      </c>
      <c r="AS592" s="37" t="s">
        <v>52</v>
      </c>
    </row>
    <row r="593" spans="1:45" ht="60" customHeight="1" x14ac:dyDescent="0.25">
      <c r="A593" s="32" t="s">
        <v>3174</v>
      </c>
      <c r="B593" s="56">
        <v>45373</v>
      </c>
      <c r="C593" s="35">
        <v>1416</v>
      </c>
      <c r="D593" s="36"/>
      <c r="E593" s="1" t="s">
        <v>3175</v>
      </c>
      <c r="F593" s="33">
        <v>45397</v>
      </c>
      <c r="G593" s="35" t="s">
        <v>3176</v>
      </c>
      <c r="H593" s="37" t="s">
        <v>291</v>
      </c>
      <c r="I593" s="59" t="s">
        <v>3177</v>
      </c>
      <c r="J593" s="57">
        <v>2412345</v>
      </c>
      <c r="K593" s="40">
        <f>((J593-M593)/J593)*100</f>
        <v>0</v>
      </c>
      <c r="L593" s="41">
        <f>J593-M593</f>
        <v>0</v>
      </c>
      <c r="M593" s="57">
        <v>2412345</v>
      </c>
      <c r="N593" s="41">
        <f>J593-O593</f>
        <v>0</v>
      </c>
      <c r="O593" s="57">
        <v>2412345</v>
      </c>
      <c r="P593" s="27">
        <f t="shared" si="74"/>
        <v>2412345</v>
      </c>
      <c r="Q593" s="27">
        <f t="shared" si="72"/>
        <v>2412345</v>
      </c>
      <c r="R593" s="27">
        <f>Q593/U593</f>
        <v>23.14</v>
      </c>
      <c r="S593" s="38">
        <f>Q593/U593</f>
        <v>23.14</v>
      </c>
      <c r="T593" s="38" t="e">
        <f>S593*AR593</f>
        <v>#VALUE!</v>
      </c>
      <c r="U593" s="38">
        <f t="shared" si="70"/>
        <v>104250</v>
      </c>
      <c r="V593" s="38">
        <v>104250</v>
      </c>
      <c r="W593" s="38">
        <v>0</v>
      </c>
      <c r="X593" s="38">
        <v>0</v>
      </c>
      <c r="Y593" s="38">
        <v>0</v>
      </c>
      <c r="Z593" s="38">
        <f t="shared" si="75"/>
        <v>0</v>
      </c>
      <c r="AA593" s="38">
        <v>104250</v>
      </c>
      <c r="AB593" s="38">
        <f t="shared" si="76"/>
        <v>2412345</v>
      </c>
      <c r="AC593" s="38" t="e">
        <f>U593/AR593</f>
        <v>#VALUE!</v>
      </c>
      <c r="AD593" s="38" t="e">
        <f t="shared" si="71"/>
        <v>#VALUE!</v>
      </c>
      <c r="AE593" s="33">
        <v>45505</v>
      </c>
      <c r="AF593" s="33"/>
      <c r="AG593" s="33"/>
      <c r="AH593" s="33">
        <v>45536</v>
      </c>
      <c r="AI593" s="33"/>
      <c r="AJ593" s="42"/>
      <c r="AK593" s="37" t="s">
        <v>3178</v>
      </c>
      <c r="AL593" s="37" t="s">
        <v>3179</v>
      </c>
      <c r="AM593" s="37" t="s">
        <v>3180</v>
      </c>
      <c r="AN593" s="37" t="s">
        <v>50</v>
      </c>
      <c r="AO593" s="43">
        <v>100</v>
      </c>
      <c r="AP593" s="35">
        <v>0</v>
      </c>
      <c r="AQ593" s="35" t="s">
        <v>441</v>
      </c>
      <c r="AR593" s="48" t="s">
        <v>3181</v>
      </c>
      <c r="AS593" s="37" t="s">
        <v>52</v>
      </c>
    </row>
    <row r="594" spans="1:45" ht="60" customHeight="1" x14ac:dyDescent="0.25">
      <c r="A594" s="32" t="s">
        <v>3182</v>
      </c>
      <c r="B594" s="56">
        <v>45373</v>
      </c>
      <c r="C594" s="35" t="s">
        <v>2642</v>
      </c>
      <c r="D594" s="35" t="s">
        <v>485</v>
      </c>
      <c r="E594" s="1" t="s">
        <v>3183</v>
      </c>
      <c r="F594" s="35" t="s">
        <v>485</v>
      </c>
      <c r="G594" s="35" t="s">
        <v>485</v>
      </c>
      <c r="H594" s="35" t="s">
        <v>485</v>
      </c>
      <c r="I594" s="58" t="s">
        <v>3184</v>
      </c>
      <c r="J594" s="57">
        <v>128041.7</v>
      </c>
      <c r="K594" s="40">
        <f>((J594-M594)/J594)*100</f>
        <v>100</v>
      </c>
      <c r="L594" s="41">
        <f>J594-M594</f>
        <v>128041.7</v>
      </c>
      <c r="M594" s="38"/>
      <c r="N594" s="41">
        <f>J594-O594</f>
        <v>128041.7</v>
      </c>
      <c r="O594" s="38">
        <v>0</v>
      </c>
      <c r="P594" s="27">
        <f t="shared" si="74"/>
        <v>0</v>
      </c>
      <c r="Q594" s="27">
        <f t="shared" si="72"/>
        <v>0</v>
      </c>
      <c r="R594" s="27" t="e">
        <f>Q594/U594</f>
        <v>#DIV/0!</v>
      </c>
      <c r="S594" s="38" t="e">
        <f>Q594/U594</f>
        <v>#DIV/0!</v>
      </c>
      <c r="T594" s="38" t="e">
        <f>S594*AR594</f>
        <v>#DIV/0!</v>
      </c>
      <c r="U594" s="38">
        <f t="shared" si="70"/>
        <v>0</v>
      </c>
      <c r="V594" s="38">
        <v>0</v>
      </c>
      <c r="W594" s="38">
        <v>0</v>
      </c>
      <c r="X594" s="38">
        <v>0</v>
      </c>
      <c r="Y594" s="38"/>
      <c r="Z594" s="38" t="e">
        <f t="shared" si="75"/>
        <v>#DIV/0!</v>
      </c>
      <c r="AA594" s="38"/>
      <c r="AB594" s="38" t="e">
        <f t="shared" si="76"/>
        <v>#DIV/0!</v>
      </c>
      <c r="AC594" s="38" t="e">
        <f>U594/AR594</f>
        <v>#DIV/0!</v>
      </c>
      <c r="AD594" s="38" t="e">
        <f t="shared" si="71"/>
        <v>#DIV/0!</v>
      </c>
      <c r="AE594" s="33">
        <v>45444</v>
      </c>
      <c r="AF594" s="33"/>
      <c r="AG594" s="33"/>
      <c r="AH594" s="33"/>
      <c r="AI594" s="33"/>
      <c r="AJ594" s="42"/>
      <c r="AK594" s="37"/>
      <c r="AL594" s="37"/>
      <c r="AM594" s="37"/>
      <c r="AN594" s="37"/>
      <c r="AO594" s="43"/>
      <c r="AP594" s="35"/>
      <c r="AQ594" s="35"/>
      <c r="AR594" s="44"/>
      <c r="AS594" s="37" t="s">
        <v>485</v>
      </c>
    </row>
    <row r="595" spans="1:45" ht="60" customHeight="1" x14ac:dyDescent="0.25">
      <c r="A595" s="32" t="s">
        <v>3185</v>
      </c>
      <c r="B595" s="56">
        <v>45373</v>
      </c>
      <c r="C595" s="35" t="s">
        <v>548</v>
      </c>
      <c r="D595" s="36"/>
      <c r="E595" s="1" t="s">
        <v>3186</v>
      </c>
      <c r="F595" s="33">
        <v>45397</v>
      </c>
      <c r="G595" s="35" t="s">
        <v>3187</v>
      </c>
      <c r="H595" s="37" t="s">
        <v>2032</v>
      </c>
      <c r="I595" s="58" t="s">
        <v>3188</v>
      </c>
      <c r="J595" s="57">
        <v>9189299.1999999993</v>
      </c>
      <c r="K595" s="40">
        <f>((J595-M595)/J595)*100</f>
        <v>0</v>
      </c>
      <c r="L595" s="41">
        <f>J595-M595</f>
        <v>0</v>
      </c>
      <c r="M595" s="57">
        <v>9189299.1999999993</v>
      </c>
      <c r="N595" s="41">
        <f>J595-O595</f>
        <v>0</v>
      </c>
      <c r="O595" s="57">
        <v>9189299.1999999993</v>
      </c>
      <c r="P595" s="27">
        <f t="shared" si="74"/>
        <v>9189299.1999999993</v>
      </c>
      <c r="Q595" s="27">
        <f t="shared" si="72"/>
        <v>9189299.1999999993</v>
      </c>
      <c r="R595" s="27">
        <f>Q595/U595</f>
        <v>33.159999999999997</v>
      </c>
      <c r="S595" s="38">
        <f>Q595/U595</f>
        <v>33.159999999999997</v>
      </c>
      <c r="T595" s="38">
        <f>S595*AR595</f>
        <v>331.59999999999997</v>
      </c>
      <c r="U595" s="38">
        <f t="shared" si="70"/>
        <v>277120</v>
      </c>
      <c r="V595" s="38">
        <v>83150</v>
      </c>
      <c r="W595" s="38">
        <v>193970</v>
      </c>
      <c r="X595" s="38">
        <v>0</v>
      </c>
      <c r="Y595" s="38">
        <v>0</v>
      </c>
      <c r="Z595" s="38">
        <f t="shared" si="75"/>
        <v>0</v>
      </c>
      <c r="AA595" s="38">
        <v>0</v>
      </c>
      <c r="AB595" s="38">
        <f t="shared" si="76"/>
        <v>0</v>
      </c>
      <c r="AC595" s="38">
        <f>U595/AR595</f>
        <v>27712</v>
      </c>
      <c r="AD595" s="38">
        <f t="shared" si="71"/>
        <v>27712</v>
      </c>
      <c r="AE595" s="33">
        <v>45427</v>
      </c>
      <c r="AF595" s="33">
        <v>45536</v>
      </c>
      <c r="AG595" s="33"/>
      <c r="AH595" s="33">
        <v>45458</v>
      </c>
      <c r="AI595" s="33">
        <v>45566</v>
      </c>
      <c r="AJ595" s="42"/>
      <c r="AK595" s="37" t="s">
        <v>3189</v>
      </c>
      <c r="AL595" s="37" t="s">
        <v>3190</v>
      </c>
      <c r="AM595" s="37" t="s">
        <v>3191</v>
      </c>
      <c r="AN595" s="37" t="s">
        <v>50</v>
      </c>
      <c r="AO595" s="43">
        <v>100</v>
      </c>
      <c r="AP595" s="35">
        <v>0</v>
      </c>
      <c r="AQ595" s="35" t="s">
        <v>441</v>
      </c>
      <c r="AR595" s="44">
        <v>10</v>
      </c>
      <c r="AS595" s="37" t="s">
        <v>52</v>
      </c>
    </row>
    <row r="596" spans="1:45" ht="59.25" customHeight="1" x14ac:dyDescent="0.25">
      <c r="A596" s="32" t="s">
        <v>3192</v>
      </c>
      <c r="B596" s="56">
        <v>45376</v>
      </c>
      <c r="C596" s="35">
        <v>545</v>
      </c>
      <c r="D596" s="36"/>
      <c r="E596" s="1" t="s">
        <v>3193</v>
      </c>
      <c r="F596" s="33">
        <v>45397</v>
      </c>
      <c r="G596" s="35" t="s">
        <v>3194</v>
      </c>
      <c r="H596" s="37" t="s">
        <v>719</v>
      </c>
      <c r="I596" s="37" t="s">
        <v>467</v>
      </c>
      <c r="J596" s="38">
        <v>32912046.75</v>
      </c>
      <c r="K596" s="40">
        <f>((J596-M596)/J596)*100</f>
        <v>0</v>
      </c>
      <c r="L596" s="41">
        <f>J596-M596</f>
        <v>0</v>
      </c>
      <c r="M596" s="38">
        <v>32912046.75</v>
      </c>
      <c r="N596" s="41">
        <f>J596-O596</f>
        <v>0</v>
      </c>
      <c r="O596" s="38">
        <v>32912046.75</v>
      </c>
      <c r="P596" s="27">
        <f t="shared" si="74"/>
        <v>32912046.75</v>
      </c>
      <c r="Q596" s="27">
        <f t="shared" si="72"/>
        <v>32912046.75</v>
      </c>
      <c r="R596" s="27">
        <f>Q596/U596</f>
        <v>25813.37</v>
      </c>
      <c r="S596" s="38">
        <f>Q596/U596</f>
        <v>25813.37</v>
      </c>
      <c r="T596" s="38">
        <f>S596*AR596</f>
        <v>387200.55</v>
      </c>
      <c r="U596" s="38">
        <f t="shared" si="70"/>
        <v>1275</v>
      </c>
      <c r="V596" s="38">
        <v>1275</v>
      </c>
      <c r="W596" s="38">
        <v>0</v>
      </c>
      <c r="X596" s="38">
        <v>0</v>
      </c>
      <c r="Y596" s="38">
        <v>0</v>
      </c>
      <c r="Z596" s="38">
        <f t="shared" si="75"/>
        <v>0</v>
      </c>
      <c r="AA596" s="38">
        <v>0</v>
      </c>
      <c r="AB596" s="38">
        <f t="shared" si="76"/>
        <v>0</v>
      </c>
      <c r="AC596" s="38">
        <f>U596/AR596</f>
        <v>85</v>
      </c>
      <c r="AD596" s="38">
        <f t="shared" si="71"/>
        <v>85</v>
      </c>
      <c r="AE596" s="33">
        <v>45443</v>
      </c>
      <c r="AF596" s="33"/>
      <c r="AG596" s="33"/>
      <c r="AH596" s="33">
        <v>45473</v>
      </c>
      <c r="AI596" s="33"/>
      <c r="AJ596" s="42"/>
      <c r="AK596" s="37" t="s">
        <v>3195</v>
      </c>
      <c r="AL596" s="37" t="s">
        <v>3196</v>
      </c>
      <c r="AM596" s="37" t="s">
        <v>3197</v>
      </c>
      <c r="AN596" s="37" t="s">
        <v>440</v>
      </c>
      <c r="AO596" s="43">
        <v>0</v>
      </c>
      <c r="AP596" s="35">
        <v>100</v>
      </c>
      <c r="AQ596" s="35" t="s">
        <v>398</v>
      </c>
      <c r="AR596" s="44">
        <v>15</v>
      </c>
      <c r="AS596" s="37" t="s">
        <v>52</v>
      </c>
    </row>
    <row r="597" spans="1:45" ht="59.25" customHeight="1" x14ac:dyDescent="0.25">
      <c r="A597" s="32" t="s">
        <v>3198</v>
      </c>
      <c r="B597" s="56">
        <v>45376</v>
      </c>
      <c r="C597" s="35">
        <v>545</v>
      </c>
      <c r="D597" s="35" t="s">
        <v>485</v>
      </c>
      <c r="E597" s="1" t="s">
        <v>3199</v>
      </c>
      <c r="F597" s="35" t="s">
        <v>485</v>
      </c>
      <c r="G597" s="35" t="s">
        <v>485</v>
      </c>
      <c r="H597" s="35" t="s">
        <v>485</v>
      </c>
      <c r="I597" s="58" t="s">
        <v>2868</v>
      </c>
      <c r="J597" s="57">
        <v>12101232</v>
      </c>
      <c r="K597" s="40">
        <f>((J597-M597)/J597)*100</f>
        <v>100</v>
      </c>
      <c r="L597" s="41">
        <f>J597-M597</f>
        <v>12101232</v>
      </c>
      <c r="M597" s="38"/>
      <c r="N597" s="41">
        <f>J597-O597</f>
        <v>12101232</v>
      </c>
      <c r="O597" s="38">
        <v>0</v>
      </c>
      <c r="P597" s="27">
        <f t="shared" si="74"/>
        <v>0</v>
      </c>
      <c r="Q597" s="27">
        <f t="shared" si="72"/>
        <v>0</v>
      </c>
      <c r="R597" s="27" t="e">
        <f>Q597/U597</f>
        <v>#DIV/0!</v>
      </c>
      <c r="S597" s="38" t="e">
        <f>Q597/U597</f>
        <v>#DIV/0!</v>
      </c>
      <c r="T597" s="38" t="e">
        <f>S597*AR597</f>
        <v>#DIV/0!</v>
      </c>
      <c r="U597" s="38">
        <f t="shared" si="70"/>
        <v>0</v>
      </c>
      <c r="V597" s="38">
        <v>0</v>
      </c>
      <c r="W597" s="38">
        <v>0</v>
      </c>
      <c r="X597" s="38">
        <v>0</v>
      </c>
      <c r="Y597" s="38"/>
      <c r="Z597" s="38" t="e">
        <f t="shared" si="75"/>
        <v>#DIV/0!</v>
      </c>
      <c r="AA597" s="38"/>
      <c r="AB597" s="38" t="e">
        <f t="shared" si="76"/>
        <v>#DIV/0!</v>
      </c>
      <c r="AC597" s="38" t="e">
        <f>U597/AR597</f>
        <v>#DIV/0!</v>
      </c>
      <c r="AD597" s="38" t="e">
        <f t="shared" si="71"/>
        <v>#DIV/0!</v>
      </c>
      <c r="AE597" s="33">
        <v>45505</v>
      </c>
      <c r="AF597" s="33"/>
      <c r="AG597" s="33"/>
      <c r="AH597" s="33"/>
      <c r="AI597" s="33"/>
      <c r="AJ597" s="42"/>
      <c r="AK597" s="37"/>
      <c r="AL597" s="37"/>
      <c r="AM597" s="37"/>
      <c r="AN597" s="37"/>
      <c r="AO597" s="43"/>
      <c r="AP597" s="35"/>
      <c r="AQ597" s="35"/>
      <c r="AR597" s="44"/>
      <c r="AS597" s="37" t="s">
        <v>485</v>
      </c>
    </row>
    <row r="598" spans="1:45" ht="59.25" customHeight="1" x14ac:dyDescent="0.25">
      <c r="A598" s="32" t="s">
        <v>3200</v>
      </c>
      <c r="B598" s="56">
        <v>45376</v>
      </c>
      <c r="C598" s="35" t="s">
        <v>2213</v>
      </c>
      <c r="D598" s="36"/>
      <c r="E598" s="1" t="s">
        <v>3201</v>
      </c>
      <c r="F598" s="33">
        <v>45387</v>
      </c>
      <c r="G598" s="35" t="s">
        <v>3202</v>
      </c>
      <c r="H598" s="37" t="s">
        <v>719</v>
      </c>
      <c r="I598" s="58" t="s">
        <v>1114</v>
      </c>
      <c r="J598" s="57">
        <v>2419032</v>
      </c>
      <c r="K598" s="40">
        <f>((J598-M598)/J598)*100</f>
        <v>0</v>
      </c>
      <c r="L598" s="41">
        <f>J598-M598</f>
        <v>0</v>
      </c>
      <c r="M598" s="57">
        <v>2419032</v>
      </c>
      <c r="N598" s="41">
        <f>J598-O598</f>
        <v>0</v>
      </c>
      <c r="O598" s="57">
        <v>2419032</v>
      </c>
      <c r="P598" s="27">
        <f t="shared" si="74"/>
        <v>2419032</v>
      </c>
      <c r="Q598" s="27">
        <f t="shared" si="72"/>
        <v>2419032</v>
      </c>
      <c r="R598" s="27">
        <f>Q598/U598</f>
        <v>183.26</v>
      </c>
      <c r="S598" s="38">
        <f>Q598/U598</f>
        <v>183.26</v>
      </c>
      <c r="T598" s="38">
        <f>S598*AR598</f>
        <v>73304</v>
      </c>
      <c r="U598" s="38">
        <f t="shared" si="70"/>
        <v>13200</v>
      </c>
      <c r="V598" s="38">
        <v>13200</v>
      </c>
      <c r="W598" s="38">
        <v>0</v>
      </c>
      <c r="X598" s="38">
        <v>0</v>
      </c>
      <c r="Y598" s="38">
        <v>0</v>
      </c>
      <c r="Z598" s="38">
        <f t="shared" si="75"/>
        <v>0</v>
      </c>
      <c r="AA598" s="38">
        <v>13200</v>
      </c>
      <c r="AB598" s="38">
        <f t="shared" si="76"/>
        <v>2419032</v>
      </c>
      <c r="AC598" s="38">
        <f>U598/AR598</f>
        <v>33</v>
      </c>
      <c r="AD598" s="38">
        <f t="shared" si="71"/>
        <v>33</v>
      </c>
      <c r="AE598" s="33">
        <v>45444</v>
      </c>
      <c r="AF598" s="33"/>
      <c r="AG598" s="33"/>
      <c r="AH598" s="33">
        <v>45474</v>
      </c>
      <c r="AI598" s="33"/>
      <c r="AJ598" s="42"/>
      <c r="AK598" s="37" t="s">
        <v>1115</v>
      </c>
      <c r="AL598" s="37" t="s">
        <v>1116</v>
      </c>
      <c r="AM598" s="37" t="s">
        <v>3203</v>
      </c>
      <c r="AN598" s="37" t="s">
        <v>174</v>
      </c>
      <c r="AO598" s="43">
        <v>0</v>
      </c>
      <c r="AP598" s="35">
        <v>100</v>
      </c>
      <c r="AQ598" s="35" t="s">
        <v>1118</v>
      </c>
      <c r="AR598" s="44">
        <v>400</v>
      </c>
      <c r="AS598" s="37" t="s">
        <v>52</v>
      </c>
    </row>
    <row r="599" spans="1:45" ht="59.25" customHeight="1" x14ac:dyDescent="0.25">
      <c r="A599" s="32" t="s">
        <v>3204</v>
      </c>
      <c r="B599" s="56">
        <v>45376</v>
      </c>
      <c r="C599" s="35">
        <v>1416</v>
      </c>
      <c r="D599" s="36"/>
      <c r="E599" s="1" t="s">
        <v>3205</v>
      </c>
      <c r="F599" s="33">
        <v>45397</v>
      </c>
      <c r="G599" s="35" t="s">
        <v>3206</v>
      </c>
      <c r="H599" s="37" t="s">
        <v>169</v>
      </c>
      <c r="I599" s="58" t="s">
        <v>1114</v>
      </c>
      <c r="J599" s="57">
        <v>129894688</v>
      </c>
      <c r="K599" s="40">
        <f>((J599-M599)/J599)*100</f>
        <v>0</v>
      </c>
      <c r="L599" s="41">
        <f>J599-M599</f>
        <v>0</v>
      </c>
      <c r="M599" s="57">
        <v>129894688</v>
      </c>
      <c r="N599" s="41">
        <f>J599-O599</f>
        <v>0</v>
      </c>
      <c r="O599" s="57">
        <v>129894688</v>
      </c>
      <c r="P599" s="27">
        <f t="shared" si="74"/>
        <v>129894688</v>
      </c>
      <c r="Q599" s="27">
        <f t="shared" si="72"/>
        <v>129894688</v>
      </c>
      <c r="R599" s="27">
        <f>Q599/U599</f>
        <v>183.26</v>
      </c>
      <c r="S599" s="38">
        <f>Q599/U599</f>
        <v>183.26</v>
      </c>
      <c r="T599" s="38">
        <f>S599*AR599</f>
        <v>73304</v>
      </c>
      <c r="U599" s="38">
        <f t="shared" si="70"/>
        <v>708800</v>
      </c>
      <c r="V599" s="38">
        <v>708800</v>
      </c>
      <c r="W599" s="38">
        <v>0</v>
      </c>
      <c r="X599" s="38">
        <v>0</v>
      </c>
      <c r="Y599" s="38">
        <v>0</v>
      </c>
      <c r="Z599" s="38">
        <f t="shared" si="75"/>
        <v>0</v>
      </c>
      <c r="AA599" s="38">
        <v>708800</v>
      </c>
      <c r="AB599" s="38">
        <f t="shared" si="76"/>
        <v>129894688</v>
      </c>
      <c r="AC599" s="38">
        <f>U599/AR599</f>
        <v>1772</v>
      </c>
      <c r="AD599" s="38">
        <f t="shared" si="71"/>
        <v>1772</v>
      </c>
      <c r="AE599" s="33">
        <v>45444</v>
      </c>
      <c r="AF599" s="33"/>
      <c r="AG599" s="33"/>
      <c r="AH599" s="33">
        <v>45474</v>
      </c>
      <c r="AI599" s="33"/>
      <c r="AJ599" s="42"/>
      <c r="AK599" s="37" t="s">
        <v>3207</v>
      </c>
      <c r="AL599" s="37" t="s">
        <v>3208</v>
      </c>
      <c r="AM599" s="37" t="s">
        <v>3209</v>
      </c>
      <c r="AN599" s="37" t="s">
        <v>174</v>
      </c>
      <c r="AO599" s="43">
        <v>0</v>
      </c>
      <c r="AP599" s="35">
        <v>100</v>
      </c>
      <c r="AQ599" s="35" t="s">
        <v>1118</v>
      </c>
      <c r="AR599" s="44">
        <v>400</v>
      </c>
      <c r="AS599" s="37" t="s">
        <v>52</v>
      </c>
    </row>
    <row r="600" spans="1:45" ht="59.25" customHeight="1" x14ac:dyDescent="0.25">
      <c r="A600" s="32" t="s">
        <v>3210</v>
      </c>
      <c r="B600" s="56">
        <v>45376</v>
      </c>
      <c r="C600" s="35">
        <v>1688</v>
      </c>
      <c r="D600" s="36"/>
      <c r="E600" s="1" t="s">
        <v>3211</v>
      </c>
      <c r="F600" s="33">
        <v>45397</v>
      </c>
      <c r="G600" s="35" t="s">
        <v>3212</v>
      </c>
      <c r="H600" s="37" t="s">
        <v>364</v>
      </c>
      <c r="I600" s="58" t="s">
        <v>3213</v>
      </c>
      <c r="J600" s="57">
        <v>171796000</v>
      </c>
      <c r="K600" s="40">
        <f>((J600-M600)/J600)*100</f>
        <v>0</v>
      </c>
      <c r="L600" s="41">
        <f>J600-M600</f>
        <v>0</v>
      </c>
      <c r="M600" s="57">
        <v>171796000</v>
      </c>
      <c r="N600" s="41">
        <f>J600-O600</f>
        <v>0</v>
      </c>
      <c r="O600" s="57">
        <v>171796000</v>
      </c>
      <c r="P600" s="27">
        <f t="shared" si="74"/>
        <v>171796000</v>
      </c>
      <c r="Q600" s="27">
        <f t="shared" si="72"/>
        <v>171796000</v>
      </c>
      <c r="R600" s="27">
        <f>Q600/U600</f>
        <v>429.49</v>
      </c>
      <c r="S600" s="38">
        <f>Q600/U600</f>
        <v>429.49</v>
      </c>
      <c r="T600" s="38">
        <f>S600*AR600</f>
        <v>4294.8999999999996</v>
      </c>
      <c r="U600" s="38">
        <f t="shared" si="70"/>
        <v>400000</v>
      </c>
      <c r="V600" s="38">
        <v>400000</v>
      </c>
      <c r="W600" s="38">
        <v>0</v>
      </c>
      <c r="X600" s="38">
        <v>0</v>
      </c>
      <c r="Y600" s="38">
        <v>0</v>
      </c>
      <c r="Z600" s="38">
        <f t="shared" si="75"/>
        <v>0</v>
      </c>
      <c r="AA600" s="38">
        <v>0</v>
      </c>
      <c r="AB600" s="38">
        <f t="shared" si="76"/>
        <v>0</v>
      </c>
      <c r="AC600" s="38">
        <f>U600/AR600</f>
        <v>40000</v>
      </c>
      <c r="AD600" s="38">
        <f t="shared" si="71"/>
        <v>40000</v>
      </c>
      <c r="AE600" s="33">
        <v>45488</v>
      </c>
      <c r="AF600" s="33"/>
      <c r="AG600" s="33"/>
      <c r="AH600" s="33">
        <v>45519</v>
      </c>
      <c r="AI600" s="33"/>
      <c r="AJ600" s="42"/>
      <c r="AK600" s="37" t="s">
        <v>3214</v>
      </c>
      <c r="AL600" s="37" t="s">
        <v>3215</v>
      </c>
      <c r="AM600" s="37" t="s">
        <v>3216</v>
      </c>
      <c r="AN600" s="37" t="s">
        <v>50</v>
      </c>
      <c r="AO600" s="43">
        <v>100</v>
      </c>
      <c r="AP600" s="35">
        <v>100</v>
      </c>
      <c r="AQ600" s="35" t="s">
        <v>51</v>
      </c>
      <c r="AR600" s="44">
        <v>10</v>
      </c>
      <c r="AS600" s="37" t="s">
        <v>52</v>
      </c>
    </row>
    <row r="601" spans="1:45" ht="55.5" customHeight="1" x14ac:dyDescent="0.25">
      <c r="A601" s="32" t="s">
        <v>3217</v>
      </c>
      <c r="B601" s="56">
        <v>45378</v>
      </c>
      <c r="C601" s="35">
        <v>545</v>
      </c>
      <c r="D601" s="36"/>
      <c r="E601" s="1" t="s">
        <v>3218</v>
      </c>
      <c r="F601" s="33">
        <v>45398</v>
      </c>
      <c r="G601" s="35" t="s">
        <v>3219</v>
      </c>
      <c r="H601" s="37" t="s">
        <v>331</v>
      </c>
      <c r="I601" s="58" t="s">
        <v>2790</v>
      </c>
      <c r="J601" s="57">
        <v>25202545.199999999</v>
      </c>
      <c r="K601" s="40">
        <f>((J601-M601)/J601)*100</f>
        <v>0</v>
      </c>
      <c r="L601" s="41">
        <f>J601-M601</f>
        <v>0</v>
      </c>
      <c r="M601" s="57">
        <v>25202545.199999999</v>
      </c>
      <c r="N601" s="41">
        <f>J601-O601</f>
        <v>0</v>
      </c>
      <c r="O601" s="57">
        <v>25202545.199999999</v>
      </c>
      <c r="P601" s="27">
        <f t="shared" si="74"/>
        <v>25202545.199999999</v>
      </c>
      <c r="Q601" s="27">
        <f t="shared" si="72"/>
        <v>25202545.199999999</v>
      </c>
      <c r="R601" s="27">
        <f>Q601/U601</f>
        <v>3333.67</v>
      </c>
      <c r="S601" s="38">
        <f>Q601/U601</f>
        <v>3333.67</v>
      </c>
      <c r="T601" s="38">
        <f>S601*AR601</f>
        <v>200020.2</v>
      </c>
      <c r="U601" s="38">
        <f t="shared" si="70"/>
        <v>7560</v>
      </c>
      <c r="V601" s="38">
        <v>7560</v>
      </c>
      <c r="W601" s="38">
        <v>0</v>
      </c>
      <c r="X601" s="38">
        <v>0</v>
      </c>
      <c r="Y601" s="38">
        <v>0</v>
      </c>
      <c r="Z601" s="38">
        <f t="shared" si="75"/>
        <v>0</v>
      </c>
      <c r="AA601" s="38">
        <v>0</v>
      </c>
      <c r="AB601" s="38">
        <f t="shared" si="76"/>
        <v>0</v>
      </c>
      <c r="AC601" s="38">
        <f>U601/AR601</f>
        <v>126</v>
      </c>
      <c r="AD601" s="38">
        <f t="shared" si="71"/>
        <v>126</v>
      </c>
      <c r="AE601" s="33">
        <v>45413</v>
      </c>
      <c r="AF601" s="33"/>
      <c r="AG601" s="33"/>
      <c r="AH601" s="33">
        <v>45444</v>
      </c>
      <c r="AI601" s="33"/>
      <c r="AJ601" s="42"/>
      <c r="AK601" s="37" t="s">
        <v>481</v>
      </c>
      <c r="AL601" s="37" t="s">
        <v>482</v>
      </c>
      <c r="AM601" s="37" t="s">
        <v>483</v>
      </c>
      <c r="AN601" s="37" t="s">
        <v>174</v>
      </c>
      <c r="AO601" s="43">
        <v>0</v>
      </c>
      <c r="AP601" s="35">
        <v>100</v>
      </c>
      <c r="AQ601" s="35" t="s">
        <v>441</v>
      </c>
      <c r="AR601" s="44">
        <v>60</v>
      </c>
      <c r="AS601" s="37" t="s">
        <v>52</v>
      </c>
    </row>
    <row r="602" spans="1:45" ht="55.5" customHeight="1" x14ac:dyDescent="0.25">
      <c r="A602" s="32" t="s">
        <v>3220</v>
      </c>
      <c r="B602" s="56">
        <v>45377</v>
      </c>
      <c r="C602" s="35">
        <v>1688</v>
      </c>
      <c r="D602" s="36"/>
      <c r="E602" s="1" t="s">
        <v>3221</v>
      </c>
      <c r="F602" s="33"/>
      <c r="G602" s="35"/>
      <c r="H602" s="37"/>
      <c r="I602" s="58" t="s">
        <v>3222</v>
      </c>
      <c r="J602" s="57">
        <v>46447964.68</v>
      </c>
      <c r="K602" s="40">
        <f>((J602-M602)/J602)*100</f>
        <v>100</v>
      </c>
      <c r="L602" s="41">
        <f>J602-M602</f>
        <v>46447964.68</v>
      </c>
      <c r="M602" s="38"/>
      <c r="N602" s="41">
        <f>J602-O602</f>
        <v>46447964.68</v>
      </c>
      <c r="O602" s="38">
        <v>0</v>
      </c>
      <c r="P602" s="27">
        <f t="shared" si="74"/>
        <v>0</v>
      </c>
      <c r="Q602" s="27">
        <f t="shared" si="72"/>
        <v>0</v>
      </c>
      <c r="R602" s="27" t="e">
        <f>Q602/U602</f>
        <v>#DIV/0!</v>
      </c>
      <c r="S602" s="38" t="e">
        <f>Q602/U602</f>
        <v>#DIV/0!</v>
      </c>
      <c r="T602" s="38" t="e">
        <f>S602*AR602</f>
        <v>#DIV/0!</v>
      </c>
      <c r="U602" s="38">
        <f t="shared" ref="U602:U665" si="77">V602+W602+X602</f>
        <v>0</v>
      </c>
      <c r="V602" s="38">
        <v>0</v>
      </c>
      <c r="W602" s="38">
        <v>0</v>
      </c>
      <c r="X602" s="38">
        <v>0</v>
      </c>
      <c r="Y602" s="38"/>
      <c r="Z602" s="38" t="e">
        <f t="shared" si="75"/>
        <v>#DIV/0!</v>
      </c>
      <c r="AA602" s="38"/>
      <c r="AB602" s="38" t="e">
        <f t="shared" si="76"/>
        <v>#DIV/0!</v>
      </c>
      <c r="AC602" s="38" t="e">
        <f>U602/AR602</f>
        <v>#DIV/0!</v>
      </c>
      <c r="AD602" s="38" t="e">
        <f t="shared" si="71"/>
        <v>#DIV/0!</v>
      </c>
      <c r="AE602" s="33">
        <v>45641</v>
      </c>
      <c r="AF602" s="33"/>
      <c r="AG602" s="33"/>
      <c r="AH602" s="33"/>
      <c r="AI602" s="33"/>
      <c r="AJ602" s="42"/>
      <c r="AK602" s="37"/>
      <c r="AL602" s="37"/>
      <c r="AM602" s="37"/>
      <c r="AN602" s="37"/>
      <c r="AO602" s="43"/>
      <c r="AP602" s="35"/>
      <c r="AQ602" s="35"/>
      <c r="AR602" s="44"/>
      <c r="AS602" s="37"/>
    </row>
    <row r="603" spans="1:45" ht="55.5" customHeight="1" x14ac:dyDescent="0.25">
      <c r="A603" s="32" t="s">
        <v>3223</v>
      </c>
      <c r="B603" s="56">
        <v>45378</v>
      </c>
      <c r="C603" s="35">
        <v>545</v>
      </c>
      <c r="D603" s="36"/>
      <c r="E603" s="1" t="s">
        <v>3224</v>
      </c>
      <c r="F603" s="33">
        <v>45398</v>
      </c>
      <c r="G603" s="35" t="s">
        <v>3225</v>
      </c>
      <c r="H603" s="37" t="s">
        <v>1897</v>
      </c>
      <c r="I603" s="59" t="s">
        <v>461</v>
      </c>
      <c r="J603" s="68">
        <v>90415828.799999997</v>
      </c>
      <c r="K603" s="40">
        <f>((J603-M603)/J603)*100</f>
        <v>0</v>
      </c>
      <c r="L603" s="41">
        <f>J603-M603</f>
        <v>0</v>
      </c>
      <c r="M603" s="68">
        <v>90415828.799999997</v>
      </c>
      <c r="N603" s="41">
        <f>J603-O603</f>
        <v>0</v>
      </c>
      <c r="O603" s="68">
        <v>90415828.799999997</v>
      </c>
      <c r="P603" s="27">
        <f t="shared" si="74"/>
        <v>90415828.799999997</v>
      </c>
      <c r="Q603" s="27">
        <f t="shared" si="72"/>
        <v>90415828.799999997</v>
      </c>
      <c r="R603" s="27">
        <f>Q603/U603</f>
        <v>6201.36</v>
      </c>
      <c r="S603" s="38">
        <f>Q603/U603</f>
        <v>6201.36</v>
      </c>
      <c r="T603" s="38">
        <f>S603*AR603</f>
        <v>372081.6</v>
      </c>
      <c r="U603" s="38">
        <f t="shared" si="77"/>
        <v>14580</v>
      </c>
      <c r="V603" s="38">
        <v>14580</v>
      </c>
      <c r="W603" s="38">
        <v>0</v>
      </c>
      <c r="X603" s="38">
        <v>0</v>
      </c>
      <c r="Y603" s="38">
        <v>0</v>
      </c>
      <c r="Z603" s="38">
        <f t="shared" si="75"/>
        <v>0</v>
      </c>
      <c r="AA603" s="38">
        <v>0</v>
      </c>
      <c r="AB603" s="38">
        <f t="shared" si="76"/>
        <v>0</v>
      </c>
      <c r="AC603" s="38">
        <f>U603/AR603</f>
        <v>243</v>
      </c>
      <c r="AD603" s="38">
        <f t="shared" si="71"/>
        <v>243</v>
      </c>
      <c r="AE603" s="33">
        <v>45427</v>
      </c>
      <c r="AF603" s="33"/>
      <c r="AG603" s="33"/>
      <c r="AH603" s="33">
        <v>45458</v>
      </c>
      <c r="AI603" s="33"/>
      <c r="AJ603" s="42"/>
      <c r="AK603" s="37" t="s">
        <v>437</v>
      </c>
      <c r="AL603" s="37" t="s">
        <v>1898</v>
      </c>
      <c r="AM603" s="37" t="s">
        <v>439</v>
      </c>
      <c r="AN603" s="37" t="s">
        <v>440</v>
      </c>
      <c r="AO603" s="43">
        <v>0</v>
      </c>
      <c r="AP603" s="35">
        <v>100</v>
      </c>
      <c r="AQ603" s="35" t="s">
        <v>441</v>
      </c>
      <c r="AR603" s="44">
        <v>60</v>
      </c>
      <c r="AS603" s="37" t="s">
        <v>52</v>
      </c>
    </row>
    <row r="604" spans="1:45" ht="55.5" customHeight="1" x14ac:dyDescent="0.25">
      <c r="A604" s="32" t="s">
        <v>3226</v>
      </c>
      <c r="B604" s="56">
        <v>45377</v>
      </c>
      <c r="C604" s="35">
        <v>1688</v>
      </c>
      <c r="D604" s="36"/>
      <c r="E604" s="1" t="s">
        <v>3227</v>
      </c>
      <c r="F604" s="33"/>
      <c r="G604" s="35"/>
      <c r="H604" s="37"/>
      <c r="I604" s="69" t="s">
        <v>3228</v>
      </c>
      <c r="J604" s="57">
        <v>1488745.52</v>
      </c>
      <c r="K604" s="40">
        <f>((J604-M604)/J604)*100</f>
        <v>100</v>
      </c>
      <c r="L604" s="41">
        <f>J604-M604</f>
        <v>1488745.52</v>
      </c>
      <c r="M604" s="38"/>
      <c r="N604" s="41">
        <f>J604-O604</f>
        <v>1488745.52</v>
      </c>
      <c r="O604" s="38">
        <v>0</v>
      </c>
      <c r="P604" s="27">
        <f t="shared" si="74"/>
        <v>0</v>
      </c>
      <c r="Q604" s="27">
        <f t="shared" si="72"/>
        <v>0</v>
      </c>
      <c r="R604" s="27" t="e">
        <f>Q604/U604</f>
        <v>#DIV/0!</v>
      </c>
      <c r="S604" s="38" t="e">
        <f>Q604/U604</f>
        <v>#DIV/0!</v>
      </c>
      <c r="T604" s="38" t="e">
        <f>S604*AR604</f>
        <v>#DIV/0!</v>
      </c>
      <c r="U604" s="38">
        <f t="shared" si="77"/>
        <v>0</v>
      </c>
      <c r="V604" s="38">
        <v>0</v>
      </c>
      <c r="W604" s="38">
        <v>0</v>
      </c>
      <c r="X604" s="38">
        <v>0</v>
      </c>
      <c r="Y604" s="38"/>
      <c r="Z604" s="38" t="e">
        <f t="shared" si="75"/>
        <v>#DIV/0!</v>
      </c>
      <c r="AA604" s="38"/>
      <c r="AB604" s="38" t="e">
        <f t="shared" si="76"/>
        <v>#DIV/0!</v>
      </c>
      <c r="AC604" s="38" t="e">
        <f>U604/AR604</f>
        <v>#DIV/0!</v>
      </c>
      <c r="AD604" s="38" t="e">
        <f t="shared" si="71"/>
        <v>#DIV/0!</v>
      </c>
      <c r="AE604" s="33">
        <v>45413</v>
      </c>
      <c r="AF604" s="33"/>
      <c r="AG604" s="33"/>
      <c r="AH604" s="33"/>
      <c r="AI604" s="33"/>
      <c r="AJ604" s="42"/>
      <c r="AK604" s="37"/>
      <c r="AL604" s="37"/>
      <c r="AM604" s="37"/>
      <c r="AN604" s="37"/>
      <c r="AO604" s="43"/>
      <c r="AP604" s="35"/>
      <c r="AQ604" s="35"/>
      <c r="AR604" s="44"/>
      <c r="AS604" s="37"/>
    </row>
    <row r="605" spans="1:45" ht="55.5" customHeight="1" x14ac:dyDescent="0.25">
      <c r="A605" s="32" t="s">
        <v>3229</v>
      </c>
      <c r="B605" s="56">
        <v>45378</v>
      </c>
      <c r="C605" s="35" t="s">
        <v>548</v>
      </c>
      <c r="D605" s="36"/>
      <c r="E605" s="1" t="s">
        <v>3230</v>
      </c>
      <c r="F605" s="33"/>
      <c r="G605" s="35"/>
      <c r="H605" s="37"/>
      <c r="I605" s="69" t="s">
        <v>3231</v>
      </c>
      <c r="J605" s="57">
        <v>3489327.04</v>
      </c>
      <c r="K605" s="40">
        <f>((J605-M605)/J605)*100</f>
        <v>100</v>
      </c>
      <c r="L605" s="41">
        <f>J605-M605</f>
        <v>3489327.04</v>
      </c>
      <c r="M605" s="38"/>
      <c r="N605" s="41">
        <f>J605-O605</f>
        <v>3489327.04</v>
      </c>
      <c r="O605" s="38">
        <v>0</v>
      </c>
      <c r="P605" s="27">
        <f t="shared" si="74"/>
        <v>0</v>
      </c>
      <c r="Q605" s="27">
        <f t="shared" si="72"/>
        <v>0</v>
      </c>
      <c r="R605" s="27" t="e">
        <f>Q605/U605</f>
        <v>#DIV/0!</v>
      </c>
      <c r="S605" s="38" t="e">
        <f>Q605/U605</f>
        <v>#DIV/0!</v>
      </c>
      <c r="T605" s="38" t="e">
        <f>S605*AR605</f>
        <v>#DIV/0!</v>
      </c>
      <c r="U605" s="38">
        <f t="shared" si="77"/>
        <v>0</v>
      </c>
      <c r="V605" s="38">
        <v>0</v>
      </c>
      <c r="W605" s="38">
        <v>0</v>
      </c>
      <c r="X605" s="38">
        <v>0</v>
      </c>
      <c r="Y605" s="38"/>
      <c r="Z605" s="38" t="e">
        <f t="shared" si="75"/>
        <v>#DIV/0!</v>
      </c>
      <c r="AA605" s="38"/>
      <c r="AB605" s="38" t="e">
        <f t="shared" si="76"/>
        <v>#DIV/0!</v>
      </c>
      <c r="AC605" s="38" t="e">
        <f>U605/AR605</f>
        <v>#DIV/0!</v>
      </c>
      <c r="AD605" s="38" t="e">
        <f t="shared" si="71"/>
        <v>#DIV/0!</v>
      </c>
      <c r="AE605" s="33">
        <v>45444</v>
      </c>
      <c r="AF605" s="33"/>
      <c r="AG605" s="33"/>
      <c r="AH605" s="33"/>
      <c r="AI605" s="33"/>
      <c r="AJ605" s="42"/>
      <c r="AK605" s="37"/>
      <c r="AL605" s="37"/>
      <c r="AM605" s="37"/>
      <c r="AN605" s="37"/>
      <c r="AO605" s="43"/>
      <c r="AP605" s="35"/>
      <c r="AQ605" s="35"/>
      <c r="AR605" s="44"/>
      <c r="AS605" s="37"/>
    </row>
    <row r="606" spans="1:45" ht="55.5" customHeight="1" x14ac:dyDescent="0.25">
      <c r="A606" s="32" t="s">
        <v>3232</v>
      </c>
      <c r="B606" s="56">
        <v>45378</v>
      </c>
      <c r="C606" s="35" t="s">
        <v>548</v>
      </c>
      <c r="D606" s="36"/>
      <c r="E606" s="1" t="s">
        <v>3233</v>
      </c>
      <c r="F606" s="33">
        <v>45399</v>
      </c>
      <c r="G606" s="35" t="s">
        <v>3234</v>
      </c>
      <c r="H606" s="37" t="s">
        <v>2061</v>
      </c>
      <c r="I606" s="58" t="s">
        <v>3235</v>
      </c>
      <c r="J606" s="57">
        <v>5889338.4000000004</v>
      </c>
      <c r="K606" s="40">
        <f>((J606-M606)/J606)*100</f>
        <v>0</v>
      </c>
      <c r="L606" s="41">
        <f>J606-M606</f>
        <v>0</v>
      </c>
      <c r="M606" s="57">
        <v>5889338.4000000004</v>
      </c>
      <c r="N606" s="41">
        <f>J606-O606</f>
        <v>0</v>
      </c>
      <c r="O606" s="57">
        <v>5889338.4000000004</v>
      </c>
      <c r="P606" s="27">
        <f t="shared" si="74"/>
        <v>5889338.4000000004</v>
      </c>
      <c r="Q606" s="27">
        <f t="shared" si="72"/>
        <v>5889338.4000000004</v>
      </c>
      <c r="R606" s="27">
        <f>Q606/U606</f>
        <v>22.55</v>
      </c>
      <c r="S606" s="38">
        <f>Q606/U606</f>
        <v>22.55</v>
      </c>
      <c r="T606" s="38" t="e">
        <f>S606*AR606</f>
        <v>#VALUE!</v>
      </c>
      <c r="U606" s="38">
        <f t="shared" si="77"/>
        <v>261168</v>
      </c>
      <c r="V606" s="38">
        <v>261168</v>
      </c>
      <c r="W606" s="38">
        <v>0</v>
      </c>
      <c r="X606" s="38">
        <v>0</v>
      </c>
      <c r="Y606" s="38">
        <v>0</v>
      </c>
      <c r="Z606" s="38">
        <f t="shared" si="75"/>
        <v>0</v>
      </c>
      <c r="AA606" s="38">
        <v>0</v>
      </c>
      <c r="AB606" s="38">
        <f t="shared" si="76"/>
        <v>0</v>
      </c>
      <c r="AC606" s="38" t="e">
        <f>U606/AR606</f>
        <v>#VALUE!</v>
      </c>
      <c r="AD606" s="38" t="e">
        <f t="shared" si="71"/>
        <v>#VALUE!</v>
      </c>
      <c r="AE606" s="33">
        <v>45444</v>
      </c>
      <c r="AF606" s="33"/>
      <c r="AG606" s="33"/>
      <c r="AH606" s="33">
        <v>45474</v>
      </c>
      <c r="AI606" s="33"/>
      <c r="AJ606" s="42"/>
      <c r="AK606" s="37" t="s">
        <v>3236</v>
      </c>
      <c r="AL606" s="37" t="s">
        <v>3237</v>
      </c>
      <c r="AM606" s="37" t="s">
        <v>3238</v>
      </c>
      <c r="AN606" s="37" t="s">
        <v>50</v>
      </c>
      <c r="AO606" s="43">
        <v>100</v>
      </c>
      <c r="AP606" s="35">
        <v>0</v>
      </c>
      <c r="AQ606" s="35" t="s">
        <v>398</v>
      </c>
      <c r="AR606" s="48" t="s">
        <v>3239</v>
      </c>
      <c r="AS606" s="37" t="s">
        <v>52</v>
      </c>
    </row>
    <row r="607" spans="1:45" ht="55.5" customHeight="1" x14ac:dyDescent="0.25">
      <c r="A607" s="32" t="s">
        <v>3240</v>
      </c>
      <c r="B607" s="56">
        <v>45377</v>
      </c>
      <c r="C607" s="35">
        <v>1688</v>
      </c>
      <c r="D607" s="36"/>
      <c r="E607" s="1" t="s">
        <v>3241</v>
      </c>
      <c r="F607" s="33"/>
      <c r="G607" s="35"/>
      <c r="H607" s="37"/>
      <c r="I607" s="58" t="s">
        <v>1878</v>
      </c>
      <c r="J607" s="57">
        <v>1334513223.5999999</v>
      </c>
      <c r="K607" s="40">
        <f>((J607-M607)/J607)*100</f>
        <v>100</v>
      </c>
      <c r="L607" s="41">
        <f>J607-M607</f>
        <v>1334513223.5999999</v>
      </c>
      <c r="M607" s="38"/>
      <c r="N607" s="41">
        <f>J607-O607</f>
        <v>1334513223.5999999</v>
      </c>
      <c r="O607" s="38">
        <v>0</v>
      </c>
      <c r="P607" s="27">
        <f t="shared" si="74"/>
        <v>0</v>
      </c>
      <c r="Q607" s="27">
        <f t="shared" si="72"/>
        <v>0</v>
      </c>
      <c r="R607" s="27" t="e">
        <f>Q607/U607</f>
        <v>#DIV/0!</v>
      </c>
      <c r="S607" s="38" t="e">
        <f>Q607/U607</f>
        <v>#DIV/0!</v>
      </c>
      <c r="T607" s="38" t="e">
        <f>S607*AR607</f>
        <v>#DIV/0!</v>
      </c>
      <c r="U607" s="38">
        <f t="shared" si="77"/>
        <v>0</v>
      </c>
      <c r="V607" s="38">
        <v>0</v>
      </c>
      <c r="W607" s="38">
        <v>0</v>
      </c>
      <c r="X607" s="38">
        <v>0</v>
      </c>
      <c r="Y607" s="38"/>
      <c r="Z607" s="38" t="e">
        <f t="shared" si="75"/>
        <v>#DIV/0!</v>
      </c>
      <c r="AA607" s="38"/>
      <c r="AB607" s="38" t="e">
        <f t="shared" si="76"/>
        <v>#DIV/0!</v>
      </c>
      <c r="AC607" s="38" t="e">
        <f>U607/AR607</f>
        <v>#DIV/0!</v>
      </c>
      <c r="AD607" s="38" t="e">
        <f t="shared" si="71"/>
        <v>#DIV/0!</v>
      </c>
      <c r="AE607" s="33">
        <v>45505</v>
      </c>
      <c r="AF607" s="33"/>
      <c r="AG607" s="33"/>
      <c r="AH607" s="33"/>
      <c r="AI607" s="33"/>
      <c r="AJ607" s="42"/>
      <c r="AK607" s="37"/>
      <c r="AL607" s="37"/>
      <c r="AM607" s="37"/>
      <c r="AN607" s="37"/>
      <c r="AO607" s="43"/>
      <c r="AP607" s="35"/>
      <c r="AQ607" s="35"/>
      <c r="AR607" s="44"/>
      <c r="AS607" s="37"/>
    </row>
    <row r="608" spans="1:45" ht="55.5" customHeight="1" x14ac:dyDescent="0.25">
      <c r="A608" s="32" t="s">
        <v>3242</v>
      </c>
      <c r="B608" s="56">
        <v>45379</v>
      </c>
      <c r="C608" s="35">
        <v>545</v>
      </c>
      <c r="D608" s="36"/>
      <c r="E608" s="1" t="s">
        <v>3243</v>
      </c>
      <c r="F608" s="33">
        <v>45398</v>
      </c>
      <c r="G608" s="35" t="s">
        <v>3244</v>
      </c>
      <c r="H608" s="37" t="s">
        <v>138</v>
      </c>
      <c r="I608" s="58" t="s">
        <v>3245</v>
      </c>
      <c r="J608" s="57">
        <v>14788113.76</v>
      </c>
      <c r="K608" s="40">
        <f>((J608-M608)/J608)*100</f>
        <v>0</v>
      </c>
      <c r="L608" s="41">
        <f>J608-M608</f>
        <v>0</v>
      </c>
      <c r="M608" s="57">
        <v>14788113.76</v>
      </c>
      <c r="N608" s="41">
        <f>J608-O608</f>
        <v>0</v>
      </c>
      <c r="O608" s="57">
        <v>14788113.76</v>
      </c>
      <c r="P608" s="27">
        <f t="shared" si="74"/>
        <v>14788113.76</v>
      </c>
      <c r="Q608" s="27">
        <f t="shared" si="72"/>
        <v>14788113.76</v>
      </c>
      <c r="R608" s="27">
        <f>Q608/U608</f>
        <v>1281.9100000000001</v>
      </c>
      <c r="S608" s="38">
        <f>Q608/U608</f>
        <v>1281.9100000000001</v>
      </c>
      <c r="T608" s="38">
        <f>S608*AR608</f>
        <v>35893.480000000003</v>
      </c>
      <c r="U608" s="38">
        <f t="shared" si="77"/>
        <v>11536</v>
      </c>
      <c r="V608" s="38">
        <v>11536</v>
      </c>
      <c r="W608" s="38">
        <v>0</v>
      </c>
      <c r="X608" s="38">
        <v>0</v>
      </c>
      <c r="Y608" s="38">
        <v>0</v>
      </c>
      <c r="Z608" s="38">
        <f t="shared" si="75"/>
        <v>0</v>
      </c>
      <c r="AA608" s="38">
        <v>0</v>
      </c>
      <c r="AB608" s="38">
        <f t="shared" si="76"/>
        <v>0</v>
      </c>
      <c r="AC608" s="38">
        <f>U608/AR608</f>
        <v>412</v>
      </c>
      <c r="AD608" s="38">
        <f t="shared" si="71"/>
        <v>412</v>
      </c>
      <c r="AE608" s="33">
        <v>45432</v>
      </c>
      <c r="AF608" s="33"/>
      <c r="AG608" s="33"/>
      <c r="AH608" s="33">
        <v>45463</v>
      </c>
      <c r="AI608" s="33"/>
      <c r="AJ608" s="42"/>
      <c r="AK608" s="37" t="s">
        <v>631</v>
      </c>
      <c r="AL608" s="37" t="s">
        <v>3246</v>
      </c>
      <c r="AM608" s="37" t="s">
        <v>633</v>
      </c>
      <c r="AN608" s="37" t="s">
        <v>440</v>
      </c>
      <c r="AO608" s="43">
        <v>0</v>
      </c>
      <c r="AP608" s="35">
        <v>100</v>
      </c>
      <c r="AQ608" s="35" t="s">
        <v>441</v>
      </c>
      <c r="AR608" s="44">
        <v>28</v>
      </c>
      <c r="AS608" s="37" t="s">
        <v>52</v>
      </c>
    </row>
    <row r="609" spans="1:45" ht="55.5" customHeight="1" x14ac:dyDescent="0.25">
      <c r="A609" s="32" t="s">
        <v>3247</v>
      </c>
      <c r="B609" s="56">
        <v>45379</v>
      </c>
      <c r="C609" s="35" t="s">
        <v>3248</v>
      </c>
      <c r="D609" s="36"/>
      <c r="E609" s="1" t="s">
        <v>3249</v>
      </c>
      <c r="F609" s="33"/>
      <c r="G609" s="35"/>
      <c r="H609" s="37"/>
      <c r="I609" s="58" t="s">
        <v>3250</v>
      </c>
      <c r="J609" s="57">
        <v>881010</v>
      </c>
      <c r="K609" s="40">
        <f>((J609-M609)/J609)*100</f>
        <v>100</v>
      </c>
      <c r="L609" s="41">
        <f>J609-M609</f>
        <v>881010</v>
      </c>
      <c r="M609" s="38"/>
      <c r="N609" s="41">
        <f>J609-O609</f>
        <v>881010</v>
      </c>
      <c r="O609" s="38">
        <v>0</v>
      </c>
      <c r="P609" s="27">
        <f t="shared" si="74"/>
        <v>0</v>
      </c>
      <c r="Q609" s="27">
        <f t="shared" si="72"/>
        <v>0</v>
      </c>
      <c r="R609" s="27" t="e">
        <f>Q609/U609</f>
        <v>#DIV/0!</v>
      </c>
      <c r="S609" s="38" t="e">
        <f>Q609/U609</f>
        <v>#DIV/0!</v>
      </c>
      <c r="T609" s="38" t="e">
        <f>S609*AR609</f>
        <v>#DIV/0!</v>
      </c>
      <c r="U609" s="38">
        <f t="shared" si="77"/>
        <v>0</v>
      </c>
      <c r="V609" s="38">
        <v>0</v>
      </c>
      <c r="W609" s="38">
        <v>0</v>
      </c>
      <c r="X609" s="38">
        <v>0</v>
      </c>
      <c r="Y609" s="38"/>
      <c r="Z609" s="38" t="e">
        <f t="shared" si="75"/>
        <v>#DIV/0!</v>
      </c>
      <c r="AA609" s="38"/>
      <c r="AB609" s="38" t="e">
        <f t="shared" si="76"/>
        <v>#DIV/0!</v>
      </c>
      <c r="AC609" s="38" t="e">
        <f>U609/AR609</f>
        <v>#DIV/0!</v>
      </c>
      <c r="AD609" s="38" t="e">
        <f t="shared" ref="AD609:AD672" si="78">_xlfn.CEILING.MATH(AC609)</f>
        <v>#DIV/0!</v>
      </c>
      <c r="AE609" s="33">
        <v>45444</v>
      </c>
      <c r="AF609" s="33"/>
      <c r="AG609" s="33"/>
      <c r="AH609" s="33"/>
      <c r="AI609" s="33"/>
      <c r="AJ609" s="42"/>
      <c r="AK609" s="37"/>
      <c r="AL609" s="37"/>
      <c r="AM609" s="37"/>
      <c r="AN609" s="37"/>
      <c r="AO609" s="43"/>
      <c r="AP609" s="35"/>
      <c r="AQ609" s="35"/>
      <c r="AR609" s="44"/>
      <c r="AS609" s="37"/>
    </row>
    <row r="610" spans="1:45" ht="54.75" customHeight="1" x14ac:dyDescent="0.25">
      <c r="A610" s="32" t="s">
        <v>3251</v>
      </c>
      <c r="B610" s="56">
        <v>45380</v>
      </c>
      <c r="C610" s="35">
        <v>545</v>
      </c>
      <c r="D610" s="36"/>
      <c r="E610" s="1" t="s">
        <v>3252</v>
      </c>
      <c r="F610" s="33"/>
      <c r="G610" s="35"/>
      <c r="H610" s="37"/>
      <c r="I610" s="58" t="s">
        <v>1361</v>
      </c>
      <c r="J610" s="57">
        <v>92306565.120000005</v>
      </c>
      <c r="K610" s="40">
        <f>((J610-M610)/J610)*100</f>
        <v>100</v>
      </c>
      <c r="L610" s="41">
        <f>J610-M610</f>
        <v>92306565.120000005</v>
      </c>
      <c r="M610" s="38"/>
      <c r="N610" s="41">
        <f>J610-O610</f>
        <v>92306565.120000005</v>
      </c>
      <c r="O610" s="38">
        <v>0</v>
      </c>
      <c r="P610" s="27">
        <f t="shared" si="74"/>
        <v>0</v>
      </c>
      <c r="Q610" s="27">
        <f t="shared" si="74"/>
        <v>0</v>
      </c>
      <c r="R610" s="27" t="e">
        <f>Q610/U610</f>
        <v>#DIV/0!</v>
      </c>
      <c r="S610" s="38" t="e">
        <f>Q610/U610</f>
        <v>#DIV/0!</v>
      </c>
      <c r="T610" s="38" t="e">
        <f>S610*AR610</f>
        <v>#DIV/0!</v>
      </c>
      <c r="U610" s="38">
        <f t="shared" si="77"/>
        <v>0</v>
      </c>
      <c r="V610" s="38">
        <v>0</v>
      </c>
      <c r="W610" s="38">
        <v>0</v>
      </c>
      <c r="X610" s="38">
        <v>0</v>
      </c>
      <c r="Y610" s="38"/>
      <c r="Z610" s="38" t="e">
        <f t="shared" si="75"/>
        <v>#DIV/0!</v>
      </c>
      <c r="AA610" s="38"/>
      <c r="AB610" s="38" t="e">
        <f t="shared" si="76"/>
        <v>#DIV/0!</v>
      </c>
      <c r="AC610" s="38" t="e">
        <f>U610/AR610</f>
        <v>#DIV/0!</v>
      </c>
      <c r="AD610" s="38" t="e">
        <f t="shared" si="78"/>
        <v>#DIV/0!</v>
      </c>
      <c r="AE610" s="33">
        <v>45427</v>
      </c>
      <c r="AF610" s="33"/>
      <c r="AG610" s="33"/>
      <c r="AH610" s="33"/>
      <c r="AI610" s="33"/>
      <c r="AJ610" s="42"/>
      <c r="AK610" s="37"/>
      <c r="AL610" s="37"/>
      <c r="AM610" s="37"/>
      <c r="AN610" s="37"/>
      <c r="AO610" s="43"/>
      <c r="AP610" s="35"/>
      <c r="AQ610" s="35"/>
      <c r="AR610" s="44"/>
      <c r="AS610" s="37"/>
    </row>
    <row r="611" spans="1:45" ht="54.75" customHeight="1" x14ac:dyDescent="0.25">
      <c r="A611" s="32" t="s">
        <v>3253</v>
      </c>
      <c r="B611" s="56">
        <v>45380</v>
      </c>
      <c r="C611" s="35">
        <v>545</v>
      </c>
      <c r="D611" s="36"/>
      <c r="E611" s="1" t="s">
        <v>3254</v>
      </c>
      <c r="F611" s="33"/>
      <c r="G611" s="35"/>
      <c r="H611" s="37"/>
      <c r="I611" s="58" t="s">
        <v>1361</v>
      </c>
      <c r="J611" s="57">
        <v>57691603.200000003</v>
      </c>
      <c r="K611" s="40">
        <f>((J611-M611)/J611)*100</f>
        <v>100</v>
      </c>
      <c r="L611" s="41">
        <f>J611-M611</f>
        <v>57691603.200000003</v>
      </c>
      <c r="M611" s="38"/>
      <c r="N611" s="41">
        <f>J611-O611</f>
        <v>57691603.200000003</v>
      </c>
      <c r="O611" s="38">
        <v>0</v>
      </c>
      <c r="P611" s="27">
        <f t="shared" ref="P611:Q674" si="79">O611</f>
        <v>0</v>
      </c>
      <c r="Q611" s="27">
        <f t="shared" si="79"/>
        <v>0</v>
      </c>
      <c r="R611" s="27" t="e">
        <f>Q611/U611</f>
        <v>#DIV/0!</v>
      </c>
      <c r="S611" s="38" t="e">
        <f>Q611/U611</f>
        <v>#DIV/0!</v>
      </c>
      <c r="T611" s="38" t="e">
        <f>S611*AR611</f>
        <v>#DIV/0!</v>
      </c>
      <c r="U611" s="38">
        <f t="shared" si="77"/>
        <v>0</v>
      </c>
      <c r="V611" s="38">
        <v>0</v>
      </c>
      <c r="W611" s="38">
        <v>0</v>
      </c>
      <c r="X611" s="38">
        <v>0</v>
      </c>
      <c r="Y611" s="38"/>
      <c r="Z611" s="38" t="e">
        <f t="shared" si="75"/>
        <v>#DIV/0!</v>
      </c>
      <c r="AA611" s="38"/>
      <c r="AB611" s="38" t="e">
        <f t="shared" si="76"/>
        <v>#DIV/0!</v>
      </c>
      <c r="AC611" s="38" t="e">
        <f>U611/AR611</f>
        <v>#DIV/0!</v>
      </c>
      <c r="AD611" s="38" t="e">
        <f t="shared" si="78"/>
        <v>#DIV/0!</v>
      </c>
      <c r="AE611" s="33">
        <v>45432</v>
      </c>
      <c r="AF611" s="33"/>
      <c r="AG611" s="33"/>
      <c r="AH611" s="33"/>
      <c r="AI611" s="33"/>
      <c r="AJ611" s="42"/>
      <c r="AK611" s="37"/>
      <c r="AL611" s="37"/>
      <c r="AM611" s="37"/>
      <c r="AN611" s="37"/>
      <c r="AO611" s="43"/>
      <c r="AP611" s="35"/>
      <c r="AQ611" s="35"/>
      <c r="AR611" s="44"/>
      <c r="AS611" s="37"/>
    </row>
    <row r="612" spans="1:45" ht="54.75" customHeight="1" x14ac:dyDescent="0.25">
      <c r="A612" s="32" t="s">
        <v>3255</v>
      </c>
      <c r="B612" s="56">
        <v>45380</v>
      </c>
      <c r="C612" s="35">
        <v>545</v>
      </c>
      <c r="D612" s="36"/>
      <c r="E612" s="1" t="s">
        <v>3256</v>
      </c>
      <c r="F612" s="33"/>
      <c r="G612" s="35"/>
      <c r="H612" s="37"/>
      <c r="I612" s="58" t="s">
        <v>1361</v>
      </c>
      <c r="J612" s="57">
        <v>51922442.880000003</v>
      </c>
      <c r="K612" s="40">
        <f>((J612-M612)/J612)*100</f>
        <v>100</v>
      </c>
      <c r="L612" s="41">
        <f>J612-M612</f>
        <v>51922442.880000003</v>
      </c>
      <c r="M612" s="38"/>
      <c r="N612" s="41">
        <f>J612-O612</f>
        <v>51922442.880000003</v>
      </c>
      <c r="O612" s="38">
        <v>0</v>
      </c>
      <c r="P612" s="27">
        <f t="shared" si="79"/>
        <v>0</v>
      </c>
      <c r="Q612" s="27">
        <f t="shared" si="79"/>
        <v>0</v>
      </c>
      <c r="R612" s="27" t="e">
        <f>Q612/U612</f>
        <v>#DIV/0!</v>
      </c>
      <c r="S612" s="38" t="e">
        <f>Q612/U612</f>
        <v>#DIV/0!</v>
      </c>
      <c r="T612" s="38" t="e">
        <f>S612*AR612</f>
        <v>#DIV/0!</v>
      </c>
      <c r="U612" s="38">
        <f t="shared" si="77"/>
        <v>0</v>
      </c>
      <c r="V612" s="38">
        <v>0</v>
      </c>
      <c r="W612" s="38">
        <v>0</v>
      </c>
      <c r="X612" s="38">
        <v>0</v>
      </c>
      <c r="Y612" s="38"/>
      <c r="Z612" s="38" t="e">
        <f t="shared" si="75"/>
        <v>#DIV/0!</v>
      </c>
      <c r="AA612" s="38"/>
      <c r="AB612" s="38" t="e">
        <f t="shared" si="76"/>
        <v>#DIV/0!</v>
      </c>
      <c r="AC612" s="38" t="e">
        <f>U612/AR612</f>
        <v>#DIV/0!</v>
      </c>
      <c r="AD612" s="38" t="e">
        <f t="shared" si="78"/>
        <v>#DIV/0!</v>
      </c>
      <c r="AE612" s="33">
        <v>45427</v>
      </c>
      <c r="AF612" s="33"/>
      <c r="AG612" s="33"/>
      <c r="AH612" s="33"/>
      <c r="AI612" s="33"/>
      <c r="AJ612" s="42"/>
      <c r="AK612" s="37"/>
      <c r="AL612" s="37"/>
      <c r="AM612" s="37"/>
      <c r="AN612" s="37"/>
      <c r="AO612" s="43"/>
      <c r="AP612" s="35"/>
      <c r="AQ612" s="35"/>
      <c r="AR612" s="44"/>
      <c r="AS612" s="37"/>
    </row>
    <row r="613" spans="1:45" ht="54.75" customHeight="1" x14ac:dyDescent="0.25">
      <c r="A613" s="46" t="s">
        <v>3257</v>
      </c>
      <c r="B613" s="33">
        <v>45383</v>
      </c>
      <c r="C613" s="37" t="s">
        <v>2074</v>
      </c>
      <c r="D613" s="36"/>
      <c r="E613" s="1" t="s">
        <v>3258</v>
      </c>
      <c r="F613" s="33">
        <v>45394</v>
      </c>
      <c r="G613" s="35" t="s">
        <v>3259</v>
      </c>
      <c r="H613" s="37" t="s">
        <v>3260</v>
      </c>
      <c r="I613" s="37" t="s">
        <v>2527</v>
      </c>
      <c r="J613" s="38">
        <v>85839.6</v>
      </c>
      <c r="K613" s="40">
        <f>((J613-M613)/J613)*100</f>
        <v>0.50865800865801414</v>
      </c>
      <c r="L613" s="41">
        <f>J613-M613</f>
        <v>436.63000000000466</v>
      </c>
      <c r="M613" s="38">
        <v>85402.97</v>
      </c>
      <c r="N613" s="41">
        <f>J613-O613</f>
        <v>436.63000000000466</v>
      </c>
      <c r="O613" s="38">
        <v>85402.97</v>
      </c>
      <c r="P613" s="27">
        <f t="shared" si="79"/>
        <v>85402.97</v>
      </c>
      <c r="Q613" s="27">
        <f t="shared" si="79"/>
        <v>85402.97</v>
      </c>
      <c r="R613" s="27">
        <f>Q613/U613</f>
        <v>91.93</v>
      </c>
      <c r="S613" s="38">
        <f>Q613/U613</f>
        <v>91.93</v>
      </c>
      <c r="T613" s="38">
        <f>S613*AR613</f>
        <v>2298.25</v>
      </c>
      <c r="U613" s="38">
        <f t="shared" si="77"/>
        <v>929</v>
      </c>
      <c r="V613" s="38">
        <v>929</v>
      </c>
      <c r="W613" s="38">
        <v>0</v>
      </c>
      <c r="X613" s="38">
        <v>0</v>
      </c>
      <c r="Y613" s="38">
        <v>0</v>
      </c>
      <c r="Z613" s="38">
        <f t="shared" si="75"/>
        <v>0</v>
      </c>
      <c r="AA613" s="38">
        <v>0</v>
      </c>
      <c r="AB613" s="38">
        <f t="shared" si="76"/>
        <v>0</v>
      </c>
      <c r="AC613" s="38">
        <f>U613/AR613</f>
        <v>37.159999999999997</v>
      </c>
      <c r="AD613" s="38">
        <f t="shared" si="78"/>
        <v>38</v>
      </c>
      <c r="AE613" s="33">
        <v>45458</v>
      </c>
      <c r="AF613" s="33"/>
      <c r="AG613" s="33"/>
      <c r="AH613" s="33">
        <v>45488</v>
      </c>
      <c r="AI613" s="33"/>
      <c r="AJ613" s="42"/>
      <c r="AK613" s="37" t="s">
        <v>3261</v>
      </c>
      <c r="AL613" s="37" t="s">
        <v>3262</v>
      </c>
      <c r="AM613" s="37" t="s">
        <v>3263</v>
      </c>
      <c r="AN613" s="37" t="s">
        <v>50</v>
      </c>
      <c r="AO613" s="43">
        <v>100</v>
      </c>
      <c r="AP613" s="35">
        <v>0</v>
      </c>
      <c r="AQ613" s="35" t="s">
        <v>398</v>
      </c>
      <c r="AR613" s="44">
        <v>25</v>
      </c>
      <c r="AS613" s="37" t="s">
        <v>52</v>
      </c>
    </row>
    <row r="614" spans="1:45" ht="54.75" customHeight="1" x14ac:dyDescent="0.25">
      <c r="A614" s="46" t="s">
        <v>3264</v>
      </c>
      <c r="B614" s="33">
        <v>45383</v>
      </c>
      <c r="C614" s="37" t="s">
        <v>2074</v>
      </c>
      <c r="D614" s="36"/>
      <c r="E614" s="1" t="s">
        <v>3265</v>
      </c>
      <c r="F614" s="33">
        <v>45394</v>
      </c>
      <c r="G614" s="35" t="s">
        <v>3266</v>
      </c>
      <c r="H614" s="37" t="s">
        <v>3260</v>
      </c>
      <c r="I614" s="37" t="s">
        <v>2467</v>
      </c>
      <c r="J614" s="38">
        <v>550114.74</v>
      </c>
      <c r="K614" s="40">
        <f>((J614-M614)/J614)*100</f>
        <v>0.53213262382316229</v>
      </c>
      <c r="L614" s="41">
        <f>J614-M614</f>
        <v>2927.3399999999674</v>
      </c>
      <c r="M614" s="38">
        <v>547187.4</v>
      </c>
      <c r="N614" s="41">
        <f>J614-O614</f>
        <v>2927.3399999999674</v>
      </c>
      <c r="O614" s="38">
        <v>547187.4</v>
      </c>
      <c r="P614" s="27">
        <f t="shared" si="79"/>
        <v>547187.4</v>
      </c>
      <c r="Q614" s="27">
        <f t="shared" si="79"/>
        <v>547187.4</v>
      </c>
      <c r="R614" s="27">
        <f>Q614/U614</f>
        <v>72.900000000000006</v>
      </c>
      <c r="S614" s="38">
        <f>Q614/U614</f>
        <v>72.900000000000006</v>
      </c>
      <c r="T614" s="38">
        <f>S614*AR614</f>
        <v>3645.0000000000005</v>
      </c>
      <c r="U614" s="38">
        <f t="shared" si="77"/>
        <v>7506</v>
      </c>
      <c r="V614" s="38">
        <v>7506</v>
      </c>
      <c r="W614" s="38">
        <v>0</v>
      </c>
      <c r="X614" s="38">
        <v>0</v>
      </c>
      <c r="Y614" s="38">
        <v>0</v>
      </c>
      <c r="Z614" s="38">
        <f t="shared" si="75"/>
        <v>0</v>
      </c>
      <c r="AA614" s="38">
        <v>0</v>
      </c>
      <c r="AB614" s="38">
        <f t="shared" si="76"/>
        <v>0</v>
      </c>
      <c r="AC614" s="38">
        <f>U614/AR614</f>
        <v>150.12</v>
      </c>
      <c r="AD614" s="38">
        <f t="shared" si="78"/>
        <v>151</v>
      </c>
      <c r="AE614" s="33">
        <v>45458</v>
      </c>
      <c r="AF614" s="33"/>
      <c r="AG614" s="33"/>
      <c r="AH614" s="33">
        <v>45488</v>
      </c>
      <c r="AI614" s="33"/>
      <c r="AJ614" s="42"/>
      <c r="AK614" s="37" t="s">
        <v>3261</v>
      </c>
      <c r="AL614" s="37" t="s">
        <v>3267</v>
      </c>
      <c r="AM614" s="37" t="s">
        <v>3268</v>
      </c>
      <c r="AN614" s="37" t="s">
        <v>50</v>
      </c>
      <c r="AO614" s="43">
        <v>100</v>
      </c>
      <c r="AP614" s="35">
        <v>0</v>
      </c>
      <c r="AQ614" s="35" t="s">
        <v>398</v>
      </c>
      <c r="AR614" s="44">
        <v>50</v>
      </c>
      <c r="AS614" s="37" t="s">
        <v>52</v>
      </c>
    </row>
    <row r="615" spans="1:45" ht="54.75" customHeight="1" x14ac:dyDescent="0.25">
      <c r="A615" s="46" t="s">
        <v>3269</v>
      </c>
      <c r="B615" s="33">
        <v>45384</v>
      </c>
      <c r="C615" s="35">
        <v>545</v>
      </c>
      <c r="D615" s="36"/>
      <c r="E615" s="1" t="s">
        <v>3270</v>
      </c>
      <c r="F615" s="33"/>
      <c r="G615" s="35"/>
      <c r="H615" s="37"/>
      <c r="I615" s="37" t="s">
        <v>3271</v>
      </c>
      <c r="J615" s="38">
        <v>4835911.08</v>
      </c>
      <c r="K615" s="40">
        <f>((J615-M615)/J615)*100</f>
        <v>100</v>
      </c>
      <c r="L615" s="41">
        <f>J615-M615</f>
        <v>4835911.08</v>
      </c>
      <c r="M615" s="38"/>
      <c r="N615" s="41">
        <f>J615-O615</f>
        <v>4835911.08</v>
      </c>
      <c r="O615" s="38">
        <v>0</v>
      </c>
      <c r="P615" s="27">
        <f t="shared" si="79"/>
        <v>0</v>
      </c>
      <c r="Q615" s="27">
        <f t="shared" si="79"/>
        <v>0</v>
      </c>
      <c r="R615" s="27" t="e">
        <f>Q615/U615</f>
        <v>#DIV/0!</v>
      </c>
      <c r="S615" s="38" t="e">
        <f>Q615/U615</f>
        <v>#DIV/0!</v>
      </c>
      <c r="T615" s="38" t="e">
        <f>S615*AR615</f>
        <v>#DIV/0!</v>
      </c>
      <c r="U615" s="38">
        <f t="shared" si="77"/>
        <v>0</v>
      </c>
      <c r="V615" s="38">
        <v>0</v>
      </c>
      <c r="W615" s="38">
        <v>0</v>
      </c>
      <c r="X615" s="38">
        <v>0</v>
      </c>
      <c r="Y615" s="38"/>
      <c r="Z615" s="38" t="e">
        <f t="shared" si="75"/>
        <v>#DIV/0!</v>
      </c>
      <c r="AA615" s="38"/>
      <c r="AB615" s="38" t="e">
        <f t="shared" si="76"/>
        <v>#DIV/0!</v>
      </c>
      <c r="AC615" s="38" t="e">
        <f>U615/AR615</f>
        <v>#DIV/0!</v>
      </c>
      <c r="AD615" s="38" t="e">
        <f t="shared" si="78"/>
        <v>#DIV/0!</v>
      </c>
      <c r="AE615" s="33">
        <v>45432</v>
      </c>
      <c r="AF615" s="33"/>
      <c r="AG615" s="33"/>
      <c r="AH615" s="33"/>
      <c r="AI615" s="33"/>
      <c r="AJ615" s="42"/>
      <c r="AK615" s="37"/>
      <c r="AL615" s="37"/>
      <c r="AM615" s="37"/>
      <c r="AN615" s="37"/>
      <c r="AO615" s="43"/>
      <c r="AP615" s="35"/>
      <c r="AQ615" s="35"/>
      <c r="AR615" s="44"/>
      <c r="AS615" s="37"/>
    </row>
    <row r="616" spans="1:45" ht="54.75" customHeight="1" x14ac:dyDescent="0.25">
      <c r="A616" s="32" t="s">
        <v>3272</v>
      </c>
      <c r="B616" s="33">
        <v>45385</v>
      </c>
      <c r="C616" s="35">
        <v>1688</v>
      </c>
      <c r="D616" s="36"/>
      <c r="E616" s="1" t="s">
        <v>3273</v>
      </c>
      <c r="F616" s="33"/>
      <c r="G616" s="35"/>
      <c r="H616" s="37"/>
      <c r="I616" s="58" t="s">
        <v>1878</v>
      </c>
      <c r="J616" s="57">
        <v>1819012278</v>
      </c>
      <c r="K616" s="40">
        <f>((J616-M616)/J616)*100</f>
        <v>100</v>
      </c>
      <c r="L616" s="41">
        <f>J616-M616</f>
        <v>1819012278</v>
      </c>
      <c r="M616" s="38"/>
      <c r="N616" s="41">
        <f>J616-O616</f>
        <v>1819012278</v>
      </c>
      <c r="O616" s="38">
        <v>0</v>
      </c>
      <c r="P616" s="27">
        <f t="shared" si="79"/>
        <v>0</v>
      </c>
      <c r="Q616" s="27">
        <f t="shared" si="79"/>
        <v>0</v>
      </c>
      <c r="R616" s="27" t="e">
        <f>Q616/U616</f>
        <v>#DIV/0!</v>
      </c>
      <c r="S616" s="38" t="e">
        <f>Q616/U616</f>
        <v>#DIV/0!</v>
      </c>
      <c r="T616" s="38" t="e">
        <f>S616*AR616</f>
        <v>#DIV/0!</v>
      </c>
      <c r="U616" s="38">
        <f t="shared" si="77"/>
        <v>0</v>
      </c>
      <c r="V616" s="38">
        <v>0</v>
      </c>
      <c r="W616" s="38">
        <v>0</v>
      </c>
      <c r="X616" s="38">
        <v>0</v>
      </c>
      <c r="Y616" s="38"/>
      <c r="Z616" s="38" t="e">
        <f t="shared" si="75"/>
        <v>#DIV/0!</v>
      </c>
      <c r="AA616" s="38"/>
      <c r="AB616" s="38" t="e">
        <f t="shared" si="76"/>
        <v>#DIV/0!</v>
      </c>
      <c r="AC616" s="38" t="e">
        <f>U616/AR616</f>
        <v>#DIV/0!</v>
      </c>
      <c r="AD616" s="38" t="e">
        <f t="shared" si="78"/>
        <v>#DIV/0!</v>
      </c>
      <c r="AE616" s="33">
        <v>45444</v>
      </c>
      <c r="AF616" s="33"/>
      <c r="AG616" s="33"/>
      <c r="AH616" s="33"/>
      <c r="AI616" s="33"/>
      <c r="AJ616" s="42"/>
      <c r="AK616" s="37"/>
      <c r="AL616" s="37"/>
      <c r="AM616" s="37"/>
      <c r="AN616" s="37"/>
      <c r="AO616" s="43"/>
      <c r="AP616" s="35"/>
      <c r="AQ616" s="35"/>
      <c r="AR616" s="44"/>
      <c r="AS616" s="37"/>
    </row>
    <row r="617" spans="1:45" ht="54.75" customHeight="1" x14ac:dyDescent="0.25">
      <c r="A617" s="32" t="s">
        <v>3274</v>
      </c>
      <c r="B617" s="56">
        <v>45386</v>
      </c>
      <c r="C617" s="35">
        <v>545</v>
      </c>
      <c r="D617" s="36"/>
      <c r="E617" s="1" t="s">
        <v>3275</v>
      </c>
      <c r="F617" s="33"/>
      <c r="G617" s="35"/>
      <c r="H617" s="37"/>
      <c r="I617" s="58" t="s">
        <v>3276</v>
      </c>
      <c r="J617" s="57">
        <v>9859997.2799999993</v>
      </c>
      <c r="K617" s="40">
        <f>((J617-M617)/J617)*100</f>
        <v>100</v>
      </c>
      <c r="L617" s="41">
        <f>J617-M617</f>
        <v>9859997.2799999993</v>
      </c>
      <c r="M617" s="38"/>
      <c r="N617" s="41">
        <f>J617-O617</f>
        <v>9859997.2799999993</v>
      </c>
      <c r="O617" s="38">
        <v>0</v>
      </c>
      <c r="P617" s="27">
        <f t="shared" si="79"/>
        <v>0</v>
      </c>
      <c r="Q617" s="27">
        <f t="shared" si="79"/>
        <v>0</v>
      </c>
      <c r="R617" s="27" t="e">
        <f>Q617/U617</f>
        <v>#DIV/0!</v>
      </c>
      <c r="S617" s="38" t="e">
        <f>Q617/U617</f>
        <v>#DIV/0!</v>
      </c>
      <c r="T617" s="38" t="e">
        <f>S617*AR617</f>
        <v>#DIV/0!</v>
      </c>
      <c r="U617" s="38">
        <f t="shared" si="77"/>
        <v>0</v>
      </c>
      <c r="V617" s="38">
        <v>0</v>
      </c>
      <c r="W617" s="38">
        <v>0</v>
      </c>
      <c r="X617" s="38">
        <v>0</v>
      </c>
      <c r="Y617" s="38"/>
      <c r="Z617" s="38" t="e">
        <f t="shared" si="75"/>
        <v>#DIV/0!</v>
      </c>
      <c r="AA617" s="38"/>
      <c r="AB617" s="38" t="e">
        <f t="shared" si="76"/>
        <v>#DIV/0!</v>
      </c>
      <c r="AC617" s="38" t="e">
        <f>U617/AR617</f>
        <v>#DIV/0!</v>
      </c>
      <c r="AD617" s="38" t="e">
        <f t="shared" si="78"/>
        <v>#DIV/0!</v>
      </c>
      <c r="AE617" s="33">
        <v>45432</v>
      </c>
      <c r="AF617" s="33"/>
      <c r="AG617" s="33"/>
      <c r="AH617" s="33"/>
      <c r="AI617" s="33"/>
      <c r="AJ617" s="42"/>
      <c r="AK617" s="37"/>
      <c r="AL617" s="37"/>
      <c r="AM617" s="37"/>
      <c r="AN617" s="37"/>
      <c r="AO617" s="43"/>
      <c r="AP617" s="35"/>
      <c r="AQ617" s="35"/>
      <c r="AR617" s="44"/>
      <c r="AS617" s="37"/>
    </row>
    <row r="618" spans="1:45" ht="54.75" customHeight="1" x14ac:dyDescent="0.25">
      <c r="A618" s="32" t="s">
        <v>3277</v>
      </c>
      <c r="B618" s="56">
        <v>45386</v>
      </c>
      <c r="C618" s="37" t="s">
        <v>2074</v>
      </c>
      <c r="D618" s="36"/>
      <c r="E618" s="1" t="s">
        <v>3278</v>
      </c>
      <c r="F618" s="33">
        <v>45398</v>
      </c>
      <c r="G618" s="35" t="s">
        <v>3279</v>
      </c>
      <c r="H618" s="37" t="s">
        <v>2032</v>
      </c>
      <c r="I618" s="58" t="s">
        <v>2527</v>
      </c>
      <c r="J618" s="57">
        <v>1186323.6000000001</v>
      </c>
      <c r="K618" s="40">
        <f>((J618-M618)/J618)*100</f>
        <v>0</v>
      </c>
      <c r="L618" s="41">
        <f>J618-M618</f>
        <v>0</v>
      </c>
      <c r="M618" s="57">
        <v>1186323.6000000001</v>
      </c>
      <c r="N618" s="41">
        <f>J618-O618</f>
        <v>0</v>
      </c>
      <c r="O618" s="57">
        <v>1186323.6000000001</v>
      </c>
      <c r="P618" s="27">
        <f t="shared" si="79"/>
        <v>1186323.6000000001</v>
      </c>
      <c r="Q618" s="27">
        <f t="shared" si="79"/>
        <v>1186323.6000000001</v>
      </c>
      <c r="R618" s="27">
        <f>Q618/U618</f>
        <v>92.4</v>
      </c>
      <c r="S618" s="38">
        <f>Q618/U618</f>
        <v>92.4</v>
      </c>
      <c r="T618" s="38" t="e">
        <f>S618*AR618</f>
        <v>#VALUE!</v>
      </c>
      <c r="U618" s="38">
        <f t="shared" si="77"/>
        <v>12839</v>
      </c>
      <c r="V618" s="38">
        <v>12839</v>
      </c>
      <c r="W618" s="38">
        <v>0</v>
      </c>
      <c r="X618" s="38">
        <v>0</v>
      </c>
      <c r="Y618" s="38">
        <v>0</v>
      </c>
      <c r="Z618" s="38">
        <f t="shared" si="75"/>
        <v>0</v>
      </c>
      <c r="AA618" s="38">
        <v>0</v>
      </c>
      <c r="AB618" s="38">
        <f t="shared" si="76"/>
        <v>0</v>
      </c>
      <c r="AC618" s="38" t="e">
        <f>U618/AR618</f>
        <v>#VALUE!</v>
      </c>
      <c r="AD618" s="38" t="e">
        <f t="shared" si="78"/>
        <v>#VALUE!</v>
      </c>
      <c r="AE618" s="33">
        <v>45458</v>
      </c>
      <c r="AF618" s="33"/>
      <c r="AG618" s="33"/>
      <c r="AH618" s="33">
        <v>45488</v>
      </c>
      <c r="AI618" s="33"/>
      <c r="AJ618" s="42"/>
      <c r="AK618" s="37" t="s">
        <v>3280</v>
      </c>
      <c r="AL618" s="37" t="s">
        <v>3281</v>
      </c>
      <c r="AM618" s="37" t="s">
        <v>3282</v>
      </c>
      <c r="AN618" s="37" t="s">
        <v>50</v>
      </c>
      <c r="AO618" s="43">
        <v>100</v>
      </c>
      <c r="AP618" s="35">
        <v>0</v>
      </c>
      <c r="AQ618" s="35" t="s">
        <v>398</v>
      </c>
      <c r="AR618" s="48" t="s">
        <v>3283</v>
      </c>
      <c r="AS618" s="37" t="s">
        <v>52</v>
      </c>
    </row>
    <row r="619" spans="1:45" ht="34.5" customHeight="1" x14ac:dyDescent="0.25">
      <c r="A619" s="32" t="s">
        <v>3284</v>
      </c>
      <c r="B619" s="56">
        <v>45390</v>
      </c>
      <c r="C619" s="35">
        <v>1512</v>
      </c>
      <c r="D619" s="36"/>
      <c r="E619" s="37"/>
      <c r="F619" s="33"/>
      <c r="G619" s="35"/>
      <c r="H619" s="37"/>
      <c r="I619" s="58" t="s">
        <v>1351</v>
      </c>
      <c r="J619" s="57">
        <v>5599994.4000000004</v>
      </c>
      <c r="K619" s="40">
        <f>((J619-M619)/J619)*100</f>
        <v>100</v>
      </c>
      <c r="L619" s="41">
        <f>J619-M619</f>
        <v>5599994.4000000004</v>
      </c>
      <c r="M619" s="38"/>
      <c r="N619" s="41">
        <f>J619-O619</f>
        <v>5599994.4000000004</v>
      </c>
      <c r="O619" s="38">
        <v>0</v>
      </c>
      <c r="P619" s="27">
        <f t="shared" si="79"/>
        <v>0</v>
      </c>
      <c r="Q619" s="27">
        <f t="shared" si="79"/>
        <v>0</v>
      </c>
      <c r="R619" s="27" t="e">
        <f>Q619/U619</f>
        <v>#DIV/0!</v>
      </c>
      <c r="S619" s="38" t="e">
        <f>Q619/U619</f>
        <v>#DIV/0!</v>
      </c>
      <c r="T619" s="38" t="e">
        <f>S619*AR619</f>
        <v>#DIV/0!</v>
      </c>
      <c r="U619" s="38">
        <f t="shared" si="77"/>
        <v>0</v>
      </c>
      <c r="V619" s="38">
        <v>0</v>
      </c>
      <c r="W619" s="38">
        <v>0</v>
      </c>
      <c r="X619" s="38">
        <v>0</v>
      </c>
      <c r="Y619" s="38"/>
      <c r="Z619" s="38" t="e">
        <f t="shared" si="75"/>
        <v>#DIV/0!</v>
      </c>
      <c r="AA619" s="38"/>
      <c r="AB619" s="38" t="e">
        <f t="shared" si="76"/>
        <v>#DIV/0!</v>
      </c>
      <c r="AC619" s="38" t="e">
        <f>U619/AR619</f>
        <v>#DIV/0!</v>
      </c>
      <c r="AD619" s="38" t="e">
        <f t="shared" si="78"/>
        <v>#DIV/0!</v>
      </c>
      <c r="AE619" s="33">
        <v>45566</v>
      </c>
      <c r="AF619" s="33"/>
      <c r="AG619" s="33"/>
      <c r="AH619" s="33"/>
      <c r="AI619" s="33"/>
      <c r="AJ619" s="42"/>
      <c r="AK619" s="37"/>
      <c r="AL619" s="37"/>
      <c r="AM619" s="37"/>
      <c r="AN619" s="37"/>
      <c r="AO619" s="43"/>
      <c r="AP619" s="35"/>
      <c r="AQ619" s="35"/>
      <c r="AR619" s="44"/>
      <c r="AS619" s="37"/>
    </row>
    <row r="620" spans="1:45" ht="48" customHeight="1" x14ac:dyDescent="0.25">
      <c r="A620" s="32"/>
      <c r="B620" s="56">
        <v>45390</v>
      </c>
      <c r="C620" s="35">
        <v>545</v>
      </c>
      <c r="D620" s="36"/>
      <c r="E620" s="37"/>
      <c r="F620" s="33"/>
      <c r="G620" s="35"/>
      <c r="H620" s="37"/>
      <c r="I620" s="58" t="s">
        <v>1371</v>
      </c>
      <c r="J620" s="57">
        <v>33355520</v>
      </c>
      <c r="K620" s="40">
        <f>((J620-M620)/J620)*100</f>
        <v>100</v>
      </c>
      <c r="L620" s="41">
        <f>J620-M620</f>
        <v>33355520</v>
      </c>
      <c r="M620" s="38"/>
      <c r="N620" s="41">
        <f>J620-O620</f>
        <v>33355520</v>
      </c>
      <c r="O620" s="38">
        <v>0</v>
      </c>
      <c r="P620" s="27">
        <f t="shared" si="79"/>
        <v>0</v>
      </c>
      <c r="Q620" s="27">
        <f t="shared" si="79"/>
        <v>0</v>
      </c>
      <c r="R620" s="27" t="e">
        <f>Q620/U620</f>
        <v>#DIV/0!</v>
      </c>
      <c r="S620" s="38" t="e">
        <f>Q620/U620</f>
        <v>#DIV/0!</v>
      </c>
      <c r="T620" s="38" t="e">
        <f>S620*AR620</f>
        <v>#DIV/0!</v>
      </c>
      <c r="U620" s="38">
        <f t="shared" si="77"/>
        <v>0</v>
      </c>
      <c r="V620" s="38">
        <v>0</v>
      </c>
      <c r="W620" s="38">
        <v>0</v>
      </c>
      <c r="X620" s="38">
        <v>0</v>
      </c>
      <c r="Y620" s="38"/>
      <c r="Z620" s="38" t="e">
        <f t="shared" si="75"/>
        <v>#DIV/0!</v>
      </c>
      <c r="AA620" s="38"/>
      <c r="AB620" s="38" t="e">
        <f t="shared" si="76"/>
        <v>#DIV/0!</v>
      </c>
      <c r="AC620" s="38" t="e">
        <f>U620/AR620</f>
        <v>#DIV/0!</v>
      </c>
      <c r="AD620" s="38" t="e">
        <f t="shared" si="78"/>
        <v>#DIV/0!</v>
      </c>
      <c r="AE620" s="33">
        <v>45444</v>
      </c>
      <c r="AF620" s="33"/>
      <c r="AG620" s="33"/>
      <c r="AH620" s="33"/>
      <c r="AI620" s="33"/>
      <c r="AJ620" s="42"/>
      <c r="AK620" s="37"/>
      <c r="AL620" s="37"/>
      <c r="AM620" s="37"/>
      <c r="AN620" s="37"/>
      <c r="AO620" s="43"/>
      <c r="AP620" s="35"/>
      <c r="AQ620" s="35"/>
      <c r="AR620" s="44"/>
      <c r="AS620" s="37"/>
    </row>
    <row r="621" spans="1:45" ht="48" customHeight="1" x14ac:dyDescent="0.25">
      <c r="A621" s="32" t="s">
        <v>3285</v>
      </c>
      <c r="B621" s="56">
        <v>45390</v>
      </c>
      <c r="C621" s="35">
        <v>1512</v>
      </c>
      <c r="D621" s="36"/>
      <c r="E621" s="37"/>
      <c r="F621" s="33"/>
      <c r="G621" s="35"/>
      <c r="H621" s="37"/>
      <c r="I621" s="59" t="s">
        <v>1301</v>
      </c>
      <c r="J621" s="57">
        <v>12385279.199999999</v>
      </c>
      <c r="K621" s="40">
        <f>((J621-M621)/J621)*100</f>
        <v>100</v>
      </c>
      <c r="L621" s="41">
        <f>J621-M621</f>
        <v>12385279.199999999</v>
      </c>
      <c r="M621" s="38"/>
      <c r="N621" s="41">
        <f>J621-O621</f>
        <v>12385279.199999999</v>
      </c>
      <c r="O621" s="38">
        <v>0</v>
      </c>
      <c r="P621" s="27">
        <f t="shared" si="79"/>
        <v>0</v>
      </c>
      <c r="Q621" s="27">
        <f t="shared" si="79"/>
        <v>0</v>
      </c>
      <c r="R621" s="27" t="e">
        <f>Q621/U621</f>
        <v>#DIV/0!</v>
      </c>
      <c r="S621" s="38" t="e">
        <f>Q621/U621</f>
        <v>#DIV/0!</v>
      </c>
      <c r="T621" s="38" t="e">
        <f>S621*AR621</f>
        <v>#DIV/0!</v>
      </c>
      <c r="U621" s="38">
        <f t="shared" si="77"/>
        <v>0</v>
      </c>
      <c r="V621" s="38">
        <v>0</v>
      </c>
      <c r="W621" s="38">
        <v>0</v>
      </c>
      <c r="X621" s="38">
        <v>0</v>
      </c>
      <c r="Y621" s="38"/>
      <c r="Z621" s="38" t="e">
        <f t="shared" si="75"/>
        <v>#DIV/0!</v>
      </c>
      <c r="AA621" s="38"/>
      <c r="AB621" s="38" t="e">
        <f t="shared" si="76"/>
        <v>#DIV/0!</v>
      </c>
      <c r="AC621" s="38" t="e">
        <f>U621/AR621</f>
        <v>#DIV/0!</v>
      </c>
      <c r="AD621" s="38" t="e">
        <f t="shared" si="78"/>
        <v>#DIV/0!</v>
      </c>
      <c r="AE621" s="33">
        <v>45566</v>
      </c>
      <c r="AF621" s="33"/>
      <c r="AG621" s="33"/>
      <c r="AH621" s="33"/>
      <c r="AI621" s="33"/>
      <c r="AJ621" s="42"/>
      <c r="AK621" s="37"/>
      <c r="AL621" s="37"/>
      <c r="AM621" s="37"/>
      <c r="AN621" s="37"/>
      <c r="AO621" s="43"/>
      <c r="AP621" s="35"/>
      <c r="AQ621" s="35"/>
      <c r="AR621" s="44"/>
      <c r="AS621" s="37"/>
    </row>
    <row r="622" spans="1:45" ht="48" customHeight="1" x14ac:dyDescent="0.25">
      <c r="A622" s="32" t="s">
        <v>3286</v>
      </c>
      <c r="B622" s="56">
        <v>45390</v>
      </c>
      <c r="C622" s="35">
        <v>1512</v>
      </c>
      <c r="D622" s="36"/>
      <c r="E622" s="37"/>
      <c r="F622" s="33"/>
      <c r="G622" s="35"/>
      <c r="H622" s="37"/>
      <c r="I622" s="59" t="s">
        <v>1604</v>
      </c>
      <c r="J622" s="57">
        <v>749707833.60000002</v>
      </c>
      <c r="K622" s="40">
        <f>((J622-M622)/J622)*100</f>
        <v>100</v>
      </c>
      <c r="L622" s="41">
        <f>J622-M622</f>
        <v>749707833.60000002</v>
      </c>
      <c r="M622" s="38"/>
      <c r="N622" s="41">
        <f>J622-O622</f>
        <v>749707833.60000002</v>
      </c>
      <c r="O622" s="38">
        <v>0</v>
      </c>
      <c r="P622" s="27">
        <f t="shared" si="79"/>
        <v>0</v>
      </c>
      <c r="Q622" s="27">
        <f t="shared" si="79"/>
        <v>0</v>
      </c>
      <c r="R622" s="27" t="e">
        <f>Q622/U622</f>
        <v>#DIV/0!</v>
      </c>
      <c r="S622" s="38" t="e">
        <f>Q622/U622</f>
        <v>#DIV/0!</v>
      </c>
      <c r="T622" s="38" t="e">
        <f>S622*AR622</f>
        <v>#DIV/0!</v>
      </c>
      <c r="U622" s="38">
        <f t="shared" si="77"/>
        <v>0</v>
      </c>
      <c r="V622" s="38">
        <v>0</v>
      </c>
      <c r="W622" s="38">
        <v>0</v>
      </c>
      <c r="X622" s="38">
        <v>0</v>
      </c>
      <c r="Y622" s="38"/>
      <c r="Z622" s="38" t="e">
        <f t="shared" si="75"/>
        <v>#DIV/0!</v>
      </c>
      <c r="AA622" s="38"/>
      <c r="AB622" s="38" t="e">
        <f t="shared" si="76"/>
        <v>#DIV/0!</v>
      </c>
      <c r="AC622" s="38" t="e">
        <f>U622/AR622</f>
        <v>#DIV/0!</v>
      </c>
      <c r="AD622" s="38" t="e">
        <f t="shared" si="78"/>
        <v>#DIV/0!</v>
      </c>
      <c r="AE622" s="33">
        <v>45566</v>
      </c>
      <c r="AF622" s="33"/>
      <c r="AG622" s="33"/>
      <c r="AH622" s="33"/>
      <c r="AI622" s="33"/>
      <c r="AJ622" s="42"/>
      <c r="AK622" s="37"/>
      <c r="AL622" s="37"/>
      <c r="AM622" s="37"/>
      <c r="AN622" s="37"/>
      <c r="AO622" s="43"/>
      <c r="AP622" s="35"/>
      <c r="AQ622" s="35"/>
      <c r="AR622" s="44"/>
      <c r="AS622" s="37"/>
    </row>
    <row r="623" spans="1:45" ht="48" customHeight="1" x14ac:dyDescent="0.25">
      <c r="A623" s="32" t="s">
        <v>3287</v>
      </c>
      <c r="B623" s="56">
        <v>45392</v>
      </c>
      <c r="C623" s="35">
        <v>1512</v>
      </c>
      <c r="D623" s="36"/>
      <c r="E623" s="37"/>
      <c r="F623" s="33"/>
      <c r="G623" s="35"/>
      <c r="H623" s="37"/>
      <c r="I623" s="58" t="s">
        <v>1690</v>
      </c>
      <c r="J623" s="57">
        <v>605942.4</v>
      </c>
      <c r="K623" s="40">
        <f>((J623-M623)/J623)*100</f>
        <v>100</v>
      </c>
      <c r="L623" s="41">
        <f>J623-M623</f>
        <v>605942.4</v>
      </c>
      <c r="M623" s="38"/>
      <c r="N623" s="41">
        <f>J623-O623</f>
        <v>605942.4</v>
      </c>
      <c r="O623" s="38">
        <v>0</v>
      </c>
      <c r="P623" s="27">
        <f t="shared" si="79"/>
        <v>0</v>
      </c>
      <c r="Q623" s="27">
        <f t="shared" si="79"/>
        <v>0</v>
      </c>
      <c r="R623" s="27" t="e">
        <f>Q623/U623</f>
        <v>#DIV/0!</v>
      </c>
      <c r="S623" s="38" t="e">
        <f>Q623/U623</f>
        <v>#DIV/0!</v>
      </c>
      <c r="T623" s="38" t="e">
        <f>S623*AR623</f>
        <v>#DIV/0!</v>
      </c>
      <c r="U623" s="38">
        <f t="shared" si="77"/>
        <v>0</v>
      </c>
      <c r="V623" s="38">
        <v>0</v>
      </c>
      <c r="W623" s="38">
        <v>0</v>
      </c>
      <c r="X623" s="38">
        <v>0</v>
      </c>
      <c r="Y623" s="38"/>
      <c r="Z623" s="38" t="e">
        <f t="shared" si="75"/>
        <v>#DIV/0!</v>
      </c>
      <c r="AA623" s="38"/>
      <c r="AB623" s="38" t="e">
        <f t="shared" si="76"/>
        <v>#DIV/0!</v>
      </c>
      <c r="AC623" s="38" t="e">
        <f>U623/AR623</f>
        <v>#DIV/0!</v>
      </c>
      <c r="AD623" s="38" t="e">
        <f t="shared" si="78"/>
        <v>#DIV/0!</v>
      </c>
      <c r="AE623" s="33">
        <v>45566</v>
      </c>
      <c r="AF623" s="33"/>
      <c r="AG623" s="33"/>
      <c r="AH623" s="33"/>
      <c r="AI623" s="33"/>
      <c r="AJ623" s="42"/>
      <c r="AK623" s="37"/>
      <c r="AL623" s="37"/>
      <c r="AM623" s="37"/>
      <c r="AN623" s="37"/>
      <c r="AO623" s="43"/>
      <c r="AP623" s="35"/>
      <c r="AQ623" s="35"/>
      <c r="AR623" s="44"/>
      <c r="AS623" s="37"/>
    </row>
    <row r="624" spans="1:45" ht="48" customHeight="1" x14ac:dyDescent="0.25">
      <c r="A624" s="32" t="s">
        <v>3288</v>
      </c>
      <c r="B624" s="56">
        <v>45392</v>
      </c>
      <c r="C624" s="35">
        <v>1512</v>
      </c>
      <c r="D624" s="36"/>
      <c r="E624" s="37"/>
      <c r="F624" s="33"/>
      <c r="G624" s="35"/>
      <c r="H624" s="37"/>
      <c r="I624" s="58" t="s">
        <v>508</v>
      </c>
      <c r="J624" s="57">
        <v>246958034.40000001</v>
      </c>
      <c r="K624" s="40">
        <f>((J624-M624)/J624)*100</f>
        <v>100</v>
      </c>
      <c r="L624" s="41">
        <f>J624-M624</f>
        <v>246958034.40000001</v>
      </c>
      <c r="M624" s="38"/>
      <c r="N624" s="41">
        <f>J624-O624</f>
        <v>246958034.40000001</v>
      </c>
      <c r="O624" s="38">
        <v>0</v>
      </c>
      <c r="P624" s="27">
        <f t="shared" si="79"/>
        <v>0</v>
      </c>
      <c r="Q624" s="27">
        <f t="shared" si="79"/>
        <v>0</v>
      </c>
      <c r="R624" s="27" t="e">
        <f>Q624/U624</f>
        <v>#DIV/0!</v>
      </c>
      <c r="S624" s="38" t="e">
        <f>Q624/U624</f>
        <v>#DIV/0!</v>
      </c>
      <c r="T624" s="38" t="e">
        <f>S624*AR624</f>
        <v>#DIV/0!</v>
      </c>
      <c r="U624" s="38">
        <f t="shared" si="77"/>
        <v>0</v>
      </c>
      <c r="V624" s="38">
        <v>0</v>
      </c>
      <c r="W624" s="38">
        <v>0</v>
      </c>
      <c r="X624" s="38">
        <v>0</v>
      </c>
      <c r="Y624" s="38"/>
      <c r="Z624" s="38" t="e">
        <f t="shared" si="75"/>
        <v>#DIV/0!</v>
      </c>
      <c r="AA624" s="38"/>
      <c r="AB624" s="38" t="e">
        <f t="shared" si="76"/>
        <v>#DIV/0!</v>
      </c>
      <c r="AC624" s="38" t="e">
        <f>U624/AR624</f>
        <v>#DIV/0!</v>
      </c>
      <c r="AD624" s="38" t="e">
        <f t="shared" si="78"/>
        <v>#DIV/0!</v>
      </c>
      <c r="AE624" s="33">
        <v>45566</v>
      </c>
      <c r="AF624" s="33"/>
      <c r="AG624" s="33"/>
      <c r="AH624" s="33"/>
      <c r="AI624" s="33"/>
      <c r="AJ624" s="42"/>
      <c r="AK624" s="37"/>
      <c r="AL624" s="37"/>
      <c r="AM624" s="37"/>
      <c r="AN624" s="37"/>
      <c r="AO624" s="43"/>
      <c r="AP624" s="35"/>
      <c r="AQ624" s="35"/>
      <c r="AR624" s="44"/>
      <c r="AS624" s="37"/>
    </row>
    <row r="625" spans="1:45" ht="48" customHeight="1" x14ac:dyDescent="0.25">
      <c r="A625" s="32" t="s">
        <v>3289</v>
      </c>
      <c r="B625" s="56">
        <v>45392</v>
      </c>
      <c r="C625" s="35" t="s">
        <v>2642</v>
      </c>
      <c r="D625" s="36"/>
      <c r="E625" s="37"/>
      <c r="F625" s="33"/>
      <c r="G625" s="35"/>
      <c r="H625" s="37"/>
      <c r="I625" s="58" t="s">
        <v>1747</v>
      </c>
      <c r="J625" s="57">
        <v>1945681.2</v>
      </c>
      <c r="K625" s="40">
        <f>((J625-M625)/J625)*100</f>
        <v>100</v>
      </c>
      <c r="L625" s="41">
        <f>J625-M625</f>
        <v>1945681.2</v>
      </c>
      <c r="M625" s="38"/>
      <c r="N625" s="41">
        <f>J625-O625</f>
        <v>1945681.2</v>
      </c>
      <c r="O625" s="38">
        <v>0</v>
      </c>
      <c r="P625" s="27">
        <f t="shared" si="79"/>
        <v>0</v>
      </c>
      <c r="Q625" s="27">
        <f t="shared" si="79"/>
        <v>0</v>
      </c>
      <c r="R625" s="27" t="e">
        <f>Q625/U625</f>
        <v>#DIV/0!</v>
      </c>
      <c r="S625" s="38" t="e">
        <f>Q625/U625</f>
        <v>#DIV/0!</v>
      </c>
      <c r="T625" s="38" t="e">
        <f>S625*AR625</f>
        <v>#DIV/0!</v>
      </c>
      <c r="U625" s="38">
        <f t="shared" si="77"/>
        <v>0</v>
      </c>
      <c r="V625" s="38">
        <v>0</v>
      </c>
      <c r="W625" s="38">
        <v>0</v>
      </c>
      <c r="X625" s="38">
        <v>0</v>
      </c>
      <c r="Y625" s="38"/>
      <c r="Z625" s="38" t="e">
        <f t="shared" si="75"/>
        <v>#DIV/0!</v>
      </c>
      <c r="AA625" s="38"/>
      <c r="AB625" s="38" t="e">
        <f t="shared" si="76"/>
        <v>#DIV/0!</v>
      </c>
      <c r="AC625" s="38" t="e">
        <f>U625/AR625</f>
        <v>#DIV/0!</v>
      </c>
      <c r="AD625" s="38" t="e">
        <f t="shared" si="78"/>
        <v>#DIV/0!</v>
      </c>
      <c r="AE625" s="33">
        <v>45458</v>
      </c>
      <c r="AF625" s="33"/>
      <c r="AG625" s="33"/>
      <c r="AH625" s="33"/>
      <c r="AI625" s="33"/>
      <c r="AJ625" s="42"/>
      <c r="AK625" s="37"/>
      <c r="AL625" s="37"/>
      <c r="AM625" s="37"/>
      <c r="AN625" s="37"/>
      <c r="AO625" s="43"/>
      <c r="AP625" s="35"/>
      <c r="AQ625" s="35"/>
      <c r="AR625" s="44"/>
      <c r="AS625" s="37"/>
    </row>
    <row r="626" spans="1:45" ht="48" customHeight="1" x14ac:dyDescent="0.25">
      <c r="A626" s="32" t="s">
        <v>3290</v>
      </c>
      <c r="B626" s="56">
        <v>45392</v>
      </c>
      <c r="C626" s="35" t="s">
        <v>2642</v>
      </c>
      <c r="D626" s="36"/>
      <c r="E626" s="37"/>
      <c r="F626" s="33"/>
      <c r="G626" s="35"/>
      <c r="H626" s="37"/>
      <c r="I626" s="59" t="s">
        <v>1311</v>
      </c>
      <c r="J626" s="57">
        <v>1410393.6</v>
      </c>
      <c r="K626" s="40">
        <f>((J626-M626)/J626)*100</f>
        <v>100</v>
      </c>
      <c r="L626" s="41">
        <f>J626-M626</f>
        <v>1410393.6</v>
      </c>
      <c r="M626" s="38"/>
      <c r="N626" s="41">
        <f>J626-O626</f>
        <v>1410393.6</v>
      </c>
      <c r="O626" s="38">
        <v>0</v>
      </c>
      <c r="P626" s="27">
        <f t="shared" si="79"/>
        <v>0</v>
      </c>
      <c r="Q626" s="27">
        <f t="shared" si="79"/>
        <v>0</v>
      </c>
      <c r="R626" s="27" t="e">
        <f>Q626/U626</f>
        <v>#DIV/0!</v>
      </c>
      <c r="S626" s="38" t="e">
        <f>Q626/U626</f>
        <v>#DIV/0!</v>
      </c>
      <c r="T626" s="38" t="e">
        <f>S626*AR626</f>
        <v>#DIV/0!</v>
      </c>
      <c r="U626" s="38">
        <f t="shared" si="77"/>
        <v>0</v>
      </c>
      <c r="V626" s="38">
        <v>0</v>
      </c>
      <c r="W626" s="38">
        <v>0</v>
      </c>
      <c r="X626" s="38">
        <v>0</v>
      </c>
      <c r="Y626" s="38"/>
      <c r="Z626" s="38" t="e">
        <f t="shared" si="75"/>
        <v>#DIV/0!</v>
      </c>
      <c r="AA626" s="38"/>
      <c r="AB626" s="38" t="e">
        <f t="shared" si="76"/>
        <v>#DIV/0!</v>
      </c>
      <c r="AC626" s="38" t="e">
        <f>U626/AR626</f>
        <v>#DIV/0!</v>
      </c>
      <c r="AD626" s="38" t="e">
        <f t="shared" si="78"/>
        <v>#DIV/0!</v>
      </c>
      <c r="AE626" s="33">
        <v>45627</v>
      </c>
      <c r="AF626" s="33"/>
      <c r="AG626" s="33"/>
      <c r="AH626" s="33"/>
      <c r="AI626" s="33"/>
      <c r="AJ626" s="42"/>
      <c r="AK626" s="37"/>
      <c r="AL626" s="37"/>
      <c r="AM626" s="37"/>
      <c r="AN626" s="37"/>
      <c r="AO626" s="43"/>
      <c r="AP626" s="35"/>
      <c r="AQ626" s="35"/>
      <c r="AR626" s="44"/>
      <c r="AS626" s="37"/>
    </row>
    <row r="627" spans="1:45" ht="48" customHeight="1" x14ac:dyDescent="0.25">
      <c r="A627" s="32" t="s">
        <v>3291</v>
      </c>
      <c r="B627" s="56">
        <v>45392</v>
      </c>
      <c r="C627" s="35">
        <v>1512</v>
      </c>
      <c r="D627" s="36"/>
      <c r="E627" s="37"/>
      <c r="F627" s="33"/>
      <c r="G627" s="35"/>
      <c r="H627" s="37"/>
      <c r="I627" s="58" t="s">
        <v>1630</v>
      </c>
      <c r="J627" s="57">
        <v>135009864</v>
      </c>
      <c r="K627" s="40">
        <f>((J627-M627)/J627)*100</f>
        <v>100</v>
      </c>
      <c r="L627" s="41">
        <f>J627-M627</f>
        <v>135009864</v>
      </c>
      <c r="M627" s="38"/>
      <c r="N627" s="41">
        <f>J627-O627</f>
        <v>135009864</v>
      </c>
      <c r="O627" s="38">
        <v>0</v>
      </c>
      <c r="P627" s="27">
        <f t="shared" si="79"/>
        <v>0</v>
      </c>
      <c r="Q627" s="27">
        <f t="shared" si="79"/>
        <v>0</v>
      </c>
      <c r="R627" s="27" t="e">
        <f>Q627/U627</f>
        <v>#DIV/0!</v>
      </c>
      <c r="S627" s="38" t="e">
        <f>Q627/U627</f>
        <v>#DIV/0!</v>
      </c>
      <c r="T627" s="38" t="e">
        <f>S627*AR627</f>
        <v>#DIV/0!</v>
      </c>
      <c r="U627" s="38">
        <f t="shared" si="77"/>
        <v>0</v>
      </c>
      <c r="V627" s="38">
        <v>0</v>
      </c>
      <c r="W627" s="38">
        <v>0</v>
      </c>
      <c r="X627" s="38">
        <v>0</v>
      </c>
      <c r="Y627" s="38"/>
      <c r="Z627" s="38" t="e">
        <f t="shared" si="75"/>
        <v>#DIV/0!</v>
      </c>
      <c r="AA627" s="38"/>
      <c r="AB627" s="38" t="e">
        <f t="shared" si="76"/>
        <v>#DIV/0!</v>
      </c>
      <c r="AC627" s="38" t="e">
        <f>U627/AR627</f>
        <v>#DIV/0!</v>
      </c>
      <c r="AD627" s="38" t="e">
        <f t="shared" si="78"/>
        <v>#DIV/0!</v>
      </c>
      <c r="AE627" s="33">
        <v>45566</v>
      </c>
      <c r="AF627" s="33"/>
      <c r="AG627" s="33"/>
      <c r="AH627" s="33"/>
      <c r="AI627" s="33"/>
      <c r="AJ627" s="42"/>
      <c r="AK627" s="37"/>
      <c r="AL627" s="37"/>
      <c r="AM627" s="37"/>
      <c r="AN627" s="37"/>
      <c r="AO627" s="43"/>
      <c r="AP627" s="35"/>
      <c r="AQ627" s="35"/>
      <c r="AR627" s="44"/>
      <c r="AS627" s="37"/>
    </row>
    <row r="628" spans="1:45" ht="48" customHeight="1" x14ac:dyDescent="0.25">
      <c r="A628" s="32" t="s">
        <v>3292</v>
      </c>
      <c r="B628" s="56">
        <v>45392</v>
      </c>
      <c r="C628" s="35" t="s">
        <v>2642</v>
      </c>
      <c r="D628" s="36"/>
      <c r="E628" s="37"/>
      <c r="F628" s="33"/>
      <c r="G628" s="35"/>
      <c r="H628" s="37"/>
      <c r="I628" s="58" t="s">
        <v>1763</v>
      </c>
      <c r="J628" s="57">
        <v>1229150.6399999999</v>
      </c>
      <c r="K628" s="40">
        <f>((J628-M628)/J628)*100</f>
        <v>100</v>
      </c>
      <c r="L628" s="41">
        <f>J628-M628</f>
        <v>1229150.6399999999</v>
      </c>
      <c r="M628" s="38"/>
      <c r="N628" s="41">
        <f>J628-O628</f>
        <v>1229150.6399999999</v>
      </c>
      <c r="O628" s="38">
        <v>0</v>
      </c>
      <c r="P628" s="27">
        <f t="shared" si="79"/>
        <v>0</v>
      </c>
      <c r="Q628" s="27">
        <f t="shared" si="79"/>
        <v>0</v>
      </c>
      <c r="R628" s="27" t="e">
        <f>Q628/U628</f>
        <v>#DIV/0!</v>
      </c>
      <c r="S628" s="38" t="e">
        <f>Q628/U628</f>
        <v>#DIV/0!</v>
      </c>
      <c r="T628" s="38" t="e">
        <f>S628*AR628</f>
        <v>#DIV/0!</v>
      </c>
      <c r="U628" s="38">
        <f t="shared" si="77"/>
        <v>0</v>
      </c>
      <c r="V628" s="38">
        <v>0</v>
      </c>
      <c r="W628" s="38">
        <v>0</v>
      </c>
      <c r="X628" s="38">
        <v>0</v>
      </c>
      <c r="Y628" s="38"/>
      <c r="Z628" s="38" t="e">
        <f t="shared" si="75"/>
        <v>#DIV/0!</v>
      </c>
      <c r="AA628" s="38"/>
      <c r="AB628" s="38" t="e">
        <f t="shared" si="76"/>
        <v>#DIV/0!</v>
      </c>
      <c r="AC628" s="38" t="e">
        <f>U628/AR628</f>
        <v>#DIV/0!</v>
      </c>
      <c r="AD628" s="38" t="e">
        <f t="shared" si="78"/>
        <v>#DIV/0!</v>
      </c>
      <c r="AE628" s="33">
        <v>45458</v>
      </c>
      <c r="AF628" s="33"/>
      <c r="AG628" s="33"/>
      <c r="AH628" s="33"/>
      <c r="AI628" s="33"/>
      <c r="AJ628" s="42"/>
      <c r="AK628" s="37"/>
      <c r="AL628" s="37"/>
      <c r="AM628" s="37"/>
      <c r="AN628" s="37"/>
      <c r="AO628" s="43"/>
      <c r="AP628" s="35"/>
      <c r="AQ628" s="35"/>
      <c r="AR628" s="44"/>
      <c r="AS628" s="37"/>
    </row>
    <row r="629" spans="1:45" ht="48" customHeight="1" x14ac:dyDescent="0.25">
      <c r="A629" s="32" t="s">
        <v>3293</v>
      </c>
      <c r="B629" s="56">
        <v>45392</v>
      </c>
      <c r="C629" s="35">
        <v>1512</v>
      </c>
      <c r="D629" s="36"/>
      <c r="E629" s="37"/>
      <c r="F629" s="33"/>
      <c r="G629" s="35"/>
      <c r="H629" s="37"/>
      <c r="I629" s="58" t="s">
        <v>1741</v>
      </c>
      <c r="J629" s="57">
        <v>7273779.7000000002</v>
      </c>
      <c r="K629" s="40">
        <f>((J629-M629)/J629)*100</f>
        <v>100</v>
      </c>
      <c r="L629" s="41">
        <f>J629-M629</f>
        <v>7273779.7000000002</v>
      </c>
      <c r="M629" s="38"/>
      <c r="N629" s="41">
        <f>J629-O629</f>
        <v>7273779.7000000002</v>
      </c>
      <c r="O629" s="38">
        <v>0</v>
      </c>
      <c r="P629" s="27">
        <f t="shared" si="79"/>
        <v>0</v>
      </c>
      <c r="Q629" s="27">
        <f t="shared" si="79"/>
        <v>0</v>
      </c>
      <c r="R629" s="27" t="e">
        <f>Q629/U629</f>
        <v>#DIV/0!</v>
      </c>
      <c r="S629" s="38" t="e">
        <f>Q629/U629</f>
        <v>#DIV/0!</v>
      </c>
      <c r="T629" s="38" t="e">
        <f>S629*AR629</f>
        <v>#DIV/0!</v>
      </c>
      <c r="U629" s="38">
        <f t="shared" si="77"/>
        <v>0</v>
      </c>
      <c r="V629" s="38">
        <v>0</v>
      </c>
      <c r="W629" s="38">
        <v>0</v>
      </c>
      <c r="X629" s="38">
        <v>0</v>
      </c>
      <c r="Y629" s="38"/>
      <c r="Z629" s="38" t="e">
        <f t="shared" si="75"/>
        <v>#DIV/0!</v>
      </c>
      <c r="AA629" s="38"/>
      <c r="AB629" s="38" t="e">
        <f t="shared" si="76"/>
        <v>#DIV/0!</v>
      </c>
      <c r="AC629" s="38" t="e">
        <f>U629/AR629</f>
        <v>#DIV/0!</v>
      </c>
      <c r="AD629" s="38" t="e">
        <f t="shared" si="78"/>
        <v>#DIV/0!</v>
      </c>
      <c r="AE629" s="33">
        <v>45566</v>
      </c>
      <c r="AF629" s="33"/>
      <c r="AG629" s="33"/>
      <c r="AH629" s="33"/>
      <c r="AI629" s="33"/>
      <c r="AJ629" s="42"/>
      <c r="AK629" s="37"/>
      <c r="AL629" s="37"/>
      <c r="AM629" s="37"/>
      <c r="AN629" s="37"/>
      <c r="AO629" s="43"/>
      <c r="AP629" s="35"/>
      <c r="AQ629" s="35"/>
      <c r="AR629" s="44"/>
      <c r="AS629" s="37"/>
    </row>
    <row r="630" spans="1:45" ht="48" customHeight="1" x14ac:dyDescent="0.25">
      <c r="A630" s="32" t="s">
        <v>3294</v>
      </c>
      <c r="B630" s="56">
        <v>45391</v>
      </c>
      <c r="C630" s="35">
        <v>545</v>
      </c>
      <c r="D630" s="36"/>
      <c r="E630" s="37"/>
      <c r="F630" s="33"/>
      <c r="G630" s="35"/>
      <c r="H630" s="37"/>
      <c r="I630" s="58" t="s">
        <v>3296</v>
      </c>
      <c r="J630" s="57">
        <v>49703306.399999999</v>
      </c>
      <c r="K630" s="40">
        <f>((J630-M630)/J630)*100</f>
        <v>100</v>
      </c>
      <c r="L630" s="41">
        <f>J630-M630</f>
        <v>49703306.399999999</v>
      </c>
      <c r="M630" s="38"/>
      <c r="N630" s="41">
        <f>J630-O630</f>
        <v>49703306.399999999</v>
      </c>
      <c r="O630" s="38">
        <v>0</v>
      </c>
      <c r="P630" s="27">
        <f t="shared" si="79"/>
        <v>0</v>
      </c>
      <c r="Q630" s="27">
        <f t="shared" si="79"/>
        <v>0</v>
      </c>
      <c r="R630" s="27" t="e">
        <f>Q630/U630</f>
        <v>#DIV/0!</v>
      </c>
      <c r="S630" s="38" t="e">
        <f>Q630/U630</f>
        <v>#DIV/0!</v>
      </c>
      <c r="T630" s="38" t="e">
        <f>S630*AR630</f>
        <v>#DIV/0!</v>
      </c>
      <c r="U630" s="38">
        <f t="shared" si="77"/>
        <v>0</v>
      </c>
      <c r="V630" s="38">
        <v>0</v>
      </c>
      <c r="W630" s="38">
        <v>0</v>
      </c>
      <c r="X630" s="38">
        <v>0</v>
      </c>
      <c r="Y630" s="38"/>
      <c r="Z630" s="38" t="e">
        <f t="shared" si="75"/>
        <v>#DIV/0!</v>
      </c>
      <c r="AA630" s="38"/>
      <c r="AB630" s="38" t="e">
        <f t="shared" si="76"/>
        <v>#DIV/0!</v>
      </c>
      <c r="AC630" s="38" t="e">
        <f>U630/AR630</f>
        <v>#DIV/0!</v>
      </c>
      <c r="AD630" s="38" t="e">
        <f t="shared" si="78"/>
        <v>#DIV/0!</v>
      </c>
      <c r="AE630" s="33">
        <v>45432</v>
      </c>
      <c r="AF630" s="33"/>
      <c r="AG630" s="33"/>
      <c r="AH630" s="33"/>
      <c r="AI630" s="33"/>
      <c r="AJ630" s="42"/>
      <c r="AK630" s="37"/>
      <c r="AL630" s="37"/>
      <c r="AM630" s="37"/>
      <c r="AN630" s="37"/>
      <c r="AO630" s="43"/>
      <c r="AP630" s="35"/>
      <c r="AQ630" s="35"/>
      <c r="AR630" s="44"/>
      <c r="AS630" s="37"/>
    </row>
    <row r="631" spans="1:45" ht="48" customHeight="1" x14ac:dyDescent="0.25">
      <c r="A631" s="32" t="s">
        <v>3295</v>
      </c>
      <c r="B631" s="56">
        <v>45392</v>
      </c>
      <c r="C631" s="35" t="s">
        <v>2642</v>
      </c>
      <c r="D631" s="36"/>
      <c r="E631" s="37"/>
      <c r="F631" s="33"/>
      <c r="G631" s="35"/>
      <c r="H631" s="37"/>
      <c r="I631" s="58" t="s">
        <v>1713</v>
      </c>
      <c r="J631" s="57">
        <v>2529148.6</v>
      </c>
      <c r="K631" s="40">
        <f>((J631-M631)/J631)*100</f>
        <v>100</v>
      </c>
      <c r="L631" s="41">
        <f>J631-M631</f>
        <v>2529148.6</v>
      </c>
      <c r="M631" s="38"/>
      <c r="N631" s="41">
        <f>J631-O631</f>
        <v>2529148.6</v>
      </c>
      <c r="O631" s="38">
        <v>0</v>
      </c>
      <c r="P631" s="27">
        <f t="shared" si="79"/>
        <v>0</v>
      </c>
      <c r="Q631" s="27">
        <f t="shared" si="79"/>
        <v>0</v>
      </c>
      <c r="R631" s="27" t="e">
        <f>Q631/U631</f>
        <v>#DIV/0!</v>
      </c>
      <c r="S631" s="38" t="e">
        <f>Q631/U631</f>
        <v>#DIV/0!</v>
      </c>
      <c r="T631" s="38" t="e">
        <f>S631*AR631</f>
        <v>#DIV/0!</v>
      </c>
      <c r="U631" s="38">
        <f t="shared" si="77"/>
        <v>0</v>
      </c>
      <c r="V631" s="38">
        <v>0</v>
      </c>
      <c r="W631" s="38">
        <v>0</v>
      </c>
      <c r="X631" s="38">
        <v>0</v>
      </c>
      <c r="Y631" s="38"/>
      <c r="Z631" s="38" t="e">
        <f t="shared" si="75"/>
        <v>#DIV/0!</v>
      </c>
      <c r="AA631" s="38"/>
      <c r="AB631" s="38" t="e">
        <f t="shared" si="76"/>
        <v>#DIV/0!</v>
      </c>
      <c r="AC631" s="38" t="e">
        <f>U631/AR631</f>
        <v>#DIV/0!</v>
      </c>
      <c r="AD631" s="38" t="e">
        <f t="shared" si="78"/>
        <v>#DIV/0!</v>
      </c>
      <c r="AE631" s="33">
        <v>45566</v>
      </c>
      <c r="AF631" s="33"/>
      <c r="AG631" s="33"/>
      <c r="AH631" s="33"/>
      <c r="AI631" s="33"/>
      <c r="AJ631" s="42"/>
      <c r="AK631" s="37"/>
      <c r="AL631" s="37"/>
      <c r="AM631" s="37"/>
      <c r="AN631" s="37"/>
      <c r="AO631" s="43"/>
      <c r="AP631" s="35"/>
      <c r="AQ631" s="35"/>
      <c r="AR631" s="44"/>
      <c r="AS631" s="37"/>
    </row>
    <row r="632" spans="1:45" ht="48" customHeight="1" x14ac:dyDescent="0.25">
      <c r="A632" s="32" t="s">
        <v>3297</v>
      </c>
      <c r="B632" s="56">
        <v>45392</v>
      </c>
      <c r="C632" s="35" t="s">
        <v>2642</v>
      </c>
      <c r="D632" s="36"/>
      <c r="E632" s="37"/>
      <c r="F632" s="33"/>
      <c r="G632" s="35"/>
      <c r="H632" s="37"/>
      <c r="I632" s="58" t="s">
        <v>1758</v>
      </c>
      <c r="J632" s="57">
        <v>52945.2</v>
      </c>
      <c r="K632" s="40">
        <f>((J632-M632)/J632)*100</f>
        <v>100</v>
      </c>
      <c r="L632" s="41">
        <f>J632-M632</f>
        <v>52945.2</v>
      </c>
      <c r="M632" s="38"/>
      <c r="N632" s="41">
        <f>J632-O632</f>
        <v>52945.2</v>
      </c>
      <c r="O632" s="38">
        <v>0</v>
      </c>
      <c r="P632" s="27">
        <f t="shared" si="79"/>
        <v>0</v>
      </c>
      <c r="Q632" s="27">
        <f t="shared" si="79"/>
        <v>0</v>
      </c>
      <c r="R632" s="27" t="e">
        <f>Q632/U632</f>
        <v>#DIV/0!</v>
      </c>
      <c r="S632" s="38" t="e">
        <f>Q632/U632</f>
        <v>#DIV/0!</v>
      </c>
      <c r="T632" s="38" t="e">
        <f>S632*AR632</f>
        <v>#DIV/0!</v>
      </c>
      <c r="U632" s="38">
        <f t="shared" si="77"/>
        <v>0</v>
      </c>
      <c r="V632" s="38">
        <v>0</v>
      </c>
      <c r="W632" s="38">
        <v>0</v>
      </c>
      <c r="X632" s="38">
        <v>0</v>
      </c>
      <c r="Y632" s="38"/>
      <c r="Z632" s="38" t="e">
        <f t="shared" si="75"/>
        <v>#DIV/0!</v>
      </c>
      <c r="AA632" s="38"/>
      <c r="AB632" s="38" t="e">
        <f t="shared" si="76"/>
        <v>#DIV/0!</v>
      </c>
      <c r="AC632" s="38" t="e">
        <f>U632/AR632</f>
        <v>#DIV/0!</v>
      </c>
      <c r="AD632" s="38" t="e">
        <f t="shared" si="78"/>
        <v>#DIV/0!</v>
      </c>
      <c r="AE632" s="33">
        <v>45566</v>
      </c>
      <c r="AF632" s="33"/>
      <c r="AG632" s="33"/>
      <c r="AH632" s="33"/>
      <c r="AI632" s="33"/>
      <c r="AJ632" s="42"/>
      <c r="AK632" s="37"/>
      <c r="AL632" s="37"/>
      <c r="AM632" s="37"/>
      <c r="AN632" s="37"/>
      <c r="AO632" s="43"/>
      <c r="AP632" s="35"/>
      <c r="AQ632" s="35"/>
      <c r="AR632" s="44"/>
      <c r="AS632" s="37"/>
    </row>
    <row r="633" spans="1:45" ht="48" customHeight="1" x14ac:dyDescent="0.25">
      <c r="A633" s="32" t="s">
        <v>3298</v>
      </c>
      <c r="B633" s="56">
        <v>45392</v>
      </c>
      <c r="C633" s="35">
        <v>1512</v>
      </c>
      <c r="D633" s="36"/>
      <c r="E633" s="37"/>
      <c r="F633" s="33"/>
      <c r="G633" s="35"/>
      <c r="H633" s="37"/>
      <c r="I633" s="59" t="s">
        <v>1940</v>
      </c>
      <c r="J633" s="57">
        <v>1648366231.23</v>
      </c>
      <c r="K633" s="40">
        <f>((J633-M633)/J633)*100</f>
        <v>100</v>
      </c>
      <c r="L633" s="41">
        <f>J633-M633</f>
        <v>1648366231.23</v>
      </c>
      <c r="M633" s="38"/>
      <c r="N633" s="41">
        <f>J633-O633</f>
        <v>1648366231.23</v>
      </c>
      <c r="O633" s="38">
        <v>0</v>
      </c>
      <c r="P633" s="27">
        <f t="shared" si="79"/>
        <v>0</v>
      </c>
      <c r="Q633" s="27">
        <f t="shared" si="79"/>
        <v>0</v>
      </c>
      <c r="R633" s="27" t="e">
        <f>Q633/U633</f>
        <v>#DIV/0!</v>
      </c>
      <c r="S633" s="38" t="e">
        <f>Q633/U633</f>
        <v>#DIV/0!</v>
      </c>
      <c r="T633" s="38" t="e">
        <f>S633*AR633</f>
        <v>#DIV/0!</v>
      </c>
      <c r="U633" s="38">
        <f t="shared" si="77"/>
        <v>0</v>
      </c>
      <c r="V633" s="38">
        <v>0</v>
      </c>
      <c r="W633" s="38">
        <v>0</v>
      </c>
      <c r="X633" s="38">
        <v>0</v>
      </c>
      <c r="Y633" s="38"/>
      <c r="Z633" s="38" t="e">
        <f t="shared" si="75"/>
        <v>#DIV/0!</v>
      </c>
      <c r="AA633" s="38"/>
      <c r="AB633" s="38" t="e">
        <f t="shared" si="76"/>
        <v>#DIV/0!</v>
      </c>
      <c r="AC633" s="38" t="e">
        <f>U633/AR633</f>
        <v>#DIV/0!</v>
      </c>
      <c r="AD633" s="38" t="e">
        <f t="shared" si="78"/>
        <v>#DIV/0!</v>
      </c>
      <c r="AE633" s="33">
        <v>45566</v>
      </c>
      <c r="AF633" s="33"/>
      <c r="AG633" s="33"/>
      <c r="AH633" s="33"/>
      <c r="AI633" s="33"/>
      <c r="AJ633" s="42"/>
      <c r="AK633" s="37"/>
      <c r="AL633" s="37"/>
      <c r="AM633" s="37"/>
      <c r="AN633" s="37"/>
      <c r="AO633" s="43"/>
      <c r="AP633" s="35"/>
      <c r="AQ633" s="35"/>
      <c r="AR633" s="44"/>
      <c r="AS633" s="37"/>
    </row>
    <row r="634" spans="1:45" ht="48" customHeight="1" x14ac:dyDescent="0.25">
      <c r="A634" s="32" t="s">
        <v>3299</v>
      </c>
      <c r="B634" s="56">
        <v>45392</v>
      </c>
      <c r="C634" s="35">
        <v>1512</v>
      </c>
      <c r="D634" s="36"/>
      <c r="E634" s="37"/>
      <c r="F634" s="33"/>
      <c r="G634" s="35"/>
      <c r="H634" s="37"/>
      <c r="I634" s="58" t="s">
        <v>1615</v>
      </c>
      <c r="J634" s="57">
        <v>77670432.5</v>
      </c>
      <c r="K634" s="40">
        <f>((J634-M634)/J634)*100</f>
        <v>100</v>
      </c>
      <c r="L634" s="41">
        <f>J634-M634</f>
        <v>77670432.5</v>
      </c>
      <c r="M634" s="38"/>
      <c r="N634" s="41">
        <f>J634-O634</f>
        <v>77670432.5</v>
      </c>
      <c r="O634" s="38">
        <v>0</v>
      </c>
      <c r="P634" s="27">
        <f t="shared" si="79"/>
        <v>0</v>
      </c>
      <c r="Q634" s="27">
        <f t="shared" si="79"/>
        <v>0</v>
      </c>
      <c r="R634" s="27" t="e">
        <f>Q634/U634</f>
        <v>#DIV/0!</v>
      </c>
      <c r="S634" s="38" t="e">
        <f>Q634/U634</f>
        <v>#DIV/0!</v>
      </c>
      <c r="T634" s="38" t="e">
        <f>S634*AR634</f>
        <v>#DIV/0!</v>
      </c>
      <c r="U634" s="38">
        <f t="shared" si="77"/>
        <v>0</v>
      </c>
      <c r="V634" s="38">
        <v>0</v>
      </c>
      <c r="W634" s="38">
        <v>0</v>
      </c>
      <c r="X634" s="38">
        <v>0</v>
      </c>
      <c r="Y634" s="38"/>
      <c r="Z634" s="38" t="e">
        <f t="shared" si="75"/>
        <v>#DIV/0!</v>
      </c>
      <c r="AA634" s="38"/>
      <c r="AB634" s="38" t="e">
        <f t="shared" si="76"/>
        <v>#DIV/0!</v>
      </c>
      <c r="AC634" s="38" t="e">
        <f>U634/AR634</f>
        <v>#DIV/0!</v>
      </c>
      <c r="AD634" s="38" t="e">
        <f t="shared" si="78"/>
        <v>#DIV/0!</v>
      </c>
      <c r="AE634" s="33">
        <v>45566</v>
      </c>
      <c r="AF634" s="33"/>
      <c r="AG634" s="33"/>
      <c r="AH634" s="33"/>
      <c r="AI634" s="33"/>
      <c r="AJ634" s="42"/>
      <c r="AK634" s="37"/>
      <c r="AL634" s="37"/>
      <c r="AM634" s="37"/>
      <c r="AN634" s="37"/>
      <c r="AO634" s="43"/>
      <c r="AP634" s="35"/>
      <c r="AQ634" s="35"/>
      <c r="AR634" s="44"/>
      <c r="AS634" s="37"/>
    </row>
    <row r="635" spans="1:45" ht="48" customHeight="1" x14ac:dyDescent="0.25">
      <c r="A635" s="32" t="s">
        <v>3300</v>
      </c>
      <c r="B635" s="56">
        <v>45392</v>
      </c>
      <c r="C635" s="35">
        <v>1688</v>
      </c>
      <c r="D635" s="36"/>
      <c r="E635" s="37"/>
      <c r="F635" s="33"/>
      <c r="G635" s="35"/>
      <c r="H635" s="37"/>
      <c r="I635" s="58" t="s">
        <v>3302</v>
      </c>
      <c r="J635" s="57">
        <v>4244510.4000000004</v>
      </c>
      <c r="K635" s="40">
        <f>((J635-M635)/J635)*100</f>
        <v>100</v>
      </c>
      <c r="L635" s="41">
        <f>J635-M635</f>
        <v>4244510.4000000004</v>
      </c>
      <c r="M635" s="38"/>
      <c r="N635" s="41">
        <f>J635-O635</f>
        <v>4244510.4000000004</v>
      </c>
      <c r="O635" s="38">
        <v>0</v>
      </c>
      <c r="P635" s="27">
        <f t="shared" si="79"/>
        <v>0</v>
      </c>
      <c r="Q635" s="27">
        <f t="shared" si="79"/>
        <v>0</v>
      </c>
      <c r="R635" s="27" t="e">
        <f>Q635/U635</f>
        <v>#DIV/0!</v>
      </c>
      <c r="S635" s="38" t="e">
        <f>Q635/U635</f>
        <v>#DIV/0!</v>
      </c>
      <c r="T635" s="38" t="e">
        <f>S635*AR635</f>
        <v>#DIV/0!</v>
      </c>
      <c r="U635" s="38">
        <f t="shared" si="77"/>
        <v>0</v>
      </c>
      <c r="V635" s="38">
        <v>0</v>
      </c>
      <c r="W635" s="38">
        <v>0</v>
      </c>
      <c r="X635" s="38">
        <v>0</v>
      </c>
      <c r="Y635" s="38"/>
      <c r="Z635" s="38" t="e">
        <f t="shared" si="75"/>
        <v>#DIV/0!</v>
      </c>
      <c r="AA635" s="38"/>
      <c r="AB635" s="38" t="e">
        <f t="shared" si="76"/>
        <v>#DIV/0!</v>
      </c>
      <c r="AC635" s="38" t="e">
        <f>U635/AR635</f>
        <v>#DIV/0!</v>
      </c>
      <c r="AD635" s="38" t="e">
        <f t="shared" si="78"/>
        <v>#DIV/0!</v>
      </c>
      <c r="AE635" s="33">
        <v>45458</v>
      </c>
      <c r="AF635" s="33"/>
      <c r="AG635" s="33"/>
      <c r="AH635" s="33"/>
      <c r="AI635" s="33"/>
      <c r="AJ635" s="42"/>
      <c r="AK635" s="37"/>
      <c r="AL635" s="37"/>
      <c r="AM635" s="37"/>
      <c r="AN635" s="37"/>
      <c r="AO635" s="43"/>
      <c r="AP635" s="35"/>
      <c r="AQ635" s="35"/>
      <c r="AR635" s="44"/>
      <c r="AS635" s="37"/>
    </row>
    <row r="636" spans="1:45" ht="48" customHeight="1" x14ac:dyDescent="0.25">
      <c r="A636" s="32" t="s">
        <v>3301</v>
      </c>
      <c r="B636" s="56">
        <v>45392</v>
      </c>
      <c r="C636" s="35" t="s">
        <v>2642</v>
      </c>
      <c r="D636" s="36"/>
      <c r="E636" s="37"/>
      <c r="F636" s="33"/>
      <c r="G636" s="35"/>
      <c r="H636" s="37"/>
      <c r="I636" s="58" t="s">
        <v>1733</v>
      </c>
      <c r="J636" s="57">
        <v>8647899</v>
      </c>
      <c r="K636" s="40">
        <f>((J636-M636)/J636)*100</f>
        <v>100</v>
      </c>
      <c r="L636" s="41">
        <f>J636-M636</f>
        <v>8647899</v>
      </c>
      <c r="M636" s="38"/>
      <c r="N636" s="41">
        <f>J636-O636</f>
        <v>8647899</v>
      </c>
      <c r="O636" s="38">
        <v>0</v>
      </c>
      <c r="P636" s="27">
        <f t="shared" si="79"/>
        <v>0</v>
      </c>
      <c r="Q636" s="27">
        <f t="shared" si="79"/>
        <v>0</v>
      </c>
      <c r="R636" s="27" t="e">
        <f>Q636/U636</f>
        <v>#DIV/0!</v>
      </c>
      <c r="S636" s="38" t="e">
        <f>Q636/U636</f>
        <v>#DIV/0!</v>
      </c>
      <c r="T636" s="38" t="e">
        <f>S636*AR636</f>
        <v>#DIV/0!</v>
      </c>
      <c r="U636" s="38">
        <f t="shared" si="77"/>
        <v>0</v>
      </c>
      <c r="V636" s="38">
        <v>0</v>
      </c>
      <c r="W636" s="38">
        <v>0</v>
      </c>
      <c r="X636" s="38">
        <v>0</v>
      </c>
      <c r="Y636" s="38"/>
      <c r="Z636" s="38" t="e">
        <f t="shared" si="75"/>
        <v>#DIV/0!</v>
      </c>
      <c r="AA636" s="38"/>
      <c r="AB636" s="38" t="e">
        <f t="shared" si="76"/>
        <v>#DIV/0!</v>
      </c>
      <c r="AC636" s="38" t="e">
        <f>U636/AR636</f>
        <v>#DIV/0!</v>
      </c>
      <c r="AD636" s="38" t="e">
        <f t="shared" si="78"/>
        <v>#DIV/0!</v>
      </c>
      <c r="AE636" s="33">
        <v>45458</v>
      </c>
      <c r="AF636" s="33"/>
      <c r="AG636" s="33"/>
      <c r="AH636" s="33"/>
      <c r="AI636" s="33"/>
      <c r="AJ636" s="42"/>
      <c r="AK636" s="37"/>
      <c r="AL636" s="37"/>
      <c r="AM636" s="37"/>
      <c r="AN636" s="37"/>
      <c r="AO636" s="43"/>
      <c r="AP636" s="35"/>
      <c r="AQ636" s="35"/>
      <c r="AR636" s="44"/>
      <c r="AS636" s="37"/>
    </row>
    <row r="637" spans="1:45" ht="48" customHeight="1" x14ac:dyDescent="0.25">
      <c r="A637" s="32" t="s">
        <v>3303</v>
      </c>
      <c r="B637" s="56">
        <v>45392</v>
      </c>
      <c r="C637" s="35">
        <v>1512</v>
      </c>
      <c r="D637" s="36"/>
      <c r="E637" s="37"/>
      <c r="F637" s="33"/>
      <c r="G637" s="35"/>
      <c r="H637" s="37"/>
      <c r="I637" s="59" t="s">
        <v>1940</v>
      </c>
      <c r="J637" s="57">
        <v>17592260.699999999</v>
      </c>
      <c r="K637" s="40">
        <f>((J637-M637)/J637)*100</f>
        <v>100</v>
      </c>
      <c r="L637" s="41">
        <f>J637-M637</f>
        <v>17592260.699999999</v>
      </c>
      <c r="M637" s="38"/>
      <c r="N637" s="41">
        <f>J637-O637</f>
        <v>17592260.699999999</v>
      </c>
      <c r="O637" s="38">
        <v>0</v>
      </c>
      <c r="P637" s="27">
        <f t="shared" si="79"/>
        <v>0</v>
      </c>
      <c r="Q637" s="27">
        <f t="shared" si="79"/>
        <v>0</v>
      </c>
      <c r="R637" s="27" t="e">
        <f>Q637/U637</f>
        <v>#DIV/0!</v>
      </c>
      <c r="S637" s="38" t="e">
        <f>Q637/U637</f>
        <v>#DIV/0!</v>
      </c>
      <c r="T637" s="38" t="e">
        <f>S637*AR637</f>
        <v>#DIV/0!</v>
      </c>
      <c r="U637" s="38">
        <f t="shared" si="77"/>
        <v>0</v>
      </c>
      <c r="V637" s="38">
        <v>0</v>
      </c>
      <c r="W637" s="38">
        <v>0</v>
      </c>
      <c r="X637" s="38">
        <v>0</v>
      </c>
      <c r="Y637" s="38"/>
      <c r="Z637" s="38" t="e">
        <f t="shared" si="75"/>
        <v>#DIV/0!</v>
      </c>
      <c r="AA637" s="38"/>
      <c r="AB637" s="38" t="e">
        <f t="shared" si="76"/>
        <v>#DIV/0!</v>
      </c>
      <c r="AC637" s="38" t="e">
        <f>U637/AR637</f>
        <v>#DIV/0!</v>
      </c>
      <c r="AD637" s="38" t="e">
        <f t="shared" si="78"/>
        <v>#DIV/0!</v>
      </c>
      <c r="AE637" s="33">
        <v>45566</v>
      </c>
      <c r="AF637" s="33"/>
      <c r="AG637" s="33"/>
      <c r="AH637" s="33"/>
      <c r="AI637" s="33"/>
      <c r="AJ637" s="42"/>
      <c r="AK637" s="37"/>
      <c r="AL637" s="37"/>
      <c r="AM637" s="37"/>
      <c r="AN637" s="37"/>
      <c r="AO637" s="43"/>
      <c r="AP637" s="35"/>
      <c r="AQ637" s="35"/>
      <c r="AR637" s="44"/>
      <c r="AS637" s="37"/>
    </row>
    <row r="638" spans="1:45" ht="48" customHeight="1" x14ac:dyDescent="0.25">
      <c r="A638" s="32" t="s">
        <v>3304</v>
      </c>
      <c r="B638" s="56">
        <v>45392</v>
      </c>
      <c r="C638" s="35">
        <v>1416</v>
      </c>
      <c r="D638" s="36"/>
      <c r="E638" s="37"/>
      <c r="F638" s="33"/>
      <c r="G638" s="35"/>
      <c r="H638" s="37"/>
      <c r="I638" s="59" t="s">
        <v>3306</v>
      </c>
      <c r="J638" s="57">
        <v>28214993.25</v>
      </c>
      <c r="K638" s="40">
        <f>((J638-M638)/J638)*100</f>
        <v>100</v>
      </c>
      <c r="L638" s="41">
        <f>J638-M638</f>
        <v>28214993.25</v>
      </c>
      <c r="M638" s="38"/>
      <c r="N638" s="41">
        <f>J638-O638</f>
        <v>28214993.25</v>
      </c>
      <c r="O638" s="38">
        <v>0</v>
      </c>
      <c r="P638" s="27">
        <f t="shared" si="79"/>
        <v>0</v>
      </c>
      <c r="Q638" s="27">
        <f t="shared" si="79"/>
        <v>0</v>
      </c>
      <c r="R638" s="27" t="e">
        <f>Q638/U638</f>
        <v>#DIV/0!</v>
      </c>
      <c r="S638" s="38" t="e">
        <f>Q638/U638</f>
        <v>#DIV/0!</v>
      </c>
      <c r="T638" s="38" t="e">
        <f>S638*AR638</f>
        <v>#DIV/0!</v>
      </c>
      <c r="U638" s="38">
        <f t="shared" si="77"/>
        <v>0</v>
      </c>
      <c r="V638" s="38">
        <v>0</v>
      </c>
      <c r="W638" s="38">
        <v>0</v>
      </c>
      <c r="X638" s="38">
        <v>0</v>
      </c>
      <c r="Y638" s="38"/>
      <c r="Z638" s="38" t="e">
        <f t="shared" si="75"/>
        <v>#DIV/0!</v>
      </c>
      <c r="AA638" s="38"/>
      <c r="AB638" s="38" t="e">
        <f t="shared" si="76"/>
        <v>#DIV/0!</v>
      </c>
      <c r="AC638" s="38" t="e">
        <f>U638/AR638</f>
        <v>#DIV/0!</v>
      </c>
      <c r="AD638" s="38" t="e">
        <f t="shared" si="78"/>
        <v>#DIV/0!</v>
      </c>
      <c r="AE638" s="33">
        <v>45488</v>
      </c>
      <c r="AF638" s="33"/>
      <c r="AG638" s="33"/>
      <c r="AH638" s="33"/>
      <c r="AI638" s="33"/>
      <c r="AJ638" s="42"/>
      <c r="AK638" s="37"/>
      <c r="AL638" s="37"/>
      <c r="AM638" s="37"/>
      <c r="AN638" s="37"/>
      <c r="AO638" s="43"/>
      <c r="AP638" s="35"/>
      <c r="AQ638" s="35"/>
      <c r="AR638" s="44"/>
      <c r="AS638" s="37"/>
    </row>
    <row r="639" spans="1:45" ht="48" customHeight="1" x14ac:dyDescent="0.25">
      <c r="A639" s="32" t="s">
        <v>3305</v>
      </c>
      <c r="B639" s="56">
        <v>45392</v>
      </c>
      <c r="C639" s="35">
        <v>545</v>
      </c>
      <c r="D639" s="36"/>
      <c r="E639" s="37"/>
      <c r="F639" s="33"/>
      <c r="G639" s="35"/>
      <c r="H639" s="37"/>
      <c r="I639" s="58" t="s">
        <v>2868</v>
      </c>
      <c r="J639" s="57">
        <v>18263718</v>
      </c>
      <c r="K639" s="40">
        <f>((J639-M639)/J639)*100</f>
        <v>100</v>
      </c>
      <c r="L639" s="41">
        <f>J639-M639</f>
        <v>18263718</v>
      </c>
      <c r="M639" s="38"/>
      <c r="N639" s="41">
        <f>J639-O639</f>
        <v>18263718</v>
      </c>
      <c r="O639" s="38">
        <v>0</v>
      </c>
      <c r="P639" s="27">
        <f t="shared" si="79"/>
        <v>0</v>
      </c>
      <c r="Q639" s="27">
        <f t="shared" si="79"/>
        <v>0</v>
      </c>
      <c r="R639" s="27" t="e">
        <f>Q639/U639</f>
        <v>#DIV/0!</v>
      </c>
      <c r="S639" s="38" t="e">
        <f>Q639/U639</f>
        <v>#DIV/0!</v>
      </c>
      <c r="T639" s="38" t="e">
        <f>S639*AR639</f>
        <v>#DIV/0!</v>
      </c>
      <c r="U639" s="38">
        <f t="shared" si="77"/>
        <v>0</v>
      </c>
      <c r="V639" s="38">
        <v>0</v>
      </c>
      <c r="W639" s="38">
        <v>0</v>
      </c>
      <c r="X639" s="38">
        <v>0</v>
      </c>
      <c r="Y639" s="38"/>
      <c r="Z639" s="38" t="e">
        <f t="shared" si="75"/>
        <v>#DIV/0!</v>
      </c>
      <c r="AA639" s="38"/>
      <c r="AB639" s="38" t="e">
        <f t="shared" si="76"/>
        <v>#DIV/0!</v>
      </c>
      <c r="AC639" s="38" t="e">
        <f>U639/AR639</f>
        <v>#DIV/0!</v>
      </c>
      <c r="AD639" s="38" t="e">
        <f t="shared" si="78"/>
        <v>#DIV/0!</v>
      </c>
      <c r="AE639" s="33">
        <v>45505</v>
      </c>
      <c r="AF639" s="33"/>
      <c r="AG639" s="33"/>
      <c r="AH639" s="33"/>
      <c r="AI639" s="33"/>
      <c r="AJ639" s="42"/>
      <c r="AK639" s="37"/>
      <c r="AL639" s="37"/>
      <c r="AM639" s="37"/>
      <c r="AN639" s="37"/>
      <c r="AO639" s="43"/>
      <c r="AP639" s="35"/>
      <c r="AQ639" s="35"/>
      <c r="AR639" s="44"/>
      <c r="AS639" s="37"/>
    </row>
    <row r="640" spans="1:45" ht="48" customHeight="1" x14ac:dyDescent="0.25">
      <c r="A640" s="32" t="s">
        <v>3307</v>
      </c>
      <c r="B640" s="56">
        <v>45392</v>
      </c>
      <c r="C640" s="35">
        <v>1416</v>
      </c>
      <c r="D640" s="36"/>
      <c r="E640" s="37"/>
      <c r="F640" s="33"/>
      <c r="G640" s="35"/>
      <c r="H640" s="37"/>
      <c r="I640" s="58" t="s">
        <v>3309</v>
      </c>
      <c r="J640" s="57">
        <v>26765560</v>
      </c>
      <c r="K640" s="40">
        <f>((J640-M640)/J640)*100</f>
        <v>100</v>
      </c>
      <c r="L640" s="41">
        <f>J640-M640</f>
        <v>26765560</v>
      </c>
      <c r="M640" s="38"/>
      <c r="N640" s="41">
        <f>J640-O640</f>
        <v>26765560</v>
      </c>
      <c r="O640" s="38">
        <v>0</v>
      </c>
      <c r="P640" s="27">
        <f t="shared" si="79"/>
        <v>0</v>
      </c>
      <c r="Q640" s="27">
        <f t="shared" si="79"/>
        <v>0</v>
      </c>
      <c r="R640" s="27" t="e">
        <f>Q640/U640</f>
        <v>#DIV/0!</v>
      </c>
      <c r="S640" s="38" t="e">
        <f>Q640/U640</f>
        <v>#DIV/0!</v>
      </c>
      <c r="T640" s="38" t="e">
        <f>S640*AR640</f>
        <v>#DIV/0!</v>
      </c>
      <c r="U640" s="38">
        <f t="shared" si="77"/>
        <v>0</v>
      </c>
      <c r="V640" s="38">
        <v>0</v>
      </c>
      <c r="W640" s="38">
        <v>0</v>
      </c>
      <c r="X640" s="38">
        <v>0</v>
      </c>
      <c r="Y640" s="38"/>
      <c r="Z640" s="38" t="e">
        <f t="shared" si="75"/>
        <v>#DIV/0!</v>
      </c>
      <c r="AA640" s="38"/>
      <c r="AB640" s="38" t="e">
        <f t="shared" si="76"/>
        <v>#DIV/0!</v>
      </c>
      <c r="AC640" s="38" t="e">
        <f>U640/AR640</f>
        <v>#DIV/0!</v>
      </c>
      <c r="AD640" s="38" t="e">
        <f t="shared" si="78"/>
        <v>#DIV/0!</v>
      </c>
      <c r="AE640" s="33">
        <v>45474</v>
      </c>
      <c r="AF640" s="33"/>
      <c r="AG640" s="33"/>
      <c r="AH640" s="33"/>
      <c r="AI640" s="33"/>
      <c r="AJ640" s="42"/>
      <c r="AK640" s="37"/>
      <c r="AL640" s="37"/>
      <c r="AM640" s="37"/>
      <c r="AN640" s="37"/>
      <c r="AO640" s="43"/>
      <c r="AP640" s="35"/>
      <c r="AQ640" s="35"/>
      <c r="AR640" s="44"/>
      <c r="AS640" s="37"/>
    </row>
    <row r="641" spans="1:45" ht="48" customHeight="1" x14ac:dyDescent="0.25">
      <c r="A641" s="32" t="s">
        <v>3308</v>
      </c>
      <c r="B641" s="56">
        <v>45392</v>
      </c>
      <c r="C641" s="35">
        <v>1416</v>
      </c>
      <c r="D641" s="36"/>
      <c r="E641" s="37"/>
      <c r="F641" s="33"/>
      <c r="G641" s="35"/>
      <c r="H641" s="37"/>
      <c r="I641" s="58" t="s">
        <v>3309</v>
      </c>
      <c r="J641" s="57">
        <v>478647940</v>
      </c>
      <c r="K641" s="40">
        <f>((J641-M641)/J641)*100</f>
        <v>100</v>
      </c>
      <c r="L641" s="41">
        <f>J641-M641</f>
        <v>478647940</v>
      </c>
      <c r="M641" s="38"/>
      <c r="N641" s="41">
        <f>J641-O641</f>
        <v>478647940</v>
      </c>
      <c r="O641" s="38">
        <v>0</v>
      </c>
      <c r="P641" s="27">
        <f t="shared" si="79"/>
        <v>0</v>
      </c>
      <c r="Q641" s="27">
        <f t="shared" si="79"/>
        <v>0</v>
      </c>
      <c r="R641" s="27" t="e">
        <f>Q641/U641</f>
        <v>#DIV/0!</v>
      </c>
      <c r="S641" s="38" t="e">
        <f>Q641/U641</f>
        <v>#DIV/0!</v>
      </c>
      <c r="T641" s="38" t="e">
        <f>S641*AR641</f>
        <v>#DIV/0!</v>
      </c>
      <c r="U641" s="38">
        <f t="shared" si="77"/>
        <v>0</v>
      </c>
      <c r="V641" s="38">
        <v>0</v>
      </c>
      <c r="W641" s="38">
        <v>0</v>
      </c>
      <c r="X641" s="38">
        <v>0</v>
      </c>
      <c r="Y641" s="38"/>
      <c r="Z641" s="38" t="e">
        <f t="shared" si="75"/>
        <v>#DIV/0!</v>
      </c>
      <c r="AA641" s="38"/>
      <c r="AB641" s="38" t="e">
        <f t="shared" si="76"/>
        <v>#DIV/0!</v>
      </c>
      <c r="AC641" s="38" t="e">
        <f>U641/AR641</f>
        <v>#DIV/0!</v>
      </c>
      <c r="AD641" s="38" t="e">
        <f t="shared" si="78"/>
        <v>#DIV/0!</v>
      </c>
      <c r="AE641" s="33">
        <v>45566</v>
      </c>
      <c r="AF641" s="33"/>
      <c r="AG641" s="33"/>
      <c r="AH641" s="33"/>
      <c r="AI641" s="33"/>
      <c r="AJ641" s="42"/>
      <c r="AK641" s="37"/>
      <c r="AL641" s="37"/>
      <c r="AM641" s="37"/>
      <c r="AN641" s="37"/>
      <c r="AO641" s="43"/>
      <c r="AP641" s="35"/>
      <c r="AQ641" s="35"/>
      <c r="AR641" s="44"/>
      <c r="AS641" s="37"/>
    </row>
    <row r="642" spans="1:45" ht="48" customHeight="1" x14ac:dyDescent="0.25">
      <c r="A642" s="32" t="s">
        <v>3310</v>
      </c>
      <c r="B642" s="56">
        <v>45392</v>
      </c>
      <c r="C642" s="35" t="s">
        <v>2642</v>
      </c>
      <c r="D642" s="36"/>
      <c r="E642" s="37"/>
      <c r="F642" s="33"/>
      <c r="G642" s="35"/>
      <c r="H642" s="37"/>
      <c r="I642" s="59" t="s">
        <v>1345</v>
      </c>
      <c r="J642" s="57">
        <v>1793622.8</v>
      </c>
      <c r="K642" s="40">
        <f>((J642-M642)/J642)*100</f>
        <v>100</v>
      </c>
      <c r="L642" s="41">
        <f>J642-M642</f>
        <v>1793622.8</v>
      </c>
      <c r="M642" s="38"/>
      <c r="N642" s="41">
        <f>J642-O642</f>
        <v>1793622.8</v>
      </c>
      <c r="O642" s="38">
        <v>0</v>
      </c>
      <c r="P642" s="27">
        <f t="shared" si="79"/>
        <v>0</v>
      </c>
      <c r="Q642" s="27">
        <f t="shared" si="79"/>
        <v>0</v>
      </c>
      <c r="R642" s="27" t="e">
        <f>Q642/U642</f>
        <v>#DIV/0!</v>
      </c>
      <c r="S642" s="38" t="e">
        <f>Q642/U642</f>
        <v>#DIV/0!</v>
      </c>
      <c r="T642" s="38" t="e">
        <f>S642*AR642</f>
        <v>#DIV/0!</v>
      </c>
      <c r="U642" s="38">
        <f t="shared" si="77"/>
        <v>0</v>
      </c>
      <c r="V642" s="38">
        <v>0</v>
      </c>
      <c r="W642" s="38">
        <v>0</v>
      </c>
      <c r="X642" s="38">
        <v>0</v>
      </c>
      <c r="Y642" s="38"/>
      <c r="Z642" s="38" t="e">
        <f t="shared" si="75"/>
        <v>#DIV/0!</v>
      </c>
      <c r="AA642" s="38"/>
      <c r="AB642" s="38" t="e">
        <f t="shared" si="76"/>
        <v>#DIV/0!</v>
      </c>
      <c r="AC642" s="38" t="e">
        <f>U642/AR642</f>
        <v>#DIV/0!</v>
      </c>
      <c r="AD642" s="38" t="e">
        <f t="shared" si="78"/>
        <v>#DIV/0!</v>
      </c>
      <c r="AE642" s="33">
        <v>45566</v>
      </c>
      <c r="AF642" s="33"/>
      <c r="AG642" s="33"/>
      <c r="AH642" s="33"/>
      <c r="AI642" s="33"/>
      <c r="AJ642" s="42"/>
      <c r="AK642" s="37"/>
      <c r="AL642" s="37"/>
      <c r="AM642" s="37"/>
      <c r="AN642" s="37"/>
      <c r="AO642" s="43"/>
      <c r="AP642" s="35"/>
      <c r="AQ642" s="35"/>
      <c r="AR642" s="44"/>
      <c r="AS642" s="37"/>
    </row>
    <row r="643" spans="1:45" ht="48" customHeight="1" x14ac:dyDescent="0.25">
      <c r="A643" s="32" t="s">
        <v>3311</v>
      </c>
      <c r="B643" s="56">
        <v>45392</v>
      </c>
      <c r="C643" s="35">
        <v>1512</v>
      </c>
      <c r="D643" s="36"/>
      <c r="E643" s="37"/>
      <c r="F643" s="33"/>
      <c r="G643" s="35"/>
      <c r="H643" s="37"/>
      <c r="I643" s="58" t="s">
        <v>3313</v>
      </c>
      <c r="J643" s="57">
        <v>531261603.89999998</v>
      </c>
      <c r="K643" s="40">
        <f>((J643-M643)/J643)*100</f>
        <v>100</v>
      </c>
      <c r="L643" s="41">
        <f>J643-M643</f>
        <v>531261603.89999998</v>
      </c>
      <c r="M643" s="38"/>
      <c r="N643" s="41">
        <f>J643-O643</f>
        <v>531261603.89999998</v>
      </c>
      <c r="O643" s="38">
        <v>0</v>
      </c>
      <c r="P643" s="27">
        <f t="shared" si="79"/>
        <v>0</v>
      </c>
      <c r="Q643" s="27">
        <f t="shared" si="79"/>
        <v>0</v>
      </c>
      <c r="R643" s="27" t="e">
        <f>Q643/U643</f>
        <v>#DIV/0!</v>
      </c>
      <c r="S643" s="38" t="e">
        <f>Q643/U643</f>
        <v>#DIV/0!</v>
      </c>
      <c r="T643" s="38" t="e">
        <f>S643*AR643</f>
        <v>#DIV/0!</v>
      </c>
      <c r="U643" s="38">
        <f t="shared" si="77"/>
        <v>0</v>
      </c>
      <c r="V643" s="38">
        <v>0</v>
      </c>
      <c r="W643" s="38">
        <v>0</v>
      </c>
      <c r="X643" s="38">
        <v>0</v>
      </c>
      <c r="Y643" s="38"/>
      <c r="Z643" s="38" t="e">
        <f t="shared" si="75"/>
        <v>#DIV/0!</v>
      </c>
      <c r="AA643" s="38"/>
      <c r="AB643" s="38" t="e">
        <f t="shared" si="76"/>
        <v>#DIV/0!</v>
      </c>
      <c r="AC643" s="38" t="e">
        <f>U643/AR643</f>
        <v>#DIV/0!</v>
      </c>
      <c r="AD643" s="38" t="e">
        <f t="shared" si="78"/>
        <v>#DIV/0!</v>
      </c>
      <c r="AE643" s="33">
        <v>45627</v>
      </c>
      <c r="AF643" s="33"/>
      <c r="AG643" s="33"/>
      <c r="AH643" s="33"/>
      <c r="AI643" s="33"/>
      <c r="AJ643" s="42"/>
      <c r="AK643" s="37"/>
      <c r="AL643" s="37"/>
      <c r="AM643" s="37"/>
      <c r="AN643" s="37"/>
      <c r="AO643" s="43"/>
      <c r="AP643" s="35"/>
      <c r="AQ643" s="35"/>
      <c r="AR643" s="44"/>
      <c r="AS643" s="37"/>
    </row>
    <row r="644" spans="1:45" ht="48" customHeight="1" x14ac:dyDescent="0.25">
      <c r="A644" s="32" t="s">
        <v>3312</v>
      </c>
      <c r="B644" s="56">
        <v>45392</v>
      </c>
      <c r="C644" s="35">
        <v>1512</v>
      </c>
      <c r="D644" s="36"/>
      <c r="E644" s="37"/>
      <c r="F644" s="33"/>
      <c r="G644" s="35"/>
      <c r="H644" s="37"/>
      <c r="I644" s="58" t="s">
        <v>3315</v>
      </c>
      <c r="J644" s="57">
        <v>8034348</v>
      </c>
      <c r="K644" s="40">
        <f>((J644-M644)/J644)*100</f>
        <v>100</v>
      </c>
      <c r="L644" s="41">
        <f>J644-M644</f>
        <v>8034348</v>
      </c>
      <c r="M644" s="38"/>
      <c r="N644" s="41">
        <f>J644-O644</f>
        <v>8034348</v>
      </c>
      <c r="O644" s="38">
        <v>0</v>
      </c>
      <c r="P644" s="27">
        <f t="shared" si="79"/>
        <v>0</v>
      </c>
      <c r="Q644" s="27">
        <f t="shared" si="79"/>
        <v>0</v>
      </c>
      <c r="R644" s="27" t="e">
        <f>Q644/U644</f>
        <v>#DIV/0!</v>
      </c>
      <c r="S644" s="38" t="e">
        <f>Q644/U644</f>
        <v>#DIV/0!</v>
      </c>
      <c r="T644" s="38" t="e">
        <f>S644*AR644</f>
        <v>#DIV/0!</v>
      </c>
      <c r="U644" s="38">
        <f t="shared" si="77"/>
        <v>0</v>
      </c>
      <c r="V644" s="38">
        <v>0</v>
      </c>
      <c r="W644" s="38">
        <v>0</v>
      </c>
      <c r="X644" s="38">
        <v>0</v>
      </c>
      <c r="Y644" s="38"/>
      <c r="Z644" s="38" t="e">
        <f t="shared" si="75"/>
        <v>#DIV/0!</v>
      </c>
      <c r="AA644" s="38"/>
      <c r="AB644" s="38" t="e">
        <f t="shared" si="76"/>
        <v>#DIV/0!</v>
      </c>
      <c r="AC644" s="38" t="e">
        <f>U644/AR644</f>
        <v>#DIV/0!</v>
      </c>
      <c r="AD644" s="38" t="e">
        <f t="shared" si="78"/>
        <v>#DIV/0!</v>
      </c>
      <c r="AE644" s="33">
        <v>45536</v>
      </c>
      <c r="AF644" s="33"/>
      <c r="AG644" s="33"/>
      <c r="AH644" s="33"/>
      <c r="AI644" s="33"/>
      <c r="AJ644" s="42"/>
      <c r="AK644" s="37"/>
      <c r="AL644" s="37"/>
      <c r="AM644" s="37"/>
      <c r="AN644" s="37"/>
      <c r="AO644" s="43"/>
      <c r="AP644" s="35"/>
      <c r="AQ644" s="35"/>
      <c r="AR644" s="44"/>
      <c r="AS644" s="37"/>
    </row>
    <row r="645" spans="1:45" ht="48" customHeight="1" x14ac:dyDescent="0.25">
      <c r="A645" s="32" t="s">
        <v>3314</v>
      </c>
      <c r="B645" s="56">
        <v>45392</v>
      </c>
      <c r="C645" s="35">
        <v>1416</v>
      </c>
      <c r="D645" s="36"/>
      <c r="E645" s="37"/>
      <c r="F645" s="33"/>
      <c r="G645" s="35"/>
      <c r="H645" s="37"/>
      <c r="I645" s="59" t="s">
        <v>1338</v>
      </c>
      <c r="J645" s="57">
        <v>737560823.54999995</v>
      </c>
      <c r="K645" s="40">
        <f>((J645-M645)/J645)*100</f>
        <v>100</v>
      </c>
      <c r="L645" s="41">
        <f>J645-M645</f>
        <v>737560823.54999995</v>
      </c>
      <c r="M645" s="38"/>
      <c r="N645" s="41">
        <f>J645-O645</f>
        <v>737560823.54999995</v>
      </c>
      <c r="O645" s="38">
        <v>0</v>
      </c>
      <c r="P645" s="27">
        <f t="shared" si="79"/>
        <v>0</v>
      </c>
      <c r="Q645" s="27">
        <f t="shared" si="79"/>
        <v>0</v>
      </c>
      <c r="R645" s="27" t="e">
        <f>Q645/U645</f>
        <v>#DIV/0!</v>
      </c>
      <c r="S645" s="38" t="e">
        <f>Q645/U645</f>
        <v>#DIV/0!</v>
      </c>
      <c r="T645" s="38" t="e">
        <f>S645*AR645</f>
        <v>#DIV/0!</v>
      </c>
      <c r="U645" s="38">
        <f t="shared" si="77"/>
        <v>0</v>
      </c>
      <c r="V645" s="38">
        <v>0</v>
      </c>
      <c r="W645" s="38">
        <v>0</v>
      </c>
      <c r="X645" s="38">
        <v>0</v>
      </c>
      <c r="Y645" s="38"/>
      <c r="Z645" s="38" t="e">
        <f t="shared" si="75"/>
        <v>#DIV/0!</v>
      </c>
      <c r="AA645" s="38"/>
      <c r="AB645" s="38" t="e">
        <f t="shared" si="76"/>
        <v>#DIV/0!</v>
      </c>
      <c r="AC645" s="38" t="e">
        <f>U645/AR645</f>
        <v>#DIV/0!</v>
      </c>
      <c r="AD645" s="38" t="e">
        <f t="shared" si="78"/>
        <v>#DIV/0!</v>
      </c>
      <c r="AE645" s="33">
        <v>45550</v>
      </c>
      <c r="AF645" s="33"/>
      <c r="AG645" s="33"/>
      <c r="AH645" s="33"/>
      <c r="AI645" s="33"/>
      <c r="AJ645" s="42"/>
      <c r="AK645" s="37"/>
      <c r="AL645" s="37"/>
      <c r="AM645" s="37"/>
      <c r="AN645" s="37"/>
      <c r="AO645" s="43"/>
      <c r="AP645" s="35"/>
      <c r="AQ645" s="35"/>
      <c r="AR645" s="44"/>
      <c r="AS645" s="37"/>
    </row>
    <row r="646" spans="1:45" ht="48" customHeight="1" x14ac:dyDescent="0.25">
      <c r="A646" s="32" t="s">
        <v>3316</v>
      </c>
      <c r="B646" s="56">
        <v>45392</v>
      </c>
      <c r="C646" s="35">
        <v>1512</v>
      </c>
      <c r="D646" s="36"/>
      <c r="E646" s="37"/>
      <c r="F646" s="33"/>
      <c r="G646" s="35"/>
      <c r="H646" s="37"/>
      <c r="I646" s="58" t="s">
        <v>3318</v>
      </c>
      <c r="J646" s="57">
        <v>668816127.72000003</v>
      </c>
      <c r="K646" s="40">
        <f>((J646-M646)/J646)*100</f>
        <v>100</v>
      </c>
      <c r="L646" s="41">
        <f>J646-M646</f>
        <v>668816127.72000003</v>
      </c>
      <c r="M646" s="38"/>
      <c r="N646" s="41">
        <f>J646-O646</f>
        <v>668816127.72000003</v>
      </c>
      <c r="O646" s="38">
        <v>0</v>
      </c>
      <c r="P646" s="27">
        <f t="shared" si="79"/>
        <v>0</v>
      </c>
      <c r="Q646" s="27">
        <f t="shared" si="79"/>
        <v>0</v>
      </c>
      <c r="R646" s="27" t="e">
        <f>Q646/U646</f>
        <v>#DIV/0!</v>
      </c>
      <c r="S646" s="38" t="e">
        <f>Q646/U646</f>
        <v>#DIV/0!</v>
      </c>
      <c r="T646" s="38" t="e">
        <f>S646*AR646</f>
        <v>#DIV/0!</v>
      </c>
      <c r="U646" s="38">
        <f t="shared" si="77"/>
        <v>0</v>
      </c>
      <c r="V646" s="38">
        <v>0</v>
      </c>
      <c r="W646" s="38">
        <v>0</v>
      </c>
      <c r="X646" s="38">
        <v>0</v>
      </c>
      <c r="Y646" s="38"/>
      <c r="Z646" s="38" t="e">
        <f t="shared" si="75"/>
        <v>#DIV/0!</v>
      </c>
      <c r="AA646" s="38"/>
      <c r="AB646" s="38" t="e">
        <f t="shared" si="76"/>
        <v>#DIV/0!</v>
      </c>
      <c r="AC646" s="38" t="e">
        <f>U646/AR646</f>
        <v>#DIV/0!</v>
      </c>
      <c r="AD646" s="38" t="e">
        <f t="shared" si="78"/>
        <v>#DIV/0!</v>
      </c>
      <c r="AE646" s="33">
        <v>45566</v>
      </c>
      <c r="AF646" s="33"/>
      <c r="AG646" s="33"/>
      <c r="AH646" s="33"/>
      <c r="AI646" s="33"/>
      <c r="AJ646" s="42"/>
      <c r="AK646" s="37"/>
      <c r="AL646" s="37"/>
      <c r="AM646" s="37"/>
      <c r="AN646" s="37"/>
      <c r="AO646" s="43"/>
      <c r="AP646" s="35"/>
      <c r="AQ646" s="35"/>
      <c r="AR646" s="44"/>
      <c r="AS646" s="37"/>
    </row>
    <row r="647" spans="1:45" ht="48" customHeight="1" x14ac:dyDescent="0.25">
      <c r="A647" s="32" t="s">
        <v>3317</v>
      </c>
      <c r="B647" s="56">
        <v>45392</v>
      </c>
      <c r="C647" s="35">
        <v>1512</v>
      </c>
      <c r="D647" s="36"/>
      <c r="E647" s="37"/>
      <c r="F647" s="33"/>
      <c r="G647" s="35"/>
      <c r="H647" s="37"/>
      <c r="I647" s="58" t="s">
        <v>1582</v>
      </c>
      <c r="J647" s="57">
        <v>32939843.760000002</v>
      </c>
      <c r="K647" s="40">
        <f>((J647-M647)/J647)*100</f>
        <v>100</v>
      </c>
      <c r="L647" s="41">
        <f>J647-M647</f>
        <v>32939843.760000002</v>
      </c>
      <c r="M647" s="38"/>
      <c r="N647" s="41">
        <f>J647-O647</f>
        <v>32939843.760000002</v>
      </c>
      <c r="O647" s="38">
        <v>0</v>
      </c>
      <c r="P647" s="27">
        <f t="shared" si="79"/>
        <v>0</v>
      </c>
      <c r="Q647" s="27">
        <f t="shared" si="79"/>
        <v>0</v>
      </c>
      <c r="R647" s="27" t="e">
        <f>Q647/U647</f>
        <v>#DIV/0!</v>
      </c>
      <c r="S647" s="38" t="e">
        <f>Q647/U647</f>
        <v>#DIV/0!</v>
      </c>
      <c r="T647" s="38" t="e">
        <f>S647*AR647</f>
        <v>#DIV/0!</v>
      </c>
      <c r="U647" s="38">
        <f t="shared" si="77"/>
        <v>0</v>
      </c>
      <c r="V647" s="38">
        <v>0</v>
      </c>
      <c r="W647" s="38">
        <v>0</v>
      </c>
      <c r="X647" s="38">
        <v>0</v>
      </c>
      <c r="Y647" s="38"/>
      <c r="Z647" s="38" t="e">
        <f t="shared" si="75"/>
        <v>#DIV/0!</v>
      </c>
      <c r="AA647" s="38"/>
      <c r="AB647" s="38" t="e">
        <f t="shared" si="76"/>
        <v>#DIV/0!</v>
      </c>
      <c r="AC647" s="38" t="e">
        <f>U647/AR647</f>
        <v>#DIV/0!</v>
      </c>
      <c r="AD647" s="38" t="e">
        <f t="shared" si="78"/>
        <v>#DIV/0!</v>
      </c>
      <c r="AE647" s="33">
        <v>45566</v>
      </c>
      <c r="AF647" s="33"/>
      <c r="AG647" s="33"/>
      <c r="AH647" s="33"/>
      <c r="AI647" s="33"/>
      <c r="AJ647" s="42"/>
      <c r="AK647" s="37"/>
      <c r="AL647" s="37"/>
      <c r="AM647" s="37"/>
      <c r="AN647" s="37"/>
      <c r="AO647" s="43"/>
      <c r="AP647" s="35"/>
      <c r="AQ647" s="35"/>
      <c r="AR647" s="44"/>
      <c r="AS647" s="37"/>
    </row>
    <row r="648" spans="1:45" ht="48" customHeight="1" x14ac:dyDescent="0.25">
      <c r="A648" s="32" t="s">
        <v>3319</v>
      </c>
      <c r="B648" s="56">
        <v>45392</v>
      </c>
      <c r="C648" s="35">
        <v>1512</v>
      </c>
      <c r="D648" s="36"/>
      <c r="E648" s="37"/>
      <c r="F648" s="33"/>
      <c r="G648" s="35"/>
      <c r="H648" s="37"/>
      <c r="I648" s="58" t="s">
        <v>1641</v>
      </c>
      <c r="J648" s="57">
        <v>195563880</v>
      </c>
      <c r="K648" s="40">
        <f>((J648-M648)/J648)*100</f>
        <v>100</v>
      </c>
      <c r="L648" s="41">
        <f>J648-M648</f>
        <v>195563880</v>
      </c>
      <c r="M648" s="38"/>
      <c r="N648" s="41">
        <f>J648-O648</f>
        <v>195563880</v>
      </c>
      <c r="O648" s="38">
        <v>0</v>
      </c>
      <c r="P648" s="27">
        <f t="shared" si="79"/>
        <v>0</v>
      </c>
      <c r="Q648" s="27">
        <f t="shared" si="79"/>
        <v>0</v>
      </c>
      <c r="R648" s="27" t="e">
        <f>Q648/U648</f>
        <v>#DIV/0!</v>
      </c>
      <c r="S648" s="38" t="e">
        <f>Q648/U648</f>
        <v>#DIV/0!</v>
      </c>
      <c r="T648" s="38" t="e">
        <f>S648*AR648</f>
        <v>#DIV/0!</v>
      </c>
      <c r="U648" s="38">
        <f t="shared" si="77"/>
        <v>0</v>
      </c>
      <c r="V648" s="38">
        <v>0</v>
      </c>
      <c r="W648" s="38">
        <v>0</v>
      </c>
      <c r="X648" s="38">
        <v>0</v>
      </c>
      <c r="Y648" s="38"/>
      <c r="Z648" s="38" t="e">
        <f t="shared" si="75"/>
        <v>#DIV/0!</v>
      </c>
      <c r="AA648" s="38"/>
      <c r="AB648" s="38" t="e">
        <f t="shared" si="76"/>
        <v>#DIV/0!</v>
      </c>
      <c r="AC648" s="38" t="e">
        <f>U648/AR648</f>
        <v>#DIV/0!</v>
      </c>
      <c r="AD648" s="38" t="e">
        <f t="shared" si="78"/>
        <v>#DIV/0!</v>
      </c>
      <c r="AE648" s="33">
        <v>45566</v>
      </c>
      <c r="AF648" s="33"/>
      <c r="AG648" s="33"/>
      <c r="AH648" s="33"/>
      <c r="AI648" s="33"/>
      <c r="AJ648" s="42"/>
      <c r="AK648" s="37"/>
      <c r="AL648" s="37"/>
      <c r="AM648" s="37"/>
      <c r="AN648" s="37"/>
      <c r="AO648" s="43"/>
      <c r="AP648" s="35"/>
      <c r="AQ648" s="35"/>
      <c r="AR648" s="44"/>
      <c r="AS648" s="37"/>
    </row>
    <row r="649" spans="1:45" ht="48" customHeight="1" x14ac:dyDescent="0.25">
      <c r="A649" s="32" t="s">
        <v>3320</v>
      </c>
      <c r="B649" s="56">
        <v>45394</v>
      </c>
      <c r="C649" s="35">
        <v>1512</v>
      </c>
      <c r="D649" s="36"/>
      <c r="E649" s="37"/>
      <c r="F649" s="33"/>
      <c r="G649" s="35"/>
      <c r="H649" s="37"/>
      <c r="I649" s="58" t="s">
        <v>3322</v>
      </c>
      <c r="J649" s="57">
        <v>1260388809</v>
      </c>
      <c r="K649" s="40">
        <f>((J649-M649)/J649)*100</f>
        <v>100</v>
      </c>
      <c r="L649" s="41">
        <f>J649-M649</f>
        <v>1260388809</v>
      </c>
      <c r="M649" s="38"/>
      <c r="N649" s="41">
        <f>J649-O649</f>
        <v>1260388809</v>
      </c>
      <c r="O649" s="38">
        <v>0</v>
      </c>
      <c r="P649" s="27">
        <f t="shared" si="79"/>
        <v>0</v>
      </c>
      <c r="Q649" s="27">
        <f t="shared" si="79"/>
        <v>0</v>
      </c>
      <c r="R649" s="27" t="e">
        <f>Q649/U649</f>
        <v>#DIV/0!</v>
      </c>
      <c r="S649" s="38" t="e">
        <f>Q649/U649</f>
        <v>#DIV/0!</v>
      </c>
      <c r="T649" s="38" t="e">
        <f>S649*AR649</f>
        <v>#DIV/0!</v>
      </c>
      <c r="U649" s="38">
        <f t="shared" si="77"/>
        <v>0</v>
      </c>
      <c r="V649" s="38">
        <v>0</v>
      </c>
      <c r="W649" s="38">
        <v>0</v>
      </c>
      <c r="X649" s="38">
        <v>0</v>
      </c>
      <c r="Y649" s="38"/>
      <c r="Z649" s="38" t="e">
        <f t="shared" si="75"/>
        <v>#DIV/0!</v>
      </c>
      <c r="AA649" s="38"/>
      <c r="AB649" s="38" t="e">
        <f t="shared" si="76"/>
        <v>#DIV/0!</v>
      </c>
      <c r="AC649" s="38" t="e">
        <f>U649/AR649</f>
        <v>#DIV/0!</v>
      </c>
      <c r="AD649" s="38" t="e">
        <f t="shared" si="78"/>
        <v>#DIV/0!</v>
      </c>
      <c r="AE649" s="33">
        <v>45566</v>
      </c>
      <c r="AF649" s="33"/>
      <c r="AG649" s="33"/>
      <c r="AH649" s="33"/>
      <c r="AI649" s="33"/>
      <c r="AJ649" s="42"/>
      <c r="AK649" s="37"/>
      <c r="AL649" s="37"/>
      <c r="AM649" s="37"/>
      <c r="AN649" s="37"/>
      <c r="AO649" s="43"/>
      <c r="AP649" s="35"/>
      <c r="AQ649" s="35"/>
      <c r="AR649" s="44"/>
      <c r="AS649" s="37"/>
    </row>
    <row r="650" spans="1:45" ht="48" customHeight="1" x14ac:dyDescent="0.25">
      <c r="A650" s="32" t="s">
        <v>3321</v>
      </c>
      <c r="B650" s="56">
        <v>45394</v>
      </c>
      <c r="C650" s="35">
        <v>1416</v>
      </c>
      <c r="D650" s="36"/>
      <c r="E650" s="37"/>
      <c r="F650" s="33"/>
      <c r="G650" s="35"/>
      <c r="H650" s="37"/>
      <c r="I650" s="59" t="s">
        <v>858</v>
      </c>
      <c r="J650" s="57">
        <v>346387213.82999998</v>
      </c>
      <c r="K650" s="40">
        <f>((J650-M650)/J650)*100</f>
        <v>100</v>
      </c>
      <c r="L650" s="41">
        <f>J650-M650</f>
        <v>346387213.82999998</v>
      </c>
      <c r="M650" s="38"/>
      <c r="N650" s="41">
        <f>J650-O650</f>
        <v>346387213.82999998</v>
      </c>
      <c r="O650" s="38">
        <v>0</v>
      </c>
      <c r="P650" s="27">
        <f t="shared" si="79"/>
        <v>0</v>
      </c>
      <c r="Q650" s="27">
        <f t="shared" si="79"/>
        <v>0</v>
      </c>
      <c r="R650" s="27" t="e">
        <f>Q650/U650</f>
        <v>#DIV/0!</v>
      </c>
      <c r="S650" s="38" t="e">
        <f>Q650/U650</f>
        <v>#DIV/0!</v>
      </c>
      <c r="T650" s="38" t="e">
        <f>S650*AR650</f>
        <v>#DIV/0!</v>
      </c>
      <c r="U650" s="38">
        <f t="shared" si="77"/>
        <v>0</v>
      </c>
      <c r="V650" s="38">
        <v>0</v>
      </c>
      <c r="W650" s="38">
        <v>0</v>
      </c>
      <c r="X650" s="38">
        <v>0</v>
      </c>
      <c r="Y650" s="38"/>
      <c r="Z650" s="38" t="e">
        <f t="shared" si="75"/>
        <v>#DIV/0!</v>
      </c>
      <c r="AA650" s="38"/>
      <c r="AB650" s="38" t="e">
        <f t="shared" si="76"/>
        <v>#DIV/0!</v>
      </c>
      <c r="AC650" s="38" t="e">
        <f>U650/AR650</f>
        <v>#DIV/0!</v>
      </c>
      <c r="AD650" s="38" t="e">
        <f t="shared" si="78"/>
        <v>#DIV/0!</v>
      </c>
      <c r="AE650" s="33">
        <v>45474</v>
      </c>
      <c r="AF650" s="33">
        <v>45566</v>
      </c>
      <c r="AG650" s="33"/>
      <c r="AH650" s="33"/>
      <c r="AI650" s="33"/>
      <c r="AJ650" s="42"/>
      <c r="AK650" s="37"/>
      <c r="AL650" s="37"/>
      <c r="AM650" s="37"/>
      <c r="AN650" s="37"/>
      <c r="AO650" s="43"/>
      <c r="AP650" s="35"/>
      <c r="AQ650" s="35"/>
      <c r="AR650" s="44"/>
      <c r="AS650" s="37"/>
    </row>
    <row r="651" spans="1:45" ht="48" customHeight="1" x14ac:dyDescent="0.25">
      <c r="A651" s="32" t="s">
        <v>3323</v>
      </c>
      <c r="B651" s="56">
        <v>45394</v>
      </c>
      <c r="C651" s="35">
        <v>1512</v>
      </c>
      <c r="D651" s="36"/>
      <c r="E651" s="37"/>
      <c r="F651" s="33"/>
      <c r="G651" s="35"/>
      <c r="H651" s="37"/>
      <c r="I651" s="58" t="s">
        <v>1409</v>
      </c>
      <c r="J651" s="57">
        <v>693234482.39999998</v>
      </c>
      <c r="K651" s="40">
        <f>((J651-M651)/J651)*100</f>
        <v>100</v>
      </c>
      <c r="L651" s="41">
        <f>J651-M651</f>
        <v>693234482.39999998</v>
      </c>
      <c r="M651" s="38"/>
      <c r="N651" s="41">
        <f>J651-O651</f>
        <v>693234482.39999998</v>
      </c>
      <c r="O651" s="38">
        <v>0</v>
      </c>
      <c r="P651" s="27">
        <f t="shared" si="79"/>
        <v>0</v>
      </c>
      <c r="Q651" s="27">
        <f t="shared" si="79"/>
        <v>0</v>
      </c>
      <c r="R651" s="27" t="e">
        <f>Q651/U651</f>
        <v>#DIV/0!</v>
      </c>
      <c r="S651" s="38" t="e">
        <f>Q651/U651</f>
        <v>#DIV/0!</v>
      </c>
      <c r="T651" s="38" t="e">
        <f>S651*AR651</f>
        <v>#DIV/0!</v>
      </c>
      <c r="U651" s="38">
        <f t="shared" si="77"/>
        <v>0</v>
      </c>
      <c r="V651" s="38">
        <v>0</v>
      </c>
      <c r="W651" s="38">
        <v>0</v>
      </c>
      <c r="X651" s="38">
        <v>0</v>
      </c>
      <c r="Y651" s="38"/>
      <c r="Z651" s="38" t="e">
        <f t="shared" si="75"/>
        <v>#DIV/0!</v>
      </c>
      <c r="AA651" s="38"/>
      <c r="AB651" s="38" t="e">
        <f t="shared" si="76"/>
        <v>#DIV/0!</v>
      </c>
      <c r="AC651" s="38" t="e">
        <f>U651/AR651</f>
        <v>#DIV/0!</v>
      </c>
      <c r="AD651" s="38" t="e">
        <f t="shared" si="78"/>
        <v>#DIV/0!</v>
      </c>
      <c r="AE651" s="33">
        <v>45580</v>
      </c>
      <c r="AF651" s="33"/>
      <c r="AG651" s="33"/>
      <c r="AH651" s="33"/>
      <c r="AI651" s="33"/>
      <c r="AJ651" s="42"/>
      <c r="AK651" s="37"/>
      <c r="AL651" s="37"/>
      <c r="AM651" s="37"/>
      <c r="AN651" s="37"/>
      <c r="AO651" s="43"/>
      <c r="AP651" s="35"/>
      <c r="AQ651" s="35"/>
      <c r="AR651" s="44"/>
      <c r="AS651" s="37"/>
    </row>
    <row r="652" spans="1:45" ht="48" customHeight="1" x14ac:dyDescent="0.25">
      <c r="A652" s="32" t="s">
        <v>3324</v>
      </c>
      <c r="B652" s="56">
        <v>45394</v>
      </c>
      <c r="C652" s="35">
        <v>1512</v>
      </c>
      <c r="D652" s="36"/>
      <c r="E652" s="37"/>
      <c r="F652" s="33"/>
      <c r="G652" s="35"/>
      <c r="H652" s="37"/>
      <c r="I652" s="58" t="s">
        <v>3322</v>
      </c>
      <c r="J652" s="57">
        <v>60699368.700000003</v>
      </c>
      <c r="K652" s="40">
        <f>((J652-M652)/J652)*100</f>
        <v>100</v>
      </c>
      <c r="L652" s="41">
        <f>J652-M652</f>
        <v>60699368.700000003</v>
      </c>
      <c r="M652" s="38"/>
      <c r="N652" s="41">
        <f>J652-O652</f>
        <v>60699368.700000003</v>
      </c>
      <c r="O652" s="38">
        <v>0</v>
      </c>
      <c r="P652" s="27">
        <f t="shared" si="79"/>
        <v>0</v>
      </c>
      <c r="Q652" s="27">
        <f t="shared" si="79"/>
        <v>0</v>
      </c>
      <c r="R652" s="27" t="e">
        <f>Q652/U652</f>
        <v>#DIV/0!</v>
      </c>
      <c r="S652" s="38" t="e">
        <f>Q652/U652</f>
        <v>#DIV/0!</v>
      </c>
      <c r="T652" s="38" t="e">
        <f>S652*AR652</f>
        <v>#DIV/0!</v>
      </c>
      <c r="U652" s="38">
        <f t="shared" si="77"/>
        <v>0</v>
      </c>
      <c r="V652" s="38">
        <v>0</v>
      </c>
      <c r="W652" s="38">
        <v>0</v>
      </c>
      <c r="X652" s="38">
        <v>0</v>
      </c>
      <c r="Y652" s="38"/>
      <c r="Z652" s="38" t="e">
        <f t="shared" ref="Z652:Z715" si="80">Y652*S652</f>
        <v>#DIV/0!</v>
      </c>
      <c r="AA652" s="38"/>
      <c r="AB652" s="38" t="e">
        <f t="shared" ref="AB652:AB715" si="81">AA652*S652</f>
        <v>#DIV/0!</v>
      </c>
      <c r="AC652" s="38" t="e">
        <f>U652/AR652</f>
        <v>#DIV/0!</v>
      </c>
      <c r="AD652" s="38" t="e">
        <f t="shared" si="78"/>
        <v>#DIV/0!</v>
      </c>
      <c r="AE652" s="33">
        <v>45566</v>
      </c>
      <c r="AF652" s="33"/>
      <c r="AG652" s="33"/>
      <c r="AH652" s="33"/>
      <c r="AI652" s="33"/>
      <c r="AJ652" s="42"/>
      <c r="AK652" s="37"/>
      <c r="AL652" s="37"/>
      <c r="AM652" s="37"/>
      <c r="AN652" s="37"/>
      <c r="AO652" s="43"/>
      <c r="AP652" s="35"/>
      <c r="AQ652" s="35"/>
      <c r="AR652" s="44"/>
      <c r="AS652" s="37"/>
    </row>
    <row r="653" spans="1:45" ht="48" customHeight="1" x14ac:dyDescent="0.25">
      <c r="A653" s="32" t="s">
        <v>3325</v>
      </c>
      <c r="B653" s="56">
        <v>45394</v>
      </c>
      <c r="C653" s="35" t="s">
        <v>2642</v>
      </c>
      <c r="D653" s="36"/>
      <c r="E653" s="37"/>
      <c r="F653" s="33"/>
      <c r="G653" s="35"/>
      <c r="H653" s="37"/>
      <c r="I653" s="58" t="s">
        <v>1624</v>
      </c>
      <c r="J653" s="57">
        <v>76177.2</v>
      </c>
      <c r="K653" s="40">
        <f>((J653-M653)/J653)*100</f>
        <v>100</v>
      </c>
      <c r="L653" s="41">
        <f>J653-M653</f>
        <v>76177.2</v>
      </c>
      <c r="M653" s="38"/>
      <c r="N653" s="41">
        <f>J653-O653</f>
        <v>76177.2</v>
      </c>
      <c r="O653" s="38">
        <v>0</v>
      </c>
      <c r="P653" s="27">
        <f t="shared" si="79"/>
        <v>0</v>
      </c>
      <c r="Q653" s="27">
        <f t="shared" si="79"/>
        <v>0</v>
      </c>
      <c r="R653" s="27" t="e">
        <f>Q653/U653</f>
        <v>#DIV/0!</v>
      </c>
      <c r="S653" s="38" t="e">
        <f>Q653/U653</f>
        <v>#DIV/0!</v>
      </c>
      <c r="T653" s="38" t="e">
        <f>S653*AR653</f>
        <v>#DIV/0!</v>
      </c>
      <c r="U653" s="38">
        <f t="shared" si="77"/>
        <v>0</v>
      </c>
      <c r="V653" s="38">
        <v>0</v>
      </c>
      <c r="W653" s="38">
        <v>0</v>
      </c>
      <c r="X653" s="38">
        <v>0</v>
      </c>
      <c r="Y653" s="38"/>
      <c r="Z653" s="38" t="e">
        <f t="shared" si="80"/>
        <v>#DIV/0!</v>
      </c>
      <c r="AA653" s="38"/>
      <c r="AB653" s="38" t="e">
        <f t="shared" si="81"/>
        <v>#DIV/0!</v>
      </c>
      <c r="AC653" s="38" t="e">
        <f>U653/AR653</f>
        <v>#DIV/0!</v>
      </c>
      <c r="AD653" s="38" t="e">
        <f t="shared" si="78"/>
        <v>#DIV/0!</v>
      </c>
      <c r="AE653" s="33">
        <v>45566</v>
      </c>
      <c r="AF653" s="33"/>
      <c r="AG653" s="33"/>
      <c r="AH653" s="33"/>
      <c r="AI653" s="33"/>
      <c r="AJ653" s="42"/>
      <c r="AK653" s="37"/>
      <c r="AL653" s="37"/>
      <c r="AM653" s="37"/>
      <c r="AN653" s="37"/>
      <c r="AO653" s="43"/>
      <c r="AP653" s="35"/>
      <c r="AQ653" s="35"/>
      <c r="AR653" s="44"/>
      <c r="AS653" s="37"/>
    </row>
    <row r="654" spans="1:45" ht="48" customHeight="1" x14ac:dyDescent="0.25">
      <c r="A654" s="32" t="s">
        <v>3326</v>
      </c>
      <c r="B654" s="56">
        <v>45394</v>
      </c>
      <c r="C654" s="35">
        <v>1512</v>
      </c>
      <c r="D654" s="36"/>
      <c r="E654" s="37"/>
      <c r="F654" s="33"/>
      <c r="G654" s="35"/>
      <c r="H654" s="37"/>
      <c r="I654" s="58" t="s">
        <v>1409</v>
      </c>
      <c r="J654" s="57">
        <v>28167868.800000001</v>
      </c>
      <c r="K654" s="40">
        <f>((J654-M654)/J654)*100</f>
        <v>100</v>
      </c>
      <c r="L654" s="41">
        <f>J654-M654</f>
        <v>28167868.800000001</v>
      </c>
      <c r="M654" s="38"/>
      <c r="N654" s="41">
        <f>J654-O654</f>
        <v>28167868.800000001</v>
      </c>
      <c r="O654" s="38">
        <v>0</v>
      </c>
      <c r="P654" s="27">
        <f t="shared" si="79"/>
        <v>0</v>
      </c>
      <c r="Q654" s="27">
        <f t="shared" si="79"/>
        <v>0</v>
      </c>
      <c r="R654" s="27" t="e">
        <f>Q654/U654</f>
        <v>#DIV/0!</v>
      </c>
      <c r="S654" s="38" t="e">
        <f>Q654/U654</f>
        <v>#DIV/0!</v>
      </c>
      <c r="T654" s="38" t="e">
        <f>S654*AR654</f>
        <v>#DIV/0!</v>
      </c>
      <c r="U654" s="38">
        <f t="shared" si="77"/>
        <v>0</v>
      </c>
      <c r="V654" s="38">
        <v>0</v>
      </c>
      <c r="W654" s="38">
        <v>0</v>
      </c>
      <c r="X654" s="38">
        <v>0</v>
      </c>
      <c r="Y654" s="38"/>
      <c r="Z654" s="38" t="e">
        <f t="shared" si="80"/>
        <v>#DIV/0!</v>
      </c>
      <c r="AA654" s="38"/>
      <c r="AB654" s="38" t="e">
        <f t="shared" si="81"/>
        <v>#DIV/0!</v>
      </c>
      <c r="AC654" s="38" t="e">
        <f>U654/AR654</f>
        <v>#DIV/0!</v>
      </c>
      <c r="AD654" s="38" t="e">
        <f t="shared" si="78"/>
        <v>#DIV/0!</v>
      </c>
      <c r="AE654" s="33">
        <v>45580</v>
      </c>
      <c r="AF654" s="33"/>
      <c r="AG654" s="33"/>
      <c r="AH654" s="33"/>
      <c r="AI654" s="33"/>
      <c r="AJ654" s="42"/>
      <c r="AK654" s="37"/>
      <c r="AL654" s="37"/>
      <c r="AM654" s="37"/>
      <c r="AN654" s="37"/>
      <c r="AO654" s="43"/>
      <c r="AP654" s="35"/>
      <c r="AQ654" s="35"/>
      <c r="AR654" s="44"/>
      <c r="AS654" s="37"/>
    </row>
    <row r="655" spans="1:45" ht="48" customHeight="1" x14ac:dyDescent="0.25">
      <c r="A655" s="32" t="s">
        <v>3327</v>
      </c>
      <c r="B655" s="56">
        <v>45394</v>
      </c>
      <c r="C655" s="35" t="s">
        <v>2213</v>
      </c>
      <c r="D655" s="36"/>
      <c r="E655" s="37"/>
      <c r="F655" s="33"/>
      <c r="G655" s="35"/>
      <c r="H655" s="37"/>
      <c r="I655" s="58" t="s">
        <v>3329</v>
      </c>
      <c r="J655" s="57">
        <v>3182400</v>
      </c>
      <c r="K655" s="40">
        <f>((J655-M655)/J655)*100</f>
        <v>100</v>
      </c>
      <c r="L655" s="41">
        <f>J655-M655</f>
        <v>3182400</v>
      </c>
      <c r="M655" s="38"/>
      <c r="N655" s="41">
        <f>J655-O655</f>
        <v>3182400</v>
      </c>
      <c r="O655" s="38">
        <v>0</v>
      </c>
      <c r="P655" s="27">
        <f t="shared" si="79"/>
        <v>0</v>
      </c>
      <c r="Q655" s="27">
        <f t="shared" si="79"/>
        <v>0</v>
      </c>
      <c r="R655" s="27" t="e">
        <f>Q655/U655</f>
        <v>#DIV/0!</v>
      </c>
      <c r="S655" s="38" t="e">
        <f>Q655/U655</f>
        <v>#DIV/0!</v>
      </c>
      <c r="T655" s="38" t="e">
        <f>S655*AR655</f>
        <v>#DIV/0!</v>
      </c>
      <c r="U655" s="38">
        <f t="shared" si="77"/>
        <v>0</v>
      </c>
      <c r="V655" s="38">
        <v>0</v>
      </c>
      <c r="W655" s="38">
        <v>0</v>
      </c>
      <c r="X655" s="38">
        <v>0</v>
      </c>
      <c r="Y655" s="38"/>
      <c r="Z655" s="38" t="e">
        <f t="shared" si="80"/>
        <v>#DIV/0!</v>
      </c>
      <c r="AA655" s="38"/>
      <c r="AB655" s="38" t="e">
        <f t="shared" si="81"/>
        <v>#DIV/0!</v>
      </c>
      <c r="AC655" s="38" t="e">
        <f>U655/AR655</f>
        <v>#DIV/0!</v>
      </c>
      <c r="AD655" s="38" t="e">
        <f t="shared" si="78"/>
        <v>#DIV/0!</v>
      </c>
      <c r="AE655" s="33">
        <v>45474</v>
      </c>
      <c r="AF655" s="33"/>
      <c r="AG655" s="33"/>
      <c r="AH655" s="33"/>
      <c r="AI655" s="33"/>
      <c r="AJ655" s="42"/>
      <c r="AK655" s="37"/>
      <c r="AL655" s="37"/>
      <c r="AM655" s="37"/>
      <c r="AN655" s="37"/>
      <c r="AO655" s="43"/>
      <c r="AP655" s="35"/>
      <c r="AQ655" s="35"/>
      <c r="AR655" s="44"/>
      <c r="AS655" s="37"/>
    </row>
    <row r="656" spans="1:45" ht="48" customHeight="1" x14ac:dyDescent="0.25">
      <c r="A656" s="32" t="s">
        <v>3328</v>
      </c>
      <c r="B656" s="56">
        <v>45394</v>
      </c>
      <c r="C656" s="35">
        <v>1512</v>
      </c>
      <c r="D656" s="36"/>
      <c r="E656" s="37"/>
      <c r="F656" s="33"/>
      <c r="G656" s="35"/>
      <c r="H656" s="37"/>
      <c r="I656" s="58" t="s">
        <v>1676</v>
      </c>
      <c r="J656" s="57">
        <v>32086285.199999999</v>
      </c>
      <c r="K656" s="40">
        <f>((J656-M656)/J656)*100</f>
        <v>100</v>
      </c>
      <c r="L656" s="41">
        <f>J656-M656</f>
        <v>32086285.199999999</v>
      </c>
      <c r="M656" s="38"/>
      <c r="N656" s="41">
        <f>J656-O656</f>
        <v>32086285.199999999</v>
      </c>
      <c r="O656" s="38">
        <v>0</v>
      </c>
      <c r="P656" s="27">
        <f t="shared" si="79"/>
        <v>0</v>
      </c>
      <c r="Q656" s="27">
        <f t="shared" si="79"/>
        <v>0</v>
      </c>
      <c r="R656" s="27" t="e">
        <f>Q656/U656</f>
        <v>#DIV/0!</v>
      </c>
      <c r="S656" s="38" t="e">
        <f>Q656/U656</f>
        <v>#DIV/0!</v>
      </c>
      <c r="T656" s="38" t="e">
        <f>S656*AR656</f>
        <v>#DIV/0!</v>
      </c>
      <c r="U656" s="38">
        <f t="shared" si="77"/>
        <v>0</v>
      </c>
      <c r="V656" s="38">
        <v>0</v>
      </c>
      <c r="W656" s="38">
        <v>0</v>
      </c>
      <c r="X656" s="38">
        <v>0</v>
      </c>
      <c r="Y656" s="38"/>
      <c r="Z656" s="38" t="e">
        <f t="shared" si="80"/>
        <v>#DIV/0!</v>
      </c>
      <c r="AA656" s="38"/>
      <c r="AB656" s="38" t="e">
        <f t="shared" si="81"/>
        <v>#DIV/0!</v>
      </c>
      <c r="AC656" s="38" t="e">
        <f>U656/AR656</f>
        <v>#DIV/0!</v>
      </c>
      <c r="AD656" s="38" t="e">
        <f t="shared" si="78"/>
        <v>#DIV/0!</v>
      </c>
      <c r="AE656" s="33">
        <v>45566</v>
      </c>
      <c r="AF656" s="33"/>
      <c r="AG656" s="33"/>
      <c r="AH656" s="33"/>
      <c r="AI656" s="33"/>
      <c r="AJ656" s="42"/>
      <c r="AK656" s="37"/>
      <c r="AL656" s="37"/>
      <c r="AM656" s="37"/>
      <c r="AN656" s="37"/>
      <c r="AO656" s="43"/>
      <c r="AP656" s="35"/>
      <c r="AQ656" s="35"/>
      <c r="AR656" s="44"/>
      <c r="AS656" s="37"/>
    </row>
    <row r="657" spans="1:45" ht="48" customHeight="1" x14ac:dyDescent="0.25">
      <c r="A657" s="32" t="s">
        <v>3330</v>
      </c>
      <c r="B657" s="56">
        <v>45394</v>
      </c>
      <c r="C657" s="35">
        <v>1512</v>
      </c>
      <c r="D657" s="36"/>
      <c r="E657" s="37"/>
      <c r="F657" s="33"/>
      <c r="G657" s="35"/>
      <c r="H657" s="37"/>
      <c r="I657" s="59" t="s">
        <v>545</v>
      </c>
      <c r="J657" s="57">
        <v>43265224</v>
      </c>
      <c r="K657" s="40">
        <f>((J657-M657)/J657)*100</f>
        <v>100</v>
      </c>
      <c r="L657" s="41">
        <f>J657-M657</f>
        <v>43265224</v>
      </c>
      <c r="M657" s="38"/>
      <c r="N657" s="41">
        <f>J657-O657</f>
        <v>43265224</v>
      </c>
      <c r="O657" s="38">
        <v>0</v>
      </c>
      <c r="P657" s="27">
        <f t="shared" si="79"/>
        <v>0</v>
      </c>
      <c r="Q657" s="27">
        <f t="shared" si="79"/>
        <v>0</v>
      </c>
      <c r="R657" s="27" t="e">
        <f>Q657/U657</f>
        <v>#DIV/0!</v>
      </c>
      <c r="S657" s="38" t="e">
        <f>Q657/U657</f>
        <v>#DIV/0!</v>
      </c>
      <c r="T657" s="38" t="e">
        <f>S657*AR657</f>
        <v>#DIV/0!</v>
      </c>
      <c r="U657" s="38">
        <f t="shared" si="77"/>
        <v>0</v>
      </c>
      <c r="V657" s="38">
        <v>0</v>
      </c>
      <c r="W657" s="38">
        <v>0</v>
      </c>
      <c r="X657" s="38">
        <v>0</v>
      </c>
      <c r="Y657" s="38"/>
      <c r="Z657" s="38" t="e">
        <f t="shared" si="80"/>
        <v>#DIV/0!</v>
      </c>
      <c r="AA657" s="38"/>
      <c r="AB657" s="38" t="e">
        <f t="shared" si="81"/>
        <v>#DIV/0!</v>
      </c>
      <c r="AC657" s="38" t="e">
        <f>U657/AR657</f>
        <v>#DIV/0!</v>
      </c>
      <c r="AD657" s="38" t="e">
        <f t="shared" si="78"/>
        <v>#DIV/0!</v>
      </c>
      <c r="AE657" s="33">
        <v>45597</v>
      </c>
      <c r="AF657" s="33"/>
      <c r="AG657" s="33"/>
      <c r="AH657" s="33"/>
      <c r="AI657" s="33"/>
      <c r="AJ657" s="42"/>
      <c r="AK657" s="37"/>
      <c r="AL657" s="37"/>
      <c r="AM657" s="37"/>
      <c r="AN657" s="37"/>
      <c r="AO657" s="43"/>
      <c r="AP657" s="35"/>
      <c r="AQ657" s="35"/>
      <c r="AR657" s="44"/>
      <c r="AS657" s="37"/>
    </row>
    <row r="658" spans="1:45" ht="48" customHeight="1" x14ac:dyDescent="0.25">
      <c r="A658" s="32" t="s">
        <v>3331</v>
      </c>
      <c r="B658" s="56">
        <v>45394</v>
      </c>
      <c r="C658" s="35">
        <v>1416</v>
      </c>
      <c r="D658" s="36"/>
      <c r="E658" s="37"/>
      <c r="F658" s="33"/>
      <c r="G658" s="35"/>
      <c r="H658" s="37"/>
      <c r="I658" s="58" t="s">
        <v>3329</v>
      </c>
      <c r="J658" s="57">
        <v>152490000</v>
      </c>
      <c r="K658" s="40">
        <f>((J658-M658)/J658)*100</f>
        <v>100</v>
      </c>
      <c r="L658" s="41">
        <f>J658-M658</f>
        <v>152490000</v>
      </c>
      <c r="M658" s="38"/>
      <c r="N658" s="41">
        <f>J658-O658</f>
        <v>152490000</v>
      </c>
      <c r="O658" s="38">
        <v>0</v>
      </c>
      <c r="P658" s="27">
        <f t="shared" si="79"/>
        <v>0</v>
      </c>
      <c r="Q658" s="27">
        <f t="shared" si="79"/>
        <v>0</v>
      </c>
      <c r="R658" s="27" t="e">
        <f>Q658/U658</f>
        <v>#DIV/0!</v>
      </c>
      <c r="S658" s="38" t="e">
        <f>Q658/U658</f>
        <v>#DIV/0!</v>
      </c>
      <c r="T658" s="38" t="e">
        <f>S658*AR658</f>
        <v>#DIV/0!</v>
      </c>
      <c r="U658" s="38">
        <f t="shared" si="77"/>
        <v>0</v>
      </c>
      <c r="V658" s="38">
        <v>0</v>
      </c>
      <c r="W658" s="38">
        <v>0</v>
      </c>
      <c r="X658" s="38">
        <v>0</v>
      </c>
      <c r="Y658" s="38"/>
      <c r="Z658" s="38" t="e">
        <f t="shared" si="80"/>
        <v>#DIV/0!</v>
      </c>
      <c r="AA658" s="38"/>
      <c r="AB658" s="38" t="e">
        <f t="shared" si="81"/>
        <v>#DIV/0!</v>
      </c>
      <c r="AC658" s="38" t="e">
        <f>U658/AR658</f>
        <v>#DIV/0!</v>
      </c>
      <c r="AD658" s="38" t="e">
        <f t="shared" si="78"/>
        <v>#DIV/0!</v>
      </c>
      <c r="AE658" s="33">
        <v>45536</v>
      </c>
      <c r="AF658" s="33"/>
      <c r="AG658" s="33"/>
      <c r="AH658" s="33"/>
      <c r="AI658" s="33"/>
      <c r="AJ658" s="42"/>
      <c r="AK658" s="37"/>
      <c r="AL658" s="37"/>
      <c r="AM658" s="37"/>
      <c r="AN658" s="37"/>
      <c r="AO658" s="43"/>
      <c r="AP658" s="35"/>
      <c r="AQ658" s="35"/>
      <c r="AR658" s="44"/>
      <c r="AS658" s="37"/>
    </row>
    <row r="659" spans="1:45" ht="48" customHeight="1" x14ac:dyDescent="0.25">
      <c r="A659" s="32" t="s">
        <v>3332</v>
      </c>
      <c r="B659" s="56">
        <v>45394</v>
      </c>
      <c r="C659" s="35">
        <v>1512</v>
      </c>
      <c r="D659" s="36"/>
      <c r="E659" s="37"/>
      <c r="F659" s="33"/>
      <c r="G659" s="35"/>
      <c r="H659" s="37"/>
      <c r="I659" s="58" t="s">
        <v>1826</v>
      </c>
      <c r="J659" s="57">
        <v>48350016</v>
      </c>
      <c r="K659" s="40">
        <f>((J659-M659)/J659)*100</f>
        <v>100</v>
      </c>
      <c r="L659" s="41">
        <f>J659-M659</f>
        <v>48350016</v>
      </c>
      <c r="M659" s="38"/>
      <c r="N659" s="41">
        <f>J659-O659</f>
        <v>48350016</v>
      </c>
      <c r="O659" s="38">
        <v>0</v>
      </c>
      <c r="P659" s="27">
        <f t="shared" si="79"/>
        <v>0</v>
      </c>
      <c r="Q659" s="27">
        <f t="shared" si="79"/>
        <v>0</v>
      </c>
      <c r="R659" s="27" t="e">
        <f>Q659/U659</f>
        <v>#DIV/0!</v>
      </c>
      <c r="S659" s="38" t="e">
        <f>Q659/U659</f>
        <v>#DIV/0!</v>
      </c>
      <c r="T659" s="38" t="e">
        <f>S659*AR659</f>
        <v>#DIV/0!</v>
      </c>
      <c r="U659" s="38">
        <f t="shared" si="77"/>
        <v>0</v>
      </c>
      <c r="V659" s="38">
        <v>0</v>
      </c>
      <c r="W659" s="38">
        <v>0</v>
      </c>
      <c r="X659" s="38">
        <v>0</v>
      </c>
      <c r="Y659" s="38"/>
      <c r="Z659" s="38" t="e">
        <f t="shared" si="80"/>
        <v>#DIV/0!</v>
      </c>
      <c r="AA659" s="38"/>
      <c r="AB659" s="38" t="e">
        <f t="shared" si="81"/>
        <v>#DIV/0!</v>
      </c>
      <c r="AC659" s="38" t="e">
        <f>U659/AR659</f>
        <v>#DIV/0!</v>
      </c>
      <c r="AD659" s="38" t="e">
        <f t="shared" si="78"/>
        <v>#DIV/0!</v>
      </c>
      <c r="AE659" s="33">
        <v>45444</v>
      </c>
      <c r="AF659" s="33">
        <v>45597</v>
      </c>
      <c r="AG659" s="33"/>
      <c r="AH659" s="33"/>
      <c r="AI659" s="33"/>
      <c r="AJ659" s="42"/>
      <c r="AK659" s="37"/>
      <c r="AL659" s="37"/>
      <c r="AM659" s="37"/>
      <c r="AN659" s="37"/>
      <c r="AO659" s="43"/>
      <c r="AP659" s="35"/>
      <c r="AQ659" s="35"/>
      <c r="AR659" s="44"/>
      <c r="AS659" s="37"/>
    </row>
    <row r="660" spans="1:45" ht="48" customHeight="1" x14ac:dyDescent="0.25">
      <c r="A660" s="32" t="s">
        <v>3333</v>
      </c>
      <c r="B660" s="56">
        <v>45394</v>
      </c>
      <c r="C660" s="35">
        <v>545</v>
      </c>
      <c r="D660" s="36"/>
      <c r="E660" s="37"/>
      <c r="F660" s="33"/>
      <c r="G660" s="35"/>
      <c r="H660" s="37"/>
      <c r="I660" s="59" t="s">
        <v>516</v>
      </c>
      <c r="J660" s="57">
        <v>4061821.5</v>
      </c>
      <c r="K660" s="40">
        <f>((J660-M660)/J660)*100</f>
        <v>100</v>
      </c>
      <c r="L660" s="41">
        <f>J660-M660</f>
        <v>4061821.5</v>
      </c>
      <c r="M660" s="38"/>
      <c r="N660" s="41">
        <f>J660-O660</f>
        <v>4061821.5</v>
      </c>
      <c r="O660" s="38">
        <v>0</v>
      </c>
      <c r="P660" s="27">
        <f t="shared" si="79"/>
        <v>0</v>
      </c>
      <c r="Q660" s="27">
        <f t="shared" si="79"/>
        <v>0</v>
      </c>
      <c r="R660" s="27" t="e">
        <f>Q660/U660</f>
        <v>#DIV/0!</v>
      </c>
      <c r="S660" s="38" t="e">
        <f>Q660/U660</f>
        <v>#DIV/0!</v>
      </c>
      <c r="T660" s="38" t="e">
        <f>S660*AR660</f>
        <v>#DIV/0!</v>
      </c>
      <c r="U660" s="38">
        <f t="shared" si="77"/>
        <v>0</v>
      </c>
      <c r="V660" s="38">
        <v>0</v>
      </c>
      <c r="W660" s="38">
        <v>0</v>
      </c>
      <c r="X660" s="38">
        <v>0</v>
      </c>
      <c r="Y660" s="38"/>
      <c r="Z660" s="38" t="e">
        <f t="shared" si="80"/>
        <v>#DIV/0!</v>
      </c>
      <c r="AA660" s="38"/>
      <c r="AB660" s="38" t="e">
        <f t="shared" si="81"/>
        <v>#DIV/0!</v>
      </c>
      <c r="AC660" s="38" t="e">
        <f>U660/AR660</f>
        <v>#DIV/0!</v>
      </c>
      <c r="AD660" s="38" t="e">
        <f t="shared" si="78"/>
        <v>#DIV/0!</v>
      </c>
      <c r="AE660" s="33">
        <v>45474</v>
      </c>
      <c r="AF660" s="33"/>
      <c r="AG660" s="33"/>
      <c r="AH660" s="33"/>
      <c r="AI660" s="33"/>
      <c r="AJ660" s="42"/>
      <c r="AK660" s="37"/>
      <c r="AL660" s="37"/>
      <c r="AM660" s="37"/>
      <c r="AN660" s="37"/>
      <c r="AO660" s="43"/>
      <c r="AP660" s="35"/>
      <c r="AQ660" s="35"/>
      <c r="AR660" s="44"/>
      <c r="AS660" s="37"/>
    </row>
    <row r="661" spans="1:45" ht="48" customHeight="1" x14ac:dyDescent="0.25">
      <c r="A661" s="32" t="s">
        <v>3334</v>
      </c>
      <c r="B661" s="56">
        <v>45397</v>
      </c>
      <c r="C661" s="35" t="s">
        <v>2642</v>
      </c>
      <c r="D661" s="36"/>
      <c r="E661" s="37"/>
      <c r="F661" s="33"/>
      <c r="G661" s="35"/>
      <c r="H661" s="37"/>
      <c r="I661" s="59" t="s">
        <v>1590</v>
      </c>
      <c r="J661" s="57">
        <v>582238.80000000005</v>
      </c>
      <c r="K661" s="40">
        <f>((J661-M661)/J661)*100</f>
        <v>100</v>
      </c>
      <c r="L661" s="41">
        <f>J661-M661</f>
        <v>582238.80000000005</v>
      </c>
      <c r="M661" s="38"/>
      <c r="N661" s="41">
        <f>J661-O661</f>
        <v>582238.80000000005</v>
      </c>
      <c r="O661" s="38">
        <v>0</v>
      </c>
      <c r="P661" s="27">
        <f t="shared" si="79"/>
        <v>0</v>
      </c>
      <c r="Q661" s="27">
        <f t="shared" si="79"/>
        <v>0</v>
      </c>
      <c r="R661" s="27" t="e">
        <f>Q661/U661</f>
        <v>#DIV/0!</v>
      </c>
      <c r="S661" s="38" t="e">
        <f>Q661/U661</f>
        <v>#DIV/0!</v>
      </c>
      <c r="T661" s="38" t="e">
        <f>S661*AR661</f>
        <v>#DIV/0!</v>
      </c>
      <c r="U661" s="38">
        <f t="shared" si="77"/>
        <v>0</v>
      </c>
      <c r="V661" s="38">
        <v>0</v>
      </c>
      <c r="W661" s="38">
        <v>0</v>
      </c>
      <c r="X661" s="38">
        <v>0</v>
      </c>
      <c r="Y661" s="38"/>
      <c r="Z661" s="38" t="e">
        <f t="shared" si="80"/>
        <v>#DIV/0!</v>
      </c>
      <c r="AA661" s="38"/>
      <c r="AB661" s="38" t="e">
        <f t="shared" si="81"/>
        <v>#DIV/0!</v>
      </c>
      <c r="AC661" s="38" t="e">
        <f>U661/AR661</f>
        <v>#DIV/0!</v>
      </c>
      <c r="AD661" s="38" t="e">
        <f t="shared" si="78"/>
        <v>#DIV/0!</v>
      </c>
      <c r="AE661" s="33">
        <v>45458</v>
      </c>
      <c r="AF661" s="33"/>
      <c r="AG661" s="33"/>
      <c r="AH661" s="33"/>
      <c r="AI661" s="33"/>
      <c r="AJ661" s="42"/>
      <c r="AK661" s="37"/>
      <c r="AL661" s="37"/>
      <c r="AM661" s="37"/>
      <c r="AN661" s="37"/>
      <c r="AO661" s="43"/>
      <c r="AP661" s="35"/>
      <c r="AQ661" s="35"/>
      <c r="AR661" s="44"/>
      <c r="AS661" s="37"/>
    </row>
    <row r="662" spans="1:45" ht="48" customHeight="1" x14ac:dyDescent="0.25">
      <c r="A662" s="32" t="s">
        <v>3335</v>
      </c>
      <c r="B662" s="56">
        <v>45397</v>
      </c>
      <c r="C662" s="35" t="s">
        <v>2642</v>
      </c>
      <c r="D662" s="36"/>
      <c r="E662" s="37"/>
      <c r="F662" s="33"/>
      <c r="G662" s="35"/>
      <c r="H662" s="37"/>
      <c r="I662" s="58" t="s">
        <v>1571</v>
      </c>
      <c r="J662" s="57">
        <v>231739.2</v>
      </c>
      <c r="K662" s="40">
        <f>((J662-M662)/J662)*100</f>
        <v>100</v>
      </c>
      <c r="L662" s="41">
        <f>J662-M662</f>
        <v>231739.2</v>
      </c>
      <c r="M662" s="38"/>
      <c r="N662" s="41">
        <f>J662-O662</f>
        <v>231739.2</v>
      </c>
      <c r="O662" s="38">
        <v>0</v>
      </c>
      <c r="P662" s="27">
        <f t="shared" si="79"/>
        <v>0</v>
      </c>
      <c r="Q662" s="27">
        <f t="shared" si="79"/>
        <v>0</v>
      </c>
      <c r="R662" s="27" t="e">
        <f>Q662/U662</f>
        <v>#DIV/0!</v>
      </c>
      <c r="S662" s="38" t="e">
        <f>Q662/U662</f>
        <v>#DIV/0!</v>
      </c>
      <c r="T662" s="38" t="e">
        <f>S662*AR662</f>
        <v>#DIV/0!</v>
      </c>
      <c r="U662" s="38">
        <f t="shared" si="77"/>
        <v>0</v>
      </c>
      <c r="V662" s="38">
        <v>0</v>
      </c>
      <c r="W662" s="38">
        <v>0</v>
      </c>
      <c r="X662" s="38">
        <v>0</v>
      </c>
      <c r="Y662" s="38"/>
      <c r="Z662" s="38" t="e">
        <f t="shared" si="80"/>
        <v>#DIV/0!</v>
      </c>
      <c r="AA662" s="38"/>
      <c r="AB662" s="38" t="e">
        <f t="shared" si="81"/>
        <v>#DIV/0!</v>
      </c>
      <c r="AC662" s="38" t="e">
        <f>U662/AR662</f>
        <v>#DIV/0!</v>
      </c>
      <c r="AD662" s="38" t="e">
        <f t="shared" si="78"/>
        <v>#DIV/0!</v>
      </c>
      <c r="AE662" s="33">
        <v>45474</v>
      </c>
      <c r="AF662" s="33"/>
      <c r="AG662" s="33"/>
      <c r="AH662" s="33"/>
      <c r="AI662" s="33"/>
      <c r="AJ662" s="42"/>
      <c r="AK662" s="37"/>
      <c r="AL662" s="37"/>
      <c r="AM662" s="37"/>
      <c r="AN662" s="37"/>
      <c r="AO662" s="43"/>
      <c r="AP662" s="35"/>
      <c r="AQ662" s="35"/>
      <c r="AR662" s="44"/>
      <c r="AS662" s="37"/>
    </row>
    <row r="663" spans="1:45" ht="48" customHeight="1" x14ac:dyDescent="0.25">
      <c r="A663" s="32" t="s">
        <v>3336</v>
      </c>
      <c r="B663" s="56">
        <v>45397</v>
      </c>
      <c r="C663" s="35">
        <v>1512</v>
      </c>
      <c r="D663" s="36"/>
      <c r="E663" s="37"/>
      <c r="F663" s="33"/>
      <c r="G663" s="35"/>
      <c r="H663" s="37"/>
      <c r="I663" s="59" t="s">
        <v>1610</v>
      </c>
      <c r="J663" s="57">
        <v>125602646.40000001</v>
      </c>
      <c r="K663" s="40">
        <f>((J663-M663)/J663)*100</f>
        <v>100</v>
      </c>
      <c r="L663" s="41">
        <f>J663-M663</f>
        <v>125602646.40000001</v>
      </c>
      <c r="M663" s="38"/>
      <c r="N663" s="41">
        <f>J663-O663</f>
        <v>125602646.40000001</v>
      </c>
      <c r="O663" s="38">
        <v>0</v>
      </c>
      <c r="P663" s="27">
        <f t="shared" si="79"/>
        <v>0</v>
      </c>
      <c r="Q663" s="27">
        <f t="shared" si="79"/>
        <v>0</v>
      </c>
      <c r="R663" s="27" t="e">
        <f>Q663/U663</f>
        <v>#DIV/0!</v>
      </c>
      <c r="S663" s="38" t="e">
        <f>Q663/U663</f>
        <v>#DIV/0!</v>
      </c>
      <c r="T663" s="38" t="e">
        <f>S663*AR663</f>
        <v>#DIV/0!</v>
      </c>
      <c r="U663" s="38">
        <f t="shared" si="77"/>
        <v>0</v>
      </c>
      <c r="V663" s="38">
        <v>0</v>
      </c>
      <c r="W663" s="38">
        <v>0</v>
      </c>
      <c r="X663" s="38">
        <v>0</v>
      </c>
      <c r="Y663" s="38"/>
      <c r="Z663" s="38" t="e">
        <f t="shared" si="80"/>
        <v>#DIV/0!</v>
      </c>
      <c r="AA663" s="38"/>
      <c r="AB663" s="38" t="e">
        <f t="shared" si="81"/>
        <v>#DIV/0!</v>
      </c>
      <c r="AC663" s="38" t="e">
        <f>U663/AR663</f>
        <v>#DIV/0!</v>
      </c>
      <c r="AD663" s="38" t="e">
        <f t="shared" si="78"/>
        <v>#DIV/0!</v>
      </c>
      <c r="AE663" s="33">
        <v>45566</v>
      </c>
      <c r="AF663" s="33"/>
      <c r="AG663" s="33"/>
      <c r="AH663" s="33"/>
      <c r="AI663" s="33"/>
      <c r="AJ663" s="42"/>
      <c r="AK663" s="37"/>
      <c r="AL663" s="37"/>
      <c r="AM663" s="37"/>
      <c r="AN663" s="37"/>
      <c r="AO663" s="43"/>
      <c r="AP663" s="35"/>
      <c r="AQ663" s="35"/>
      <c r="AR663" s="44"/>
      <c r="AS663" s="37"/>
    </row>
    <row r="664" spans="1:45" ht="48" customHeight="1" x14ac:dyDescent="0.25">
      <c r="A664" s="32" t="s">
        <v>3337</v>
      </c>
      <c r="B664" s="56">
        <v>45397</v>
      </c>
      <c r="C664" s="35">
        <v>1512</v>
      </c>
      <c r="D664" s="36"/>
      <c r="E664" s="37"/>
      <c r="F664" s="33"/>
      <c r="G664" s="35"/>
      <c r="H664" s="37"/>
      <c r="I664" s="58" t="s">
        <v>1705</v>
      </c>
      <c r="J664" s="57">
        <v>35898993.899999999</v>
      </c>
      <c r="K664" s="40">
        <f>((J664-M664)/J664)*100</f>
        <v>100</v>
      </c>
      <c r="L664" s="41">
        <f>J664-M664</f>
        <v>35898993.899999999</v>
      </c>
      <c r="M664" s="38"/>
      <c r="N664" s="41">
        <f>J664-O664</f>
        <v>35898993.899999999</v>
      </c>
      <c r="O664" s="38">
        <v>0</v>
      </c>
      <c r="P664" s="27">
        <f t="shared" si="79"/>
        <v>0</v>
      </c>
      <c r="Q664" s="27">
        <f t="shared" si="79"/>
        <v>0</v>
      </c>
      <c r="R664" s="27" t="e">
        <f>Q664/U664</f>
        <v>#DIV/0!</v>
      </c>
      <c r="S664" s="38" t="e">
        <f>Q664/U664</f>
        <v>#DIV/0!</v>
      </c>
      <c r="T664" s="38" t="e">
        <f>S664*AR664</f>
        <v>#DIV/0!</v>
      </c>
      <c r="U664" s="38">
        <f t="shared" si="77"/>
        <v>0</v>
      </c>
      <c r="V664" s="38">
        <v>0</v>
      </c>
      <c r="W664" s="38">
        <v>0</v>
      </c>
      <c r="X664" s="38">
        <v>0</v>
      </c>
      <c r="Y664" s="38"/>
      <c r="Z664" s="38" t="e">
        <f t="shared" si="80"/>
        <v>#DIV/0!</v>
      </c>
      <c r="AA664" s="38"/>
      <c r="AB664" s="38" t="e">
        <f t="shared" si="81"/>
        <v>#DIV/0!</v>
      </c>
      <c r="AC664" s="38" t="e">
        <f>U664/AR664</f>
        <v>#DIV/0!</v>
      </c>
      <c r="AD664" s="38" t="e">
        <f t="shared" si="78"/>
        <v>#DIV/0!</v>
      </c>
      <c r="AE664" s="33">
        <v>45566</v>
      </c>
      <c r="AF664" s="33"/>
      <c r="AG664" s="33"/>
      <c r="AH664" s="33"/>
      <c r="AI664" s="33"/>
      <c r="AJ664" s="42"/>
      <c r="AK664" s="37"/>
      <c r="AL664" s="37"/>
      <c r="AM664" s="37"/>
      <c r="AN664" s="37"/>
      <c r="AO664" s="43"/>
      <c r="AP664" s="35"/>
      <c r="AQ664" s="35"/>
      <c r="AR664" s="44"/>
      <c r="AS664" s="37"/>
    </row>
    <row r="665" spans="1:45" ht="48" customHeight="1" x14ac:dyDescent="0.25">
      <c r="A665" s="32" t="s">
        <v>3338</v>
      </c>
      <c r="B665" s="56">
        <v>45397</v>
      </c>
      <c r="C665" s="35">
        <v>1512</v>
      </c>
      <c r="D665" s="36"/>
      <c r="E665" s="37"/>
      <c r="F665" s="33"/>
      <c r="G665" s="35"/>
      <c r="H665" s="37"/>
      <c r="I665" s="58" t="s">
        <v>1699</v>
      </c>
      <c r="J665" s="57">
        <v>41810122.200000003</v>
      </c>
      <c r="K665" s="40">
        <f>((J665-M665)/J665)*100</f>
        <v>100</v>
      </c>
      <c r="L665" s="41">
        <f>J665-M665</f>
        <v>41810122.200000003</v>
      </c>
      <c r="M665" s="38"/>
      <c r="N665" s="41">
        <f>J665-O665</f>
        <v>41810122.200000003</v>
      </c>
      <c r="O665" s="38">
        <v>0</v>
      </c>
      <c r="P665" s="27">
        <f t="shared" si="79"/>
        <v>0</v>
      </c>
      <c r="Q665" s="27">
        <f t="shared" si="79"/>
        <v>0</v>
      </c>
      <c r="R665" s="27" t="e">
        <f>Q665/U665</f>
        <v>#DIV/0!</v>
      </c>
      <c r="S665" s="38" t="e">
        <f>Q665/U665</f>
        <v>#DIV/0!</v>
      </c>
      <c r="T665" s="38" t="e">
        <f>S665*AR665</f>
        <v>#DIV/0!</v>
      </c>
      <c r="U665" s="38">
        <f t="shared" si="77"/>
        <v>0</v>
      </c>
      <c r="V665" s="38">
        <v>0</v>
      </c>
      <c r="W665" s="38">
        <v>0</v>
      </c>
      <c r="X665" s="38">
        <v>0</v>
      </c>
      <c r="Y665" s="38"/>
      <c r="Z665" s="38" t="e">
        <f t="shared" si="80"/>
        <v>#DIV/0!</v>
      </c>
      <c r="AA665" s="38"/>
      <c r="AB665" s="38" t="e">
        <f t="shared" si="81"/>
        <v>#DIV/0!</v>
      </c>
      <c r="AC665" s="38" t="e">
        <f>U665/AR665</f>
        <v>#DIV/0!</v>
      </c>
      <c r="AD665" s="38" t="e">
        <f t="shared" si="78"/>
        <v>#DIV/0!</v>
      </c>
      <c r="AE665" s="33">
        <v>45566</v>
      </c>
      <c r="AF665" s="33"/>
      <c r="AG665" s="33"/>
      <c r="AH665" s="33"/>
      <c r="AI665" s="33"/>
      <c r="AJ665" s="42"/>
      <c r="AK665" s="37"/>
      <c r="AL665" s="37"/>
      <c r="AM665" s="37"/>
      <c r="AN665" s="37"/>
      <c r="AO665" s="43"/>
      <c r="AP665" s="35"/>
      <c r="AQ665" s="35"/>
      <c r="AR665" s="44"/>
      <c r="AS665" s="37"/>
    </row>
    <row r="666" spans="1:45" ht="48" customHeight="1" x14ac:dyDescent="0.25">
      <c r="A666" s="32" t="s">
        <v>3339</v>
      </c>
      <c r="B666" s="56">
        <v>45397</v>
      </c>
      <c r="C666" s="35">
        <v>1416</v>
      </c>
      <c r="D666" s="36"/>
      <c r="E666" s="37"/>
      <c r="F666" s="33"/>
      <c r="G666" s="35"/>
      <c r="H666" s="37"/>
      <c r="I666" s="58" t="s">
        <v>3341</v>
      </c>
      <c r="J666" s="57">
        <v>81887500</v>
      </c>
      <c r="K666" s="40">
        <f>((J666-M666)/J666)*100</f>
        <v>100</v>
      </c>
      <c r="L666" s="41">
        <f>J666-M666</f>
        <v>81887500</v>
      </c>
      <c r="M666" s="38"/>
      <c r="N666" s="41">
        <f>J666-O666</f>
        <v>81887500</v>
      </c>
      <c r="O666" s="38">
        <v>0</v>
      </c>
      <c r="P666" s="27">
        <f t="shared" si="79"/>
        <v>0</v>
      </c>
      <c r="Q666" s="27">
        <f t="shared" si="79"/>
        <v>0</v>
      </c>
      <c r="R666" s="27" t="e">
        <f>Q666/U666</f>
        <v>#DIV/0!</v>
      </c>
      <c r="S666" s="38" t="e">
        <f>Q666/U666</f>
        <v>#DIV/0!</v>
      </c>
      <c r="T666" s="38" t="e">
        <f>S666*AR666</f>
        <v>#DIV/0!</v>
      </c>
      <c r="U666" s="38">
        <f t="shared" ref="U666:U729" si="82">V666+W666+X666</f>
        <v>0</v>
      </c>
      <c r="V666" s="38">
        <v>0</v>
      </c>
      <c r="W666" s="38">
        <v>0</v>
      </c>
      <c r="X666" s="38">
        <v>0</v>
      </c>
      <c r="Y666" s="38"/>
      <c r="Z666" s="38" t="e">
        <f t="shared" si="80"/>
        <v>#DIV/0!</v>
      </c>
      <c r="AA666" s="38"/>
      <c r="AB666" s="38" t="e">
        <f t="shared" si="81"/>
        <v>#DIV/0!</v>
      </c>
      <c r="AC666" s="38" t="e">
        <f>U666/AR666</f>
        <v>#DIV/0!</v>
      </c>
      <c r="AD666" s="38" t="e">
        <f t="shared" si="78"/>
        <v>#DIV/0!</v>
      </c>
      <c r="AE666" s="33">
        <v>45566</v>
      </c>
      <c r="AF666" s="33"/>
      <c r="AG666" s="33"/>
      <c r="AH666" s="33"/>
      <c r="AI666" s="33"/>
      <c r="AJ666" s="42"/>
      <c r="AK666" s="37"/>
      <c r="AL666" s="37"/>
      <c r="AM666" s="37"/>
      <c r="AN666" s="37"/>
      <c r="AO666" s="43"/>
      <c r="AP666" s="35"/>
      <c r="AQ666" s="35"/>
      <c r="AR666" s="44"/>
      <c r="AS666" s="37"/>
    </row>
    <row r="667" spans="1:45" ht="48" customHeight="1" x14ac:dyDescent="0.25">
      <c r="A667" s="32" t="s">
        <v>3340</v>
      </c>
      <c r="B667" s="56">
        <v>45397</v>
      </c>
      <c r="C667" s="35" t="s">
        <v>2213</v>
      </c>
      <c r="D667" s="36"/>
      <c r="E667" s="37"/>
      <c r="F667" s="33"/>
      <c r="G667" s="35"/>
      <c r="H667" s="37"/>
      <c r="I667" s="58" t="s">
        <v>2623</v>
      </c>
      <c r="J667" s="57">
        <v>4307600.3</v>
      </c>
      <c r="K667" s="40">
        <f>((J667-M667)/J667)*100</f>
        <v>100</v>
      </c>
      <c r="L667" s="41">
        <f>J667-M667</f>
        <v>4307600.3</v>
      </c>
      <c r="M667" s="38"/>
      <c r="N667" s="41">
        <f>J667-O667</f>
        <v>4307600.3</v>
      </c>
      <c r="O667" s="38">
        <v>0</v>
      </c>
      <c r="P667" s="27">
        <f t="shared" si="79"/>
        <v>0</v>
      </c>
      <c r="Q667" s="27">
        <f t="shared" si="79"/>
        <v>0</v>
      </c>
      <c r="R667" s="27" t="e">
        <f>Q667/U667</f>
        <v>#DIV/0!</v>
      </c>
      <c r="S667" s="38" t="e">
        <f>Q667/U667</f>
        <v>#DIV/0!</v>
      </c>
      <c r="T667" s="38" t="e">
        <f>S667*AR667</f>
        <v>#DIV/0!</v>
      </c>
      <c r="U667" s="38">
        <f t="shared" si="82"/>
        <v>0</v>
      </c>
      <c r="V667" s="38">
        <v>0</v>
      </c>
      <c r="W667" s="38">
        <v>0</v>
      </c>
      <c r="X667" s="38">
        <v>0</v>
      </c>
      <c r="Y667" s="38"/>
      <c r="Z667" s="38" t="e">
        <f t="shared" si="80"/>
        <v>#DIV/0!</v>
      </c>
      <c r="AA667" s="38"/>
      <c r="AB667" s="38" t="e">
        <f t="shared" si="81"/>
        <v>#DIV/0!</v>
      </c>
      <c r="AC667" s="38" t="e">
        <f>U667/AR667</f>
        <v>#DIV/0!</v>
      </c>
      <c r="AD667" s="38" t="e">
        <f t="shared" si="78"/>
        <v>#DIV/0!</v>
      </c>
      <c r="AE667" s="33">
        <v>45474</v>
      </c>
      <c r="AF667" s="33"/>
      <c r="AG667" s="33"/>
      <c r="AH667" s="33"/>
      <c r="AI667" s="33"/>
      <c r="AJ667" s="42"/>
      <c r="AK667" s="37"/>
      <c r="AL667" s="37"/>
      <c r="AM667" s="37"/>
      <c r="AN667" s="37"/>
      <c r="AO667" s="43"/>
      <c r="AP667" s="35"/>
      <c r="AQ667" s="35"/>
      <c r="AR667" s="44"/>
      <c r="AS667" s="37"/>
    </row>
    <row r="668" spans="1:45" ht="48" customHeight="1" x14ac:dyDescent="0.25">
      <c r="A668" s="32" t="s">
        <v>3342</v>
      </c>
      <c r="B668" s="56">
        <v>45397</v>
      </c>
      <c r="C668" s="35" t="s">
        <v>2213</v>
      </c>
      <c r="D668" s="36"/>
      <c r="E668" s="37"/>
      <c r="F668" s="33"/>
      <c r="G668" s="35"/>
      <c r="H668" s="37"/>
      <c r="I668" s="59" t="s">
        <v>977</v>
      </c>
      <c r="J668" s="57">
        <v>694984.5</v>
      </c>
      <c r="K668" s="40">
        <f>((J668-M668)/J668)*100</f>
        <v>100</v>
      </c>
      <c r="L668" s="41">
        <f>J668-M668</f>
        <v>694984.5</v>
      </c>
      <c r="M668" s="38"/>
      <c r="N668" s="41">
        <f>J668-O668</f>
        <v>694984.5</v>
      </c>
      <c r="O668" s="38">
        <v>0</v>
      </c>
      <c r="P668" s="27">
        <f t="shared" si="79"/>
        <v>0</v>
      </c>
      <c r="Q668" s="27">
        <f t="shared" si="79"/>
        <v>0</v>
      </c>
      <c r="R668" s="27" t="e">
        <f>Q668/U668</f>
        <v>#DIV/0!</v>
      </c>
      <c r="S668" s="38" t="e">
        <f>Q668/U668</f>
        <v>#DIV/0!</v>
      </c>
      <c r="T668" s="38" t="e">
        <f>S668*AR668</f>
        <v>#DIV/0!</v>
      </c>
      <c r="U668" s="38">
        <f t="shared" si="82"/>
        <v>0</v>
      </c>
      <c r="V668" s="38">
        <v>0</v>
      </c>
      <c r="W668" s="38">
        <v>0</v>
      </c>
      <c r="X668" s="38">
        <v>0</v>
      </c>
      <c r="Y668" s="38"/>
      <c r="Z668" s="38" t="e">
        <f t="shared" si="80"/>
        <v>#DIV/0!</v>
      </c>
      <c r="AA668" s="38"/>
      <c r="AB668" s="38" t="e">
        <f t="shared" si="81"/>
        <v>#DIV/0!</v>
      </c>
      <c r="AC668" s="38" t="e">
        <f>U668/AR668</f>
        <v>#DIV/0!</v>
      </c>
      <c r="AD668" s="38" t="e">
        <f t="shared" si="78"/>
        <v>#DIV/0!</v>
      </c>
      <c r="AE668" s="33">
        <v>45474</v>
      </c>
      <c r="AF668" s="33"/>
      <c r="AG668" s="33"/>
      <c r="AH668" s="33"/>
      <c r="AI668" s="33"/>
      <c r="AJ668" s="42"/>
      <c r="AK668" s="37"/>
      <c r="AL668" s="37"/>
      <c r="AM668" s="37"/>
      <c r="AN668" s="37"/>
      <c r="AO668" s="43"/>
      <c r="AP668" s="35"/>
      <c r="AQ668" s="35"/>
      <c r="AR668" s="44"/>
      <c r="AS668" s="37"/>
    </row>
    <row r="669" spans="1:45" ht="48" customHeight="1" x14ac:dyDescent="0.25">
      <c r="A669" s="32" t="s">
        <v>3343</v>
      </c>
      <c r="B669" s="56">
        <v>45397</v>
      </c>
      <c r="C669" s="35">
        <v>545</v>
      </c>
      <c r="D669" s="36"/>
      <c r="E669" s="37"/>
      <c r="F669" s="33"/>
      <c r="G669" s="35"/>
      <c r="H669" s="37"/>
      <c r="I669" s="58" t="s">
        <v>3345</v>
      </c>
      <c r="J669" s="57">
        <v>15275696</v>
      </c>
      <c r="K669" s="40">
        <f>((J669-M669)/J669)*100</f>
        <v>100</v>
      </c>
      <c r="L669" s="41">
        <f>J669-M669</f>
        <v>15275696</v>
      </c>
      <c r="M669" s="38"/>
      <c r="N669" s="41">
        <f>J669-O669</f>
        <v>15275696</v>
      </c>
      <c r="O669" s="38">
        <v>0</v>
      </c>
      <c r="P669" s="27">
        <f t="shared" si="79"/>
        <v>0</v>
      </c>
      <c r="Q669" s="27">
        <f t="shared" si="79"/>
        <v>0</v>
      </c>
      <c r="R669" s="27" t="e">
        <f>Q669/U669</f>
        <v>#DIV/0!</v>
      </c>
      <c r="S669" s="38" t="e">
        <f>Q669/U669</f>
        <v>#DIV/0!</v>
      </c>
      <c r="T669" s="38" t="e">
        <f>S669*AR669</f>
        <v>#DIV/0!</v>
      </c>
      <c r="U669" s="38">
        <f t="shared" si="82"/>
        <v>0</v>
      </c>
      <c r="V669" s="38">
        <v>0</v>
      </c>
      <c r="W669" s="38">
        <v>0</v>
      </c>
      <c r="X669" s="38">
        <v>0</v>
      </c>
      <c r="Y669" s="38"/>
      <c r="Z669" s="38" t="e">
        <f t="shared" si="80"/>
        <v>#DIV/0!</v>
      </c>
      <c r="AA669" s="38"/>
      <c r="AB669" s="38" t="e">
        <f t="shared" si="81"/>
        <v>#DIV/0!</v>
      </c>
      <c r="AC669" s="38" t="e">
        <f>U669/AR669</f>
        <v>#DIV/0!</v>
      </c>
      <c r="AD669" s="38" t="e">
        <f t="shared" si="78"/>
        <v>#DIV/0!</v>
      </c>
      <c r="AE669" s="33">
        <v>45444</v>
      </c>
      <c r="AF669" s="33"/>
      <c r="AG669" s="33"/>
      <c r="AH669" s="33"/>
      <c r="AI669" s="33"/>
      <c r="AJ669" s="42"/>
      <c r="AK669" s="37"/>
      <c r="AL669" s="37"/>
      <c r="AM669" s="37"/>
      <c r="AN669" s="37"/>
      <c r="AO669" s="43"/>
      <c r="AP669" s="35"/>
      <c r="AQ669" s="35"/>
      <c r="AR669" s="44"/>
      <c r="AS669" s="37"/>
    </row>
    <row r="670" spans="1:45" ht="48" customHeight="1" x14ac:dyDescent="0.25">
      <c r="A670" s="32" t="s">
        <v>3344</v>
      </c>
      <c r="B670" s="56">
        <v>45397</v>
      </c>
      <c r="C670" s="35" t="s">
        <v>2642</v>
      </c>
      <c r="D670" s="36"/>
      <c r="E670" s="37"/>
      <c r="F670" s="33"/>
      <c r="G670" s="35"/>
      <c r="H670" s="37"/>
      <c r="I670" s="58" t="s">
        <v>1635</v>
      </c>
      <c r="J670" s="57">
        <v>826683</v>
      </c>
      <c r="K670" s="40">
        <f>((J670-M670)/J670)*100</f>
        <v>100</v>
      </c>
      <c r="L670" s="41">
        <f>J670-M670</f>
        <v>826683</v>
      </c>
      <c r="M670" s="38"/>
      <c r="N670" s="41">
        <f>J670-O670</f>
        <v>826683</v>
      </c>
      <c r="O670" s="38">
        <v>0</v>
      </c>
      <c r="P670" s="27">
        <f t="shared" si="79"/>
        <v>0</v>
      </c>
      <c r="Q670" s="27">
        <f t="shared" si="79"/>
        <v>0</v>
      </c>
      <c r="R670" s="27" t="e">
        <f>Q670/U670</f>
        <v>#DIV/0!</v>
      </c>
      <c r="S670" s="38" t="e">
        <f>Q670/U670</f>
        <v>#DIV/0!</v>
      </c>
      <c r="T670" s="38" t="e">
        <f>S670*AR670</f>
        <v>#DIV/0!</v>
      </c>
      <c r="U670" s="38">
        <f t="shared" si="82"/>
        <v>0</v>
      </c>
      <c r="V670" s="38">
        <v>0</v>
      </c>
      <c r="W670" s="38">
        <v>0</v>
      </c>
      <c r="X670" s="38">
        <v>0</v>
      </c>
      <c r="Y670" s="38"/>
      <c r="Z670" s="38" t="e">
        <f t="shared" si="80"/>
        <v>#DIV/0!</v>
      </c>
      <c r="AA670" s="38"/>
      <c r="AB670" s="38" t="e">
        <f t="shared" si="81"/>
        <v>#DIV/0!</v>
      </c>
      <c r="AC670" s="38" t="e">
        <f>U670/AR670</f>
        <v>#DIV/0!</v>
      </c>
      <c r="AD670" s="38" t="e">
        <f t="shared" si="78"/>
        <v>#DIV/0!</v>
      </c>
      <c r="AE670" s="33">
        <v>45474</v>
      </c>
      <c r="AF670" s="33"/>
      <c r="AG670" s="33"/>
      <c r="AH670" s="33"/>
      <c r="AI670" s="33"/>
      <c r="AJ670" s="42"/>
      <c r="AK670" s="37"/>
      <c r="AL670" s="37"/>
      <c r="AM670" s="37"/>
      <c r="AN670" s="37"/>
      <c r="AO670" s="43"/>
      <c r="AP670" s="35"/>
      <c r="AQ670" s="35"/>
      <c r="AR670" s="44"/>
      <c r="AS670" s="37"/>
    </row>
    <row r="671" spans="1:45" ht="48" customHeight="1" x14ac:dyDescent="0.25">
      <c r="A671" s="32" t="s">
        <v>3346</v>
      </c>
      <c r="B671" s="56">
        <v>45397</v>
      </c>
      <c r="C671" s="35">
        <v>1512</v>
      </c>
      <c r="D671" s="36"/>
      <c r="E671" s="37"/>
      <c r="F671" s="33"/>
      <c r="G671" s="35"/>
      <c r="H671" s="37"/>
      <c r="I671" s="58" t="s">
        <v>1577</v>
      </c>
      <c r="J671" s="57">
        <v>366183622.19999999</v>
      </c>
      <c r="K671" s="40">
        <f>((J671-M671)/J671)*100</f>
        <v>100</v>
      </c>
      <c r="L671" s="41">
        <f>J671-M671</f>
        <v>366183622.19999999</v>
      </c>
      <c r="M671" s="38"/>
      <c r="N671" s="41">
        <f>J671-O671</f>
        <v>366183622.19999999</v>
      </c>
      <c r="O671" s="38">
        <v>0</v>
      </c>
      <c r="P671" s="27">
        <f t="shared" si="79"/>
        <v>0</v>
      </c>
      <c r="Q671" s="27">
        <f t="shared" si="79"/>
        <v>0</v>
      </c>
      <c r="R671" s="27" t="e">
        <f>Q671/U671</f>
        <v>#DIV/0!</v>
      </c>
      <c r="S671" s="38" t="e">
        <f>Q671/U671</f>
        <v>#DIV/0!</v>
      </c>
      <c r="T671" s="38" t="e">
        <f>S671*AR671</f>
        <v>#DIV/0!</v>
      </c>
      <c r="U671" s="38">
        <f t="shared" si="82"/>
        <v>0</v>
      </c>
      <c r="V671" s="38">
        <v>0</v>
      </c>
      <c r="W671" s="38">
        <v>0</v>
      </c>
      <c r="X671" s="38">
        <v>0</v>
      </c>
      <c r="Y671" s="38"/>
      <c r="Z671" s="38" t="e">
        <f t="shared" si="80"/>
        <v>#DIV/0!</v>
      </c>
      <c r="AA671" s="38"/>
      <c r="AB671" s="38" t="e">
        <f t="shared" si="81"/>
        <v>#DIV/0!</v>
      </c>
      <c r="AC671" s="38" t="e">
        <f>U671/AR671</f>
        <v>#DIV/0!</v>
      </c>
      <c r="AD671" s="38" t="e">
        <f t="shared" si="78"/>
        <v>#DIV/0!</v>
      </c>
      <c r="AE671" s="33">
        <v>45566</v>
      </c>
      <c r="AF671" s="33"/>
      <c r="AG671" s="33"/>
      <c r="AH671" s="33"/>
      <c r="AI671" s="33"/>
      <c r="AJ671" s="42"/>
      <c r="AK671" s="37"/>
      <c r="AL671" s="37"/>
      <c r="AM671" s="37"/>
      <c r="AN671" s="37"/>
      <c r="AO671" s="43"/>
      <c r="AP671" s="35"/>
      <c r="AQ671" s="35"/>
      <c r="AR671" s="44"/>
      <c r="AS671" s="37"/>
    </row>
    <row r="672" spans="1:45" ht="48" customHeight="1" x14ac:dyDescent="0.25">
      <c r="A672" s="32" t="s">
        <v>3347</v>
      </c>
      <c r="B672" s="56">
        <v>45397</v>
      </c>
      <c r="C672" s="35">
        <v>1416</v>
      </c>
      <c r="D672" s="36"/>
      <c r="E672" s="37"/>
      <c r="F672" s="33"/>
      <c r="G672" s="35"/>
      <c r="H672" s="37"/>
      <c r="I672" s="58" t="s">
        <v>1121</v>
      </c>
      <c r="J672" s="57">
        <v>617525272.14999998</v>
      </c>
      <c r="K672" s="40">
        <f>((J672-M672)/J672)*100</f>
        <v>100</v>
      </c>
      <c r="L672" s="41">
        <f>J672-M672</f>
        <v>617525272.14999998</v>
      </c>
      <c r="M672" s="38"/>
      <c r="N672" s="41">
        <f>J672-O672</f>
        <v>617525272.14999998</v>
      </c>
      <c r="O672" s="38">
        <v>0</v>
      </c>
      <c r="P672" s="27">
        <f t="shared" si="79"/>
        <v>0</v>
      </c>
      <c r="Q672" s="27">
        <f t="shared" si="79"/>
        <v>0</v>
      </c>
      <c r="R672" s="27" t="e">
        <f>Q672/U672</f>
        <v>#DIV/0!</v>
      </c>
      <c r="S672" s="38" t="e">
        <f>Q672/U672</f>
        <v>#DIV/0!</v>
      </c>
      <c r="T672" s="38" t="e">
        <f>S672*AR672</f>
        <v>#DIV/0!</v>
      </c>
      <c r="U672" s="38">
        <f t="shared" si="82"/>
        <v>0</v>
      </c>
      <c r="V672" s="38">
        <v>0</v>
      </c>
      <c r="W672" s="38">
        <v>0</v>
      </c>
      <c r="X672" s="38">
        <v>0</v>
      </c>
      <c r="Y672" s="38"/>
      <c r="Z672" s="38" t="e">
        <f t="shared" si="80"/>
        <v>#DIV/0!</v>
      </c>
      <c r="AA672" s="38"/>
      <c r="AB672" s="38" t="e">
        <f t="shared" si="81"/>
        <v>#DIV/0!</v>
      </c>
      <c r="AC672" s="38" t="e">
        <f>U672/AR672</f>
        <v>#DIV/0!</v>
      </c>
      <c r="AD672" s="38" t="e">
        <f t="shared" si="78"/>
        <v>#DIV/0!</v>
      </c>
      <c r="AE672" s="33">
        <v>45474</v>
      </c>
      <c r="AF672" s="33">
        <v>45585</v>
      </c>
      <c r="AG672" s="33"/>
      <c r="AH672" s="33"/>
      <c r="AI672" s="33"/>
      <c r="AJ672" s="42"/>
      <c r="AK672" s="37"/>
      <c r="AL672" s="37"/>
      <c r="AM672" s="37"/>
      <c r="AN672" s="37"/>
      <c r="AO672" s="43"/>
      <c r="AP672" s="35"/>
      <c r="AQ672" s="35"/>
      <c r="AR672" s="44"/>
      <c r="AS672" s="37"/>
    </row>
    <row r="673" spans="1:45" ht="48" customHeight="1" x14ac:dyDescent="0.25">
      <c r="A673" s="32" t="s">
        <v>3348</v>
      </c>
      <c r="B673" s="56">
        <v>45397</v>
      </c>
      <c r="C673" s="35" t="s">
        <v>2642</v>
      </c>
      <c r="D673" s="36"/>
      <c r="E673" s="37"/>
      <c r="F673" s="33"/>
      <c r="G673" s="35"/>
      <c r="H673" s="37"/>
      <c r="I673" s="58" t="s">
        <v>1725</v>
      </c>
      <c r="J673" s="57">
        <v>19157.32</v>
      </c>
      <c r="K673" s="40">
        <f>((J673-M673)/J673)*100</f>
        <v>100</v>
      </c>
      <c r="L673" s="41">
        <f>J673-M673</f>
        <v>19157.32</v>
      </c>
      <c r="M673" s="38"/>
      <c r="N673" s="41">
        <f>J673-O673</f>
        <v>19157.32</v>
      </c>
      <c r="O673" s="38">
        <v>0</v>
      </c>
      <c r="P673" s="27">
        <f t="shared" si="79"/>
        <v>0</v>
      </c>
      <c r="Q673" s="27">
        <f t="shared" si="79"/>
        <v>0</v>
      </c>
      <c r="R673" s="27" t="e">
        <f>Q673/U673</f>
        <v>#DIV/0!</v>
      </c>
      <c r="S673" s="38" t="e">
        <f>Q673/U673</f>
        <v>#DIV/0!</v>
      </c>
      <c r="T673" s="38" t="e">
        <f>S673*AR673</f>
        <v>#DIV/0!</v>
      </c>
      <c r="U673" s="38">
        <f t="shared" si="82"/>
        <v>0</v>
      </c>
      <c r="V673" s="38">
        <v>0</v>
      </c>
      <c r="W673" s="38">
        <v>0</v>
      </c>
      <c r="X673" s="38">
        <v>0</v>
      </c>
      <c r="Y673" s="38"/>
      <c r="Z673" s="38" t="e">
        <f t="shared" si="80"/>
        <v>#DIV/0!</v>
      </c>
      <c r="AA673" s="38"/>
      <c r="AB673" s="38" t="e">
        <f t="shared" si="81"/>
        <v>#DIV/0!</v>
      </c>
      <c r="AC673" s="38" t="e">
        <f>U673/AR673</f>
        <v>#DIV/0!</v>
      </c>
      <c r="AD673" s="38" t="e">
        <f t="shared" ref="AD673:AD736" si="83">_xlfn.CEILING.MATH(AC673)</f>
        <v>#DIV/0!</v>
      </c>
      <c r="AE673" s="33">
        <v>45566</v>
      </c>
      <c r="AF673" s="33"/>
      <c r="AG673" s="33"/>
      <c r="AH673" s="33"/>
      <c r="AI673" s="33"/>
      <c r="AJ673" s="42"/>
      <c r="AK673" s="37"/>
      <c r="AL673" s="37"/>
      <c r="AM673" s="37"/>
      <c r="AN673" s="37"/>
      <c r="AO673" s="43"/>
      <c r="AP673" s="35"/>
      <c r="AQ673" s="35"/>
      <c r="AR673" s="44"/>
      <c r="AS673" s="37"/>
    </row>
    <row r="674" spans="1:45" ht="48" customHeight="1" x14ac:dyDescent="0.25">
      <c r="A674" s="32" t="s">
        <v>3349</v>
      </c>
      <c r="B674" s="56">
        <v>45397</v>
      </c>
      <c r="C674" s="35" t="s">
        <v>2642</v>
      </c>
      <c r="D674" s="36"/>
      <c r="E674" s="37"/>
      <c r="F674" s="33"/>
      <c r="G674" s="35"/>
      <c r="H674" s="37"/>
      <c r="I674" s="58" t="s">
        <v>1725</v>
      </c>
      <c r="J674" s="57">
        <v>4690485.32</v>
      </c>
      <c r="K674" s="40">
        <f>((J674-M674)/J674)*100</f>
        <v>100</v>
      </c>
      <c r="L674" s="41">
        <f>J674-M674</f>
        <v>4690485.32</v>
      </c>
      <c r="M674" s="38"/>
      <c r="N674" s="41">
        <f>J674-O674</f>
        <v>4690485.32</v>
      </c>
      <c r="O674" s="38">
        <v>0</v>
      </c>
      <c r="P674" s="27">
        <f t="shared" si="79"/>
        <v>0</v>
      </c>
      <c r="Q674" s="27">
        <f t="shared" si="79"/>
        <v>0</v>
      </c>
      <c r="R674" s="27" t="e">
        <f>Q674/U674</f>
        <v>#DIV/0!</v>
      </c>
      <c r="S674" s="38" t="e">
        <f>Q674/U674</f>
        <v>#DIV/0!</v>
      </c>
      <c r="T674" s="38" t="e">
        <f>S674*AR674</f>
        <v>#DIV/0!</v>
      </c>
      <c r="U674" s="38">
        <f t="shared" si="82"/>
        <v>0</v>
      </c>
      <c r="V674" s="38">
        <v>0</v>
      </c>
      <c r="W674" s="38">
        <v>0</v>
      </c>
      <c r="X674" s="38">
        <v>0</v>
      </c>
      <c r="Y674" s="38"/>
      <c r="Z674" s="38" t="e">
        <f t="shared" si="80"/>
        <v>#DIV/0!</v>
      </c>
      <c r="AA674" s="38"/>
      <c r="AB674" s="38" t="e">
        <f t="shared" si="81"/>
        <v>#DIV/0!</v>
      </c>
      <c r="AC674" s="38" t="e">
        <f>U674/AR674</f>
        <v>#DIV/0!</v>
      </c>
      <c r="AD674" s="38" t="e">
        <f t="shared" si="83"/>
        <v>#DIV/0!</v>
      </c>
      <c r="AE674" s="33">
        <v>45566</v>
      </c>
      <c r="AF674" s="33"/>
      <c r="AG674" s="33"/>
      <c r="AH674" s="33"/>
      <c r="AI674" s="33"/>
      <c r="AJ674" s="42"/>
      <c r="AK674" s="37"/>
      <c r="AL674" s="37"/>
      <c r="AM674" s="37"/>
      <c r="AN674" s="37"/>
      <c r="AO674" s="43"/>
      <c r="AP674" s="35"/>
      <c r="AQ674" s="35"/>
      <c r="AR674" s="44"/>
      <c r="AS674" s="37"/>
    </row>
    <row r="675" spans="1:45" ht="48" customHeight="1" x14ac:dyDescent="0.25">
      <c r="A675" s="32" t="s">
        <v>3350</v>
      </c>
      <c r="B675" s="56">
        <v>45397</v>
      </c>
      <c r="C675" s="35" t="s">
        <v>2642</v>
      </c>
      <c r="D675" s="36"/>
      <c r="E675" s="37"/>
      <c r="F675" s="33"/>
      <c r="G675" s="35"/>
      <c r="H675" s="37"/>
      <c r="I675" s="58" t="s">
        <v>1662</v>
      </c>
      <c r="J675" s="57">
        <v>8882929.8000000007</v>
      </c>
      <c r="K675" s="40">
        <f>((J675-M675)/J675)*100</f>
        <v>100</v>
      </c>
      <c r="L675" s="41">
        <f>J675-M675</f>
        <v>8882929.8000000007</v>
      </c>
      <c r="M675" s="38"/>
      <c r="N675" s="41">
        <f>J675-O675</f>
        <v>8882929.8000000007</v>
      </c>
      <c r="O675" s="38">
        <v>0</v>
      </c>
      <c r="P675" s="27">
        <f t="shared" ref="P675:Q700" si="84">O675</f>
        <v>0</v>
      </c>
      <c r="Q675" s="27">
        <f t="shared" si="84"/>
        <v>0</v>
      </c>
      <c r="R675" s="27" t="e">
        <f>Q675/U675</f>
        <v>#DIV/0!</v>
      </c>
      <c r="S675" s="38" t="e">
        <f>Q675/U675</f>
        <v>#DIV/0!</v>
      </c>
      <c r="T675" s="38" t="e">
        <f>S675*AR675</f>
        <v>#DIV/0!</v>
      </c>
      <c r="U675" s="38">
        <f t="shared" si="82"/>
        <v>0</v>
      </c>
      <c r="V675" s="38">
        <v>0</v>
      </c>
      <c r="W675" s="38">
        <v>0</v>
      </c>
      <c r="X675" s="38">
        <v>0</v>
      </c>
      <c r="Y675" s="38"/>
      <c r="Z675" s="38" t="e">
        <f t="shared" si="80"/>
        <v>#DIV/0!</v>
      </c>
      <c r="AA675" s="38"/>
      <c r="AB675" s="38" t="e">
        <f t="shared" si="81"/>
        <v>#DIV/0!</v>
      </c>
      <c r="AC675" s="38" t="e">
        <f>U675/AR675</f>
        <v>#DIV/0!</v>
      </c>
      <c r="AD675" s="38" t="e">
        <f t="shared" si="83"/>
        <v>#DIV/0!</v>
      </c>
      <c r="AE675" s="33">
        <v>45566</v>
      </c>
      <c r="AF675" s="33"/>
      <c r="AG675" s="33"/>
      <c r="AH675" s="33"/>
      <c r="AI675" s="33"/>
      <c r="AJ675" s="42"/>
      <c r="AK675" s="37"/>
      <c r="AL675" s="37"/>
      <c r="AM675" s="37"/>
      <c r="AN675" s="37"/>
      <c r="AO675" s="43"/>
      <c r="AP675" s="35"/>
      <c r="AQ675" s="35"/>
      <c r="AR675" s="44"/>
      <c r="AS675" s="37"/>
    </row>
    <row r="676" spans="1:45" ht="48" customHeight="1" x14ac:dyDescent="0.25">
      <c r="A676" s="32" t="s">
        <v>3351</v>
      </c>
      <c r="B676" s="56">
        <v>45398</v>
      </c>
      <c r="C676" s="35">
        <v>1416</v>
      </c>
      <c r="D676" s="36"/>
      <c r="E676" s="37"/>
      <c r="F676" s="33"/>
      <c r="G676" s="35"/>
      <c r="H676" s="37"/>
      <c r="I676" s="58" t="s">
        <v>3353</v>
      </c>
      <c r="J676" s="57">
        <v>49763095.200000003</v>
      </c>
      <c r="K676" s="40">
        <f>((J676-M676)/J676)*100</f>
        <v>100</v>
      </c>
      <c r="L676" s="41">
        <f>J676-M676</f>
        <v>49763095.200000003</v>
      </c>
      <c r="M676" s="38"/>
      <c r="N676" s="41">
        <f>J676-O676</f>
        <v>49763095.200000003</v>
      </c>
      <c r="O676" s="38">
        <v>0</v>
      </c>
      <c r="P676" s="27">
        <f t="shared" si="84"/>
        <v>0</v>
      </c>
      <c r="Q676" s="27">
        <f t="shared" si="84"/>
        <v>0</v>
      </c>
      <c r="R676" s="27" t="e">
        <f>Q676/U676</f>
        <v>#DIV/0!</v>
      </c>
      <c r="S676" s="38" t="e">
        <f>Q676/U676</f>
        <v>#DIV/0!</v>
      </c>
      <c r="T676" s="38" t="e">
        <f>S676*AR676</f>
        <v>#DIV/0!</v>
      </c>
      <c r="U676" s="38">
        <f t="shared" si="82"/>
        <v>0</v>
      </c>
      <c r="V676" s="38">
        <v>0</v>
      </c>
      <c r="W676" s="38">
        <v>0</v>
      </c>
      <c r="X676" s="38">
        <v>0</v>
      </c>
      <c r="Y676" s="38"/>
      <c r="Z676" s="38" t="e">
        <f t="shared" si="80"/>
        <v>#DIV/0!</v>
      </c>
      <c r="AA676" s="38"/>
      <c r="AB676" s="38" t="e">
        <f t="shared" si="81"/>
        <v>#DIV/0!</v>
      </c>
      <c r="AC676" s="38" t="e">
        <f>U676/AR676</f>
        <v>#DIV/0!</v>
      </c>
      <c r="AD676" s="38" t="e">
        <f t="shared" si="83"/>
        <v>#DIV/0!</v>
      </c>
      <c r="AE676" s="33">
        <v>45566</v>
      </c>
      <c r="AF676" s="33"/>
      <c r="AG676" s="33"/>
      <c r="AH676" s="33"/>
      <c r="AI676" s="33"/>
      <c r="AJ676" s="42"/>
      <c r="AK676" s="37"/>
      <c r="AL676" s="37"/>
      <c r="AM676" s="37"/>
      <c r="AN676" s="37"/>
      <c r="AO676" s="43"/>
      <c r="AP676" s="35"/>
      <c r="AQ676" s="35"/>
      <c r="AR676" s="44"/>
      <c r="AS676" s="37"/>
    </row>
    <row r="677" spans="1:45" ht="48" customHeight="1" x14ac:dyDescent="0.25">
      <c r="A677" s="32" t="s">
        <v>3352</v>
      </c>
      <c r="B677" s="56">
        <v>45398</v>
      </c>
      <c r="C677" s="35">
        <v>1416</v>
      </c>
      <c r="D677" s="36"/>
      <c r="E677" s="37"/>
      <c r="F677" s="33"/>
      <c r="G677" s="35"/>
      <c r="H677" s="37"/>
      <c r="I677" s="58" t="s">
        <v>3355</v>
      </c>
      <c r="J677" s="57">
        <v>535646673</v>
      </c>
      <c r="K677" s="40">
        <f>((J677-M677)/J677)*100</f>
        <v>100</v>
      </c>
      <c r="L677" s="41">
        <f>J677-M677</f>
        <v>535646673</v>
      </c>
      <c r="M677" s="38"/>
      <c r="N677" s="41">
        <f>J677-O677</f>
        <v>535646673</v>
      </c>
      <c r="O677" s="38">
        <v>0</v>
      </c>
      <c r="P677" s="27">
        <f t="shared" si="84"/>
        <v>0</v>
      </c>
      <c r="Q677" s="27">
        <f t="shared" si="84"/>
        <v>0</v>
      </c>
      <c r="R677" s="27" t="e">
        <f>Q677/U677</f>
        <v>#DIV/0!</v>
      </c>
      <c r="S677" s="38" t="e">
        <f>Q677/U677</f>
        <v>#DIV/0!</v>
      </c>
      <c r="T677" s="38" t="e">
        <f>S677*AR677</f>
        <v>#DIV/0!</v>
      </c>
      <c r="U677" s="38">
        <f t="shared" si="82"/>
        <v>0</v>
      </c>
      <c r="V677" s="38">
        <v>0</v>
      </c>
      <c r="W677" s="38">
        <v>0</v>
      </c>
      <c r="X677" s="38">
        <v>0</v>
      </c>
      <c r="Y677" s="38"/>
      <c r="Z677" s="38" t="e">
        <f t="shared" si="80"/>
        <v>#DIV/0!</v>
      </c>
      <c r="AA677" s="38"/>
      <c r="AB677" s="38" t="e">
        <f t="shared" si="81"/>
        <v>#DIV/0!</v>
      </c>
      <c r="AC677" s="38" t="e">
        <f>U677/AR677</f>
        <v>#DIV/0!</v>
      </c>
      <c r="AD677" s="38" t="e">
        <f t="shared" si="83"/>
        <v>#DIV/0!</v>
      </c>
      <c r="AE677" s="33">
        <v>45566</v>
      </c>
      <c r="AF677" s="33"/>
      <c r="AG677" s="33"/>
      <c r="AH677" s="33"/>
      <c r="AI677" s="33"/>
      <c r="AJ677" s="42"/>
      <c r="AK677" s="37"/>
      <c r="AL677" s="37"/>
      <c r="AM677" s="37"/>
      <c r="AN677" s="37"/>
      <c r="AO677" s="43"/>
      <c r="AP677" s="35"/>
      <c r="AQ677" s="35"/>
      <c r="AR677" s="44"/>
      <c r="AS677" s="37"/>
    </row>
    <row r="678" spans="1:45" ht="48" customHeight="1" x14ac:dyDescent="0.25">
      <c r="A678" s="32" t="s">
        <v>3354</v>
      </c>
      <c r="B678" s="56">
        <v>45398</v>
      </c>
      <c r="C678" s="35">
        <v>1416</v>
      </c>
      <c r="D678" s="36"/>
      <c r="E678" s="37"/>
      <c r="F678" s="33"/>
      <c r="G678" s="35"/>
      <c r="H678" s="37"/>
      <c r="I678" s="58" t="s">
        <v>3357</v>
      </c>
      <c r="J678" s="57">
        <v>449243460</v>
      </c>
      <c r="K678" s="40">
        <f>((J678-M678)/J678)*100</f>
        <v>100</v>
      </c>
      <c r="L678" s="41">
        <f>J678-M678</f>
        <v>449243460</v>
      </c>
      <c r="M678" s="38"/>
      <c r="N678" s="41">
        <f>J678-O678</f>
        <v>449243460</v>
      </c>
      <c r="O678" s="38">
        <v>0</v>
      </c>
      <c r="P678" s="27">
        <f t="shared" si="84"/>
        <v>0</v>
      </c>
      <c r="Q678" s="27">
        <f t="shared" si="84"/>
        <v>0</v>
      </c>
      <c r="R678" s="27" t="e">
        <f>Q678/U678</f>
        <v>#DIV/0!</v>
      </c>
      <c r="S678" s="38" t="e">
        <f>Q678/U678</f>
        <v>#DIV/0!</v>
      </c>
      <c r="T678" s="38" t="e">
        <f>S678*AR678</f>
        <v>#DIV/0!</v>
      </c>
      <c r="U678" s="38">
        <f t="shared" si="82"/>
        <v>0</v>
      </c>
      <c r="V678" s="38">
        <v>0</v>
      </c>
      <c r="W678" s="38">
        <v>0</v>
      </c>
      <c r="X678" s="38">
        <v>0</v>
      </c>
      <c r="Y678" s="38"/>
      <c r="Z678" s="38" t="e">
        <f t="shared" si="80"/>
        <v>#DIV/0!</v>
      </c>
      <c r="AA678" s="38"/>
      <c r="AB678" s="38" t="e">
        <f t="shared" si="81"/>
        <v>#DIV/0!</v>
      </c>
      <c r="AC678" s="38" t="e">
        <f>U678/AR678</f>
        <v>#DIV/0!</v>
      </c>
      <c r="AD678" s="38" t="e">
        <f t="shared" si="83"/>
        <v>#DIV/0!</v>
      </c>
      <c r="AE678" s="33">
        <v>45566</v>
      </c>
      <c r="AF678" s="33"/>
      <c r="AG678" s="33"/>
      <c r="AH678" s="33"/>
      <c r="AI678" s="33"/>
      <c r="AJ678" s="42"/>
      <c r="AK678" s="37"/>
      <c r="AL678" s="37"/>
      <c r="AM678" s="37"/>
      <c r="AN678" s="37"/>
      <c r="AO678" s="43"/>
      <c r="AP678" s="35"/>
      <c r="AQ678" s="35"/>
      <c r="AR678" s="44"/>
      <c r="AS678" s="37"/>
    </row>
    <row r="679" spans="1:45" ht="48" customHeight="1" x14ac:dyDescent="0.25">
      <c r="A679" s="32" t="s">
        <v>3356</v>
      </c>
      <c r="B679" s="56">
        <v>45398</v>
      </c>
      <c r="C679" s="35" t="s">
        <v>2213</v>
      </c>
      <c r="D679" s="36"/>
      <c r="E679" s="37"/>
      <c r="F679" s="33"/>
      <c r="G679" s="35"/>
      <c r="H679" s="37"/>
      <c r="I679" s="59" t="s">
        <v>876</v>
      </c>
      <c r="J679" s="57">
        <v>267092.7</v>
      </c>
      <c r="K679" s="40">
        <f>((J679-M679)/J679)*100</f>
        <v>100</v>
      </c>
      <c r="L679" s="41">
        <f>J679-M679</f>
        <v>267092.7</v>
      </c>
      <c r="M679" s="38"/>
      <c r="N679" s="41">
        <f>J679-O679</f>
        <v>267092.7</v>
      </c>
      <c r="O679" s="38">
        <v>0</v>
      </c>
      <c r="P679" s="27">
        <f t="shared" si="84"/>
        <v>0</v>
      </c>
      <c r="Q679" s="27">
        <f t="shared" si="84"/>
        <v>0</v>
      </c>
      <c r="R679" s="27" t="e">
        <f>Q679/U679</f>
        <v>#DIV/0!</v>
      </c>
      <c r="S679" s="38" t="e">
        <f>Q679/U679</f>
        <v>#DIV/0!</v>
      </c>
      <c r="T679" s="38" t="e">
        <f>S679*AR679</f>
        <v>#DIV/0!</v>
      </c>
      <c r="U679" s="38">
        <f t="shared" si="82"/>
        <v>0</v>
      </c>
      <c r="V679" s="38">
        <v>0</v>
      </c>
      <c r="W679" s="38">
        <v>0</v>
      </c>
      <c r="X679" s="38">
        <v>0</v>
      </c>
      <c r="Y679" s="38"/>
      <c r="Z679" s="38" t="e">
        <f t="shared" si="80"/>
        <v>#DIV/0!</v>
      </c>
      <c r="AA679" s="38"/>
      <c r="AB679" s="38" t="e">
        <f t="shared" si="81"/>
        <v>#DIV/0!</v>
      </c>
      <c r="AC679" s="38" t="e">
        <f>U679/AR679</f>
        <v>#DIV/0!</v>
      </c>
      <c r="AD679" s="38" t="e">
        <f t="shared" si="83"/>
        <v>#DIV/0!</v>
      </c>
      <c r="AE679" s="33">
        <v>45566</v>
      </c>
      <c r="AF679" s="33"/>
      <c r="AG679" s="33"/>
      <c r="AH679" s="33"/>
      <c r="AI679" s="33"/>
      <c r="AJ679" s="42"/>
      <c r="AK679" s="37"/>
      <c r="AL679" s="37"/>
      <c r="AM679" s="37"/>
      <c r="AN679" s="37"/>
      <c r="AO679" s="43"/>
      <c r="AP679" s="35"/>
      <c r="AQ679" s="35"/>
      <c r="AR679" s="44"/>
      <c r="AS679" s="37"/>
    </row>
    <row r="680" spans="1:45" ht="48" customHeight="1" x14ac:dyDescent="0.25">
      <c r="A680" s="32" t="s">
        <v>3358</v>
      </c>
      <c r="B680" s="56">
        <v>45398</v>
      </c>
      <c r="C680" s="35" t="s">
        <v>2213</v>
      </c>
      <c r="D680" s="36"/>
      <c r="E680" s="37"/>
      <c r="F680" s="33"/>
      <c r="G680" s="35"/>
      <c r="H680" s="37"/>
      <c r="I680" s="59" t="s">
        <v>1183</v>
      </c>
      <c r="J680" s="57">
        <v>470068.2</v>
      </c>
      <c r="K680" s="40">
        <f>((J680-M680)/J680)*100</f>
        <v>100</v>
      </c>
      <c r="L680" s="41">
        <f>J680-M680</f>
        <v>470068.2</v>
      </c>
      <c r="M680" s="38"/>
      <c r="N680" s="41">
        <f>J680-O680</f>
        <v>470068.2</v>
      </c>
      <c r="O680" s="38">
        <v>0</v>
      </c>
      <c r="P680" s="27">
        <f t="shared" si="84"/>
        <v>0</v>
      </c>
      <c r="Q680" s="27">
        <f t="shared" si="84"/>
        <v>0</v>
      </c>
      <c r="R680" s="27" t="e">
        <f>Q680/U680</f>
        <v>#DIV/0!</v>
      </c>
      <c r="S680" s="38" t="e">
        <f>Q680/U680</f>
        <v>#DIV/0!</v>
      </c>
      <c r="T680" s="38" t="e">
        <f>S680*AR680</f>
        <v>#DIV/0!</v>
      </c>
      <c r="U680" s="38">
        <f t="shared" si="82"/>
        <v>0</v>
      </c>
      <c r="V680" s="38">
        <v>0</v>
      </c>
      <c r="W680" s="38">
        <v>0</v>
      </c>
      <c r="X680" s="38">
        <v>0</v>
      </c>
      <c r="Y680" s="38"/>
      <c r="Z680" s="38" t="e">
        <f t="shared" si="80"/>
        <v>#DIV/0!</v>
      </c>
      <c r="AA680" s="38"/>
      <c r="AB680" s="38" t="e">
        <f t="shared" si="81"/>
        <v>#DIV/0!</v>
      </c>
      <c r="AC680" s="38" t="e">
        <f>U680/AR680</f>
        <v>#DIV/0!</v>
      </c>
      <c r="AD680" s="38" t="e">
        <f t="shared" si="83"/>
        <v>#DIV/0!</v>
      </c>
      <c r="AE680" s="33">
        <v>45474</v>
      </c>
      <c r="AF680" s="33"/>
      <c r="AG680" s="33"/>
      <c r="AH680" s="33"/>
      <c r="AI680" s="33"/>
      <c r="AJ680" s="42"/>
      <c r="AK680" s="37"/>
      <c r="AL680" s="37"/>
      <c r="AM680" s="37"/>
      <c r="AN680" s="37"/>
      <c r="AO680" s="43"/>
      <c r="AP680" s="35"/>
      <c r="AQ680" s="35"/>
      <c r="AR680" s="44"/>
      <c r="AS680" s="37"/>
    </row>
    <row r="681" spans="1:45" ht="48" customHeight="1" x14ac:dyDescent="0.25">
      <c r="A681" s="32" t="s">
        <v>3359</v>
      </c>
      <c r="B681" s="56">
        <v>45398</v>
      </c>
      <c r="C681" s="35" t="s">
        <v>2642</v>
      </c>
      <c r="D681" s="36"/>
      <c r="E681" s="37"/>
      <c r="F681" s="33"/>
      <c r="G681" s="35"/>
      <c r="H681" s="37"/>
      <c r="I681" s="58" t="s">
        <v>1563</v>
      </c>
      <c r="J681" s="57">
        <v>2589719</v>
      </c>
      <c r="K681" s="40">
        <f>((J681-M681)/J681)*100</f>
        <v>100</v>
      </c>
      <c r="L681" s="41">
        <f>J681-M681</f>
        <v>2589719</v>
      </c>
      <c r="M681" s="38"/>
      <c r="N681" s="41">
        <f>J681-O681</f>
        <v>2589719</v>
      </c>
      <c r="O681" s="38">
        <v>0</v>
      </c>
      <c r="P681" s="27">
        <f t="shared" si="84"/>
        <v>0</v>
      </c>
      <c r="Q681" s="27">
        <f t="shared" si="84"/>
        <v>0</v>
      </c>
      <c r="R681" s="27" t="e">
        <f>Q681/U681</f>
        <v>#DIV/0!</v>
      </c>
      <c r="S681" s="38" t="e">
        <f>Q681/U681</f>
        <v>#DIV/0!</v>
      </c>
      <c r="T681" s="38" t="e">
        <f>S681*AR681</f>
        <v>#DIV/0!</v>
      </c>
      <c r="U681" s="38">
        <f t="shared" si="82"/>
        <v>0</v>
      </c>
      <c r="V681" s="38">
        <v>0</v>
      </c>
      <c r="W681" s="38">
        <v>0</v>
      </c>
      <c r="X681" s="38">
        <v>0</v>
      </c>
      <c r="Y681" s="38"/>
      <c r="Z681" s="38" t="e">
        <f t="shared" si="80"/>
        <v>#DIV/0!</v>
      </c>
      <c r="AA681" s="38"/>
      <c r="AB681" s="38" t="e">
        <f t="shared" si="81"/>
        <v>#DIV/0!</v>
      </c>
      <c r="AC681" s="38" t="e">
        <f>U681/AR681</f>
        <v>#DIV/0!</v>
      </c>
      <c r="AD681" s="38" t="e">
        <f t="shared" si="83"/>
        <v>#DIV/0!</v>
      </c>
      <c r="AE681" s="33">
        <v>45566</v>
      </c>
      <c r="AF681" s="33"/>
      <c r="AG681" s="33"/>
      <c r="AH681" s="33"/>
      <c r="AI681" s="33"/>
      <c r="AJ681" s="42"/>
      <c r="AK681" s="37"/>
      <c r="AL681" s="37"/>
      <c r="AM681" s="37"/>
      <c r="AN681" s="37"/>
      <c r="AO681" s="43"/>
      <c r="AP681" s="35"/>
      <c r="AQ681" s="35"/>
      <c r="AR681" s="44"/>
      <c r="AS681" s="37"/>
    </row>
    <row r="682" spans="1:45" ht="48" customHeight="1" x14ac:dyDescent="0.25">
      <c r="A682" s="32" t="s">
        <v>3360</v>
      </c>
      <c r="B682" s="56">
        <v>45398</v>
      </c>
      <c r="C682" s="35">
        <v>1416</v>
      </c>
      <c r="D682" s="36"/>
      <c r="E682" s="37"/>
      <c r="F682" s="33"/>
      <c r="G682" s="35"/>
      <c r="H682" s="37"/>
      <c r="I682" s="58" t="s">
        <v>3362</v>
      </c>
      <c r="J682" s="57">
        <v>956746398.74000001</v>
      </c>
      <c r="K682" s="40">
        <f>((J682-M682)/J682)*100</f>
        <v>100</v>
      </c>
      <c r="L682" s="41">
        <f>J682-M682</f>
        <v>956746398.74000001</v>
      </c>
      <c r="M682" s="38"/>
      <c r="N682" s="41">
        <f>J682-O682</f>
        <v>956746398.74000001</v>
      </c>
      <c r="O682" s="38">
        <v>0</v>
      </c>
      <c r="P682" s="27">
        <f t="shared" si="84"/>
        <v>0</v>
      </c>
      <c r="Q682" s="27">
        <f t="shared" si="84"/>
        <v>0</v>
      </c>
      <c r="R682" s="27" t="e">
        <f>Q682/U682</f>
        <v>#DIV/0!</v>
      </c>
      <c r="S682" s="38" t="e">
        <f>Q682/U682</f>
        <v>#DIV/0!</v>
      </c>
      <c r="T682" s="38" t="e">
        <f>S682*AR682</f>
        <v>#DIV/0!</v>
      </c>
      <c r="U682" s="38">
        <f t="shared" si="82"/>
        <v>0</v>
      </c>
      <c r="V682" s="38">
        <v>0</v>
      </c>
      <c r="W682" s="38">
        <v>0</v>
      </c>
      <c r="X682" s="38">
        <v>0</v>
      </c>
      <c r="Y682" s="38"/>
      <c r="Z682" s="38" t="e">
        <f t="shared" si="80"/>
        <v>#DIV/0!</v>
      </c>
      <c r="AA682" s="38"/>
      <c r="AB682" s="38" t="e">
        <f t="shared" si="81"/>
        <v>#DIV/0!</v>
      </c>
      <c r="AC682" s="38" t="e">
        <f>U682/AR682</f>
        <v>#DIV/0!</v>
      </c>
      <c r="AD682" s="38" t="e">
        <f t="shared" si="83"/>
        <v>#DIV/0!</v>
      </c>
      <c r="AE682" s="33">
        <v>45627</v>
      </c>
      <c r="AF682" s="33"/>
      <c r="AG682" s="33"/>
      <c r="AH682" s="33"/>
      <c r="AI682" s="33"/>
      <c r="AJ682" s="42"/>
      <c r="AK682" s="37"/>
      <c r="AL682" s="37"/>
      <c r="AM682" s="37"/>
      <c r="AN682" s="37"/>
      <c r="AO682" s="43"/>
      <c r="AP682" s="35"/>
      <c r="AQ682" s="35"/>
      <c r="AR682" s="44"/>
      <c r="AS682" s="37"/>
    </row>
    <row r="683" spans="1:45" ht="48" customHeight="1" x14ac:dyDescent="0.25">
      <c r="A683" s="32" t="s">
        <v>3361</v>
      </c>
      <c r="B683" s="56">
        <v>45398</v>
      </c>
      <c r="C683" s="35">
        <v>1512</v>
      </c>
      <c r="D683" s="36"/>
      <c r="E683" s="37"/>
      <c r="F683" s="33"/>
      <c r="G683" s="35"/>
      <c r="H683" s="37"/>
      <c r="I683" s="58" t="s">
        <v>1753</v>
      </c>
      <c r="J683" s="57">
        <v>124496502</v>
      </c>
      <c r="K683" s="40">
        <f>((J683-M683)/J683)*100</f>
        <v>100</v>
      </c>
      <c r="L683" s="41">
        <f>J683-M683</f>
        <v>124496502</v>
      </c>
      <c r="M683" s="38"/>
      <c r="N683" s="41">
        <f>J683-O683</f>
        <v>124496502</v>
      </c>
      <c r="O683" s="38">
        <v>0</v>
      </c>
      <c r="P683" s="27">
        <f t="shared" si="84"/>
        <v>0</v>
      </c>
      <c r="Q683" s="27">
        <f t="shared" si="84"/>
        <v>0</v>
      </c>
      <c r="R683" s="27" t="e">
        <f>Q683/U683</f>
        <v>#DIV/0!</v>
      </c>
      <c r="S683" s="38" t="e">
        <f>Q683/U683</f>
        <v>#DIV/0!</v>
      </c>
      <c r="T683" s="38" t="e">
        <f>S683*AR683</f>
        <v>#DIV/0!</v>
      </c>
      <c r="U683" s="38">
        <f t="shared" si="82"/>
        <v>0</v>
      </c>
      <c r="V683" s="38">
        <v>0</v>
      </c>
      <c r="W683" s="38">
        <v>0</v>
      </c>
      <c r="X683" s="38">
        <v>0</v>
      </c>
      <c r="Y683" s="38"/>
      <c r="Z683" s="38" t="e">
        <f t="shared" si="80"/>
        <v>#DIV/0!</v>
      </c>
      <c r="AA683" s="38"/>
      <c r="AB683" s="38" t="e">
        <f t="shared" si="81"/>
        <v>#DIV/0!</v>
      </c>
      <c r="AC683" s="38" t="e">
        <f>U683/AR683</f>
        <v>#DIV/0!</v>
      </c>
      <c r="AD683" s="38" t="e">
        <f t="shared" si="83"/>
        <v>#DIV/0!</v>
      </c>
      <c r="AE683" s="33">
        <v>45566</v>
      </c>
      <c r="AF683" s="33"/>
      <c r="AG683" s="33"/>
      <c r="AH683" s="33"/>
      <c r="AI683" s="33"/>
      <c r="AJ683" s="42"/>
      <c r="AK683" s="37"/>
      <c r="AL683" s="37"/>
      <c r="AM683" s="37"/>
      <c r="AN683" s="37"/>
      <c r="AO683" s="43"/>
      <c r="AP683" s="35"/>
      <c r="AQ683" s="35"/>
      <c r="AR683" s="44"/>
      <c r="AS683" s="37"/>
    </row>
    <row r="684" spans="1:45" ht="48" customHeight="1" x14ac:dyDescent="0.25">
      <c r="A684" s="32" t="s">
        <v>3363</v>
      </c>
      <c r="B684" s="56">
        <v>45398</v>
      </c>
      <c r="C684" s="35">
        <v>1512</v>
      </c>
      <c r="D684" s="36"/>
      <c r="E684" s="37"/>
      <c r="F684" s="33"/>
      <c r="G684" s="35"/>
      <c r="H684" s="37"/>
      <c r="I684" s="58" t="s">
        <v>1710</v>
      </c>
      <c r="J684" s="57">
        <v>159050786.40000001</v>
      </c>
      <c r="K684" s="40">
        <f>((J684-M684)/J684)*100</f>
        <v>100</v>
      </c>
      <c r="L684" s="41">
        <f>J684-M684</f>
        <v>159050786.40000001</v>
      </c>
      <c r="M684" s="38"/>
      <c r="N684" s="41">
        <f>J684-O684</f>
        <v>159050786.40000001</v>
      </c>
      <c r="O684" s="38">
        <v>0</v>
      </c>
      <c r="P684" s="27">
        <f t="shared" si="84"/>
        <v>0</v>
      </c>
      <c r="Q684" s="27">
        <f t="shared" si="84"/>
        <v>0</v>
      </c>
      <c r="R684" s="27" t="e">
        <f>Q684/U684</f>
        <v>#DIV/0!</v>
      </c>
      <c r="S684" s="38" t="e">
        <f>Q684/U684</f>
        <v>#DIV/0!</v>
      </c>
      <c r="T684" s="38" t="e">
        <f>S684*AR684</f>
        <v>#DIV/0!</v>
      </c>
      <c r="U684" s="38">
        <f t="shared" si="82"/>
        <v>0</v>
      </c>
      <c r="V684" s="38">
        <v>0</v>
      </c>
      <c r="W684" s="38">
        <v>0</v>
      </c>
      <c r="X684" s="38">
        <v>0</v>
      </c>
      <c r="Y684" s="38"/>
      <c r="Z684" s="38" t="e">
        <f t="shared" si="80"/>
        <v>#DIV/0!</v>
      </c>
      <c r="AA684" s="38"/>
      <c r="AB684" s="38" t="e">
        <f t="shared" si="81"/>
        <v>#DIV/0!</v>
      </c>
      <c r="AC684" s="38" t="e">
        <f>U684/AR684</f>
        <v>#DIV/0!</v>
      </c>
      <c r="AD684" s="38" t="e">
        <f t="shared" si="83"/>
        <v>#DIV/0!</v>
      </c>
      <c r="AE684" s="33">
        <v>45536</v>
      </c>
      <c r="AF684" s="33"/>
      <c r="AG684" s="33"/>
      <c r="AH684" s="33"/>
      <c r="AI684" s="33"/>
      <c r="AJ684" s="42"/>
      <c r="AK684" s="37"/>
      <c r="AL684" s="37"/>
      <c r="AM684" s="37"/>
      <c r="AN684" s="37"/>
      <c r="AO684" s="43"/>
      <c r="AP684" s="35"/>
      <c r="AQ684" s="35"/>
      <c r="AR684" s="44"/>
      <c r="AS684" s="37"/>
    </row>
    <row r="685" spans="1:45" ht="48" customHeight="1" x14ac:dyDescent="0.25">
      <c r="A685" s="32" t="s">
        <v>3364</v>
      </c>
      <c r="B685" s="56">
        <v>45398</v>
      </c>
      <c r="C685" s="35">
        <v>1416</v>
      </c>
      <c r="D685" s="36"/>
      <c r="E685" s="37"/>
      <c r="F685" s="33"/>
      <c r="G685" s="35"/>
      <c r="H685" s="37"/>
      <c r="I685" s="58" t="s">
        <v>936</v>
      </c>
      <c r="J685" s="57">
        <v>155484950</v>
      </c>
      <c r="K685" s="40">
        <f>((J685-M685)/J685)*100</f>
        <v>100</v>
      </c>
      <c r="L685" s="41">
        <f>J685-M685</f>
        <v>155484950</v>
      </c>
      <c r="M685" s="38"/>
      <c r="N685" s="41">
        <f>J685-O685</f>
        <v>155484950</v>
      </c>
      <c r="O685" s="38">
        <v>0</v>
      </c>
      <c r="P685" s="27">
        <f t="shared" si="84"/>
        <v>0</v>
      </c>
      <c r="Q685" s="27">
        <f t="shared" si="84"/>
        <v>0</v>
      </c>
      <c r="R685" s="27" t="e">
        <f>Q685/U685</f>
        <v>#DIV/0!</v>
      </c>
      <c r="S685" s="38" t="e">
        <f>Q685/U685</f>
        <v>#DIV/0!</v>
      </c>
      <c r="T685" s="38" t="e">
        <f>S685*AR685</f>
        <v>#DIV/0!</v>
      </c>
      <c r="U685" s="38">
        <f t="shared" si="82"/>
        <v>0</v>
      </c>
      <c r="V685" s="38">
        <v>0</v>
      </c>
      <c r="W685" s="38">
        <v>0</v>
      </c>
      <c r="X685" s="38">
        <v>0</v>
      </c>
      <c r="Y685" s="38"/>
      <c r="Z685" s="38" t="e">
        <f t="shared" si="80"/>
        <v>#DIV/0!</v>
      </c>
      <c r="AA685" s="38"/>
      <c r="AB685" s="38" t="e">
        <f t="shared" si="81"/>
        <v>#DIV/0!</v>
      </c>
      <c r="AC685" s="38" t="e">
        <f>U685/AR685</f>
        <v>#DIV/0!</v>
      </c>
      <c r="AD685" s="38" t="e">
        <f t="shared" si="83"/>
        <v>#DIV/0!</v>
      </c>
      <c r="AE685" s="33">
        <v>45566</v>
      </c>
      <c r="AF685" s="33"/>
      <c r="AG685" s="33"/>
      <c r="AH685" s="33"/>
      <c r="AI685" s="33"/>
      <c r="AJ685" s="42"/>
      <c r="AK685" s="37"/>
      <c r="AL685" s="37"/>
      <c r="AM685" s="37"/>
      <c r="AN685" s="37"/>
      <c r="AO685" s="43"/>
      <c r="AP685" s="35"/>
      <c r="AQ685" s="35"/>
      <c r="AR685" s="44"/>
      <c r="AS685" s="37"/>
    </row>
    <row r="686" spans="1:45" ht="48" customHeight="1" x14ac:dyDescent="0.25">
      <c r="A686" s="32" t="s">
        <v>3365</v>
      </c>
      <c r="B686" s="56">
        <v>45398</v>
      </c>
      <c r="C686" s="35" t="s">
        <v>2642</v>
      </c>
      <c r="D686" s="36"/>
      <c r="E686" s="37"/>
      <c r="F686" s="33"/>
      <c r="G686" s="35"/>
      <c r="H686" s="37"/>
      <c r="I686" s="58" t="s">
        <v>1563</v>
      </c>
      <c r="J686" s="57">
        <v>39083</v>
      </c>
      <c r="K686" s="40">
        <f>((J686-M686)/J686)*100</f>
        <v>100</v>
      </c>
      <c r="L686" s="41">
        <f>J686-M686</f>
        <v>39083</v>
      </c>
      <c r="M686" s="38"/>
      <c r="N686" s="41">
        <f>J686-O686</f>
        <v>39083</v>
      </c>
      <c r="O686" s="38">
        <v>0</v>
      </c>
      <c r="P686" s="27">
        <f t="shared" si="84"/>
        <v>0</v>
      </c>
      <c r="Q686" s="27">
        <f t="shared" si="84"/>
        <v>0</v>
      </c>
      <c r="R686" s="27" t="e">
        <f>Q686/U686</f>
        <v>#DIV/0!</v>
      </c>
      <c r="S686" s="38" t="e">
        <f>Q686/U686</f>
        <v>#DIV/0!</v>
      </c>
      <c r="T686" s="38" t="e">
        <f>S686*AR686</f>
        <v>#DIV/0!</v>
      </c>
      <c r="U686" s="38">
        <f t="shared" si="82"/>
        <v>0</v>
      </c>
      <c r="V686" s="38">
        <v>0</v>
      </c>
      <c r="W686" s="38">
        <v>0</v>
      </c>
      <c r="X686" s="38">
        <v>0</v>
      </c>
      <c r="Y686" s="38"/>
      <c r="Z686" s="38" t="e">
        <f t="shared" si="80"/>
        <v>#DIV/0!</v>
      </c>
      <c r="AA686" s="38"/>
      <c r="AB686" s="38" t="e">
        <f t="shared" si="81"/>
        <v>#DIV/0!</v>
      </c>
      <c r="AC686" s="38" t="e">
        <f>U686/AR686</f>
        <v>#DIV/0!</v>
      </c>
      <c r="AD686" s="38" t="e">
        <f t="shared" si="83"/>
        <v>#DIV/0!</v>
      </c>
      <c r="AE686" s="33">
        <v>45566</v>
      </c>
      <c r="AF686" s="33"/>
      <c r="AG686" s="33"/>
      <c r="AH686" s="33"/>
      <c r="AI686" s="33"/>
      <c r="AJ686" s="42"/>
      <c r="AK686" s="37"/>
      <c r="AL686" s="37"/>
      <c r="AM686" s="37"/>
      <c r="AN686" s="37"/>
      <c r="AO686" s="43"/>
      <c r="AP686" s="35"/>
      <c r="AQ686" s="35"/>
      <c r="AR686" s="44"/>
      <c r="AS686" s="37"/>
    </row>
    <row r="687" spans="1:45" ht="48" customHeight="1" x14ac:dyDescent="0.25">
      <c r="A687" s="32" t="s">
        <v>3366</v>
      </c>
      <c r="B687" s="56">
        <v>45398</v>
      </c>
      <c r="C687" s="35" t="s">
        <v>2213</v>
      </c>
      <c r="D687" s="36"/>
      <c r="E687" s="37"/>
      <c r="F687" s="33"/>
      <c r="G687" s="35"/>
      <c r="H687" s="37"/>
      <c r="I687" s="58" t="s">
        <v>903</v>
      </c>
      <c r="J687" s="57">
        <v>9596625</v>
      </c>
      <c r="K687" s="40">
        <f>((J687-M687)/J687)*100</f>
        <v>100</v>
      </c>
      <c r="L687" s="41">
        <f>J687-M687</f>
        <v>9596625</v>
      </c>
      <c r="M687" s="38"/>
      <c r="N687" s="41">
        <f>J687-O687</f>
        <v>9596625</v>
      </c>
      <c r="O687" s="38">
        <v>0</v>
      </c>
      <c r="P687" s="27">
        <f t="shared" si="84"/>
        <v>0</v>
      </c>
      <c r="Q687" s="27">
        <f t="shared" si="84"/>
        <v>0</v>
      </c>
      <c r="R687" s="27" t="e">
        <f>Q687/U687</f>
        <v>#DIV/0!</v>
      </c>
      <c r="S687" s="38" t="e">
        <f>Q687/U687</f>
        <v>#DIV/0!</v>
      </c>
      <c r="T687" s="38" t="e">
        <f>S687*AR687</f>
        <v>#DIV/0!</v>
      </c>
      <c r="U687" s="38">
        <f t="shared" si="82"/>
        <v>0</v>
      </c>
      <c r="V687" s="38">
        <v>0</v>
      </c>
      <c r="W687" s="38">
        <v>0</v>
      </c>
      <c r="X687" s="38">
        <v>0</v>
      </c>
      <c r="Y687" s="38"/>
      <c r="Z687" s="38" t="e">
        <f t="shared" si="80"/>
        <v>#DIV/0!</v>
      </c>
      <c r="AA687" s="38"/>
      <c r="AB687" s="38" t="e">
        <f t="shared" si="81"/>
        <v>#DIV/0!</v>
      </c>
      <c r="AC687" s="38" t="e">
        <f>U687/AR687</f>
        <v>#DIV/0!</v>
      </c>
      <c r="AD687" s="38" t="e">
        <f t="shared" si="83"/>
        <v>#DIV/0!</v>
      </c>
      <c r="AE687" s="33">
        <v>45505</v>
      </c>
      <c r="AF687" s="33"/>
      <c r="AG687" s="33"/>
      <c r="AH687" s="33"/>
      <c r="AI687" s="33"/>
      <c r="AJ687" s="42"/>
      <c r="AK687" s="37"/>
      <c r="AL687" s="37"/>
      <c r="AM687" s="37"/>
      <c r="AN687" s="37"/>
      <c r="AO687" s="43"/>
      <c r="AP687" s="35"/>
      <c r="AQ687" s="35"/>
      <c r="AR687" s="44"/>
      <c r="AS687" s="37"/>
    </row>
    <row r="688" spans="1:45" ht="48" customHeight="1" x14ac:dyDescent="0.25">
      <c r="A688" s="32" t="s">
        <v>3367</v>
      </c>
      <c r="B688" s="56">
        <v>45398</v>
      </c>
      <c r="C688" s="35">
        <v>1416</v>
      </c>
      <c r="D688" s="36"/>
      <c r="E688" s="37"/>
      <c r="F688" s="33"/>
      <c r="G688" s="35"/>
      <c r="H688" s="37"/>
      <c r="I688" s="58" t="s">
        <v>3369</v>
      </c>
      <c r="J688" s="57">
        <v>27051057.899999999</v>
      </c>
      <c r="K688" s="40">
        <f>((J688-M688)/J688)*100</f>
        <v>100</v>
      </c>
      <c r="L688" s="41">
        <f>J688-M688</f>
        <v>27051057.899999999</v>
      </c>
      <c r="M688" s="38"/>
      <c r="N688" s="41">
        <f>J688-O688</f>
        <v>27051057.899999999</v>
      </c>
      <c r="O688" s="38">
        <v>0</v>
      </c>
      <c r="P688" s="27">
        <f t="shared" si="84"/>
        <v>0</v>
      </c>
      <c r="Q688" s="27">
        <f t="shared" si="84"/>
        <v>0</v>
      </c>
      <c r="R688" s="27" t="e">
        <f>Q688/U688</f>
        <v>#DIV/0!</v>
      </c>
      <c r="S688" s="38" t="e">
        <f>Q688/U688</f>
        <v>#DIV/0!</v>
      </c>
      <c r="T688" s="38" t="e">
        <f>S688*AR688</f>
        <v>#DIV/0!</v>
      </c>
      <c r="U688" s="38">
        <f t="shared" si="82"/>
        <v>0</v>
      </c>
      <c r="V688" s="38">
        <v>0</v>
      </c>
      <c r="W688" s="38">
        <v>0</v>
      </c>
      <c r="X688" s="38">
        <v>0</v>
      </c>
      <c r="Y688" s="38"/>
      <c r="Z688" s="38" t="e">
        <f t="shared" si="80"/>
        <v>#DIV/0!</v>
      </c>
      <c r="AA688" s="38"/>
      <c r="AB688" s="38" t="e">
        <f t="shared" si="81"/>
        <v>#DIV/0!</v>
      </c>
      <c r="AC688" s="38" t="e">
        <f>U688/AR688</f>
        <v>#DIV/0!</v>
      </c>
      <c r="AD688" s="38" t="e">
        <f t="shared" si="83"/>
        <v>#DIV/0!</v>
      </c>
      <c r="AE688" s="33">
        <v>45474</v>
      </c>
      <c r="AF688" s="33"/>
      <c r="AG688" s="33"/>
      <c r="AH688" s="33"/>
      <c r="AI688" s="33"/>
      <c r="AJ688" s="42"/>
      <c r="AK688" s="37"/>
      <c r="AL688" s="37"/>
      <c r="AM688" s="37"/>
      <c r="AN688" s="37"/>
      <c r="AO688" s="43"/>
      <c r="AP688" s="35"/>
      <c r="AQ688" s="35"/>
      <c r="AR688" s="44"/>
      <c r="AS688" s="37"/>
    </row>
    <row r="689" spans="1:45" ht="48" customHeight="1" x14ac:dyDescent="0.25">
      <c r="A689" s="32" t="s">
        <v>3368</v>
      </c>
      <c r="B689" s="56">
        <v>45398</v>
      </c>
      <c r="C689" s="35" t="s">
        <v>2642</v>
      </c>
      <c r="D689" s="36"/>
      <c r="E689" s="37"/>
      <c r="F689" s="33"/>
      <c r="G689" s="35"/>
      <c r="H689" s="37"/>
      <c r="I689" s="59" t="s">
        <v>1784</v>
      </c>
      <c r="J689" s="57">
        <v>6534623.9000000004</v>
      </c>
      <c r="K689" s="40">
        <f>((J689-M689)/J689)*100</f>
        <v>100</v>
      </c>
      <c r="L689" s="41">
        <f>J689-M689</f>
        <v>6534623.9000000004</v>
      </c>
      <c r="M689" s="38"/>
      <c r="N689" s="41">
        <f>J689-O689</f>
        <v>6534623.9000000004</v>
      </c>
      <c r="O689" s="38">
        <v>0</v>
      </c>
      <c r="P689" s="27">
        <f t="shared" si="84"/>
        <v>0</v>
      </c>
      <c r="Q689" s="27">
        <f t="shared" si="84"/>
        <v>0</v>
      </c>
      <c r="R689" s="27" t="e">
        <f>Q689/U689</f>
        <v>#DIV/0!</v>
      </c>
      <c r="S689" s="38" t="e">
        <f>Q689/U689</f>
        <v>#DIV/0!</v>
      </c>
      <c r="T689" s="38" t="e">
        <f>S689*AR689</f>
        <v>#DIV/0!</v>
      </c>
      <c r="U689" s="38">
        <f t="shared" si="82"/>
        <v>0</v>
      </c>
      <c r="V689" s="38">
        <v>0</v>
      </c>
      <c r="W689" s="38">
        <v>0</v>
      </c>
      <c r="X689" s="38">
        <v>0</v>
      </c>
      <c r="Y689" s="38"/>
      <c r="Z689" s="38" t="e">
        <f t="shared" si="80"/>
        <v>#DIV/0!</v>
      </c>
      <c r="AA689" s="38"/>
      <c r="AB689" s="38" t="e">
        <f t="shared" si="81"/>
        <v>#DIV/0!</v>
      </c>
      <c r="AC689" s="38" t="e">
        <f>U689/AR689</f>
        <v>#DIV/0!</v>
      </c>
      <c r="AD689" s="38" t="e">
        <f t="shared" si="83"/>
        <v>#DIV/0!</v>
      </c>
      <c r="AE689" s="33">
        <v>45566</v>
      </c>
      <c r="AF689" s="33"/>
      <c r="AG689" s="33"/>
      <c r="AH689" s="33"/>
      <c r="AI689" s="33"/>
      <c r="AJ689" s="42"/>
      <c r="AK689" s="37"/>
      <c r="AL689" s="37"/>
      <c r="AM689" s="37"/>
      <c r="AN689" s="37"/>
      <c r="AO689" s="43"/>
      <c r="AP689" s="35"/>
      <c r="AQ689" s="35"/>
      <c r="AR689" s="44"/>
      <c r="AS689" s="37"/>
    </row>
    <row r="690" spans="1:45" ht="48" customHeight="1" x14ac:dyDescent="0.25">
      <c r="A690" s="32" t="s">
        <v>3370</v>
      </c>
      <c r="B690" s="56">
        <v>45398</v>
      </c>
      <c r="C690" s="35">
        <v>1512</v>
      </c>
      <c r="D690" s="36"/>
      <c r="E690" s="37"/>
      <c r="F690" s="33"/>
      <c r="G690" s="35"/>
      <c r="H690" s="37"/>
      <c r="I690" s="58" t="s">
        <v>1558</v>
      </c>
      <c r="J690" s="57">
        <v>369863722.80000001</v>
      </c>
      <c r="K690" s="40">
        <f>((J690-M690)/J690)*100</f>
        <v>100</v>
      </c>
      <c r="L690" s="41">
        <f>J690-M690</f>
        <v>369863722.80000001</v>
      </c>
      <c r="M690" s="38"/>
      <c r="N690" s="41">
        <f>J690-O690</f>
        <v>369863722.80000001</v>
      </c>
      <c r="O690" s="38">
        <v>0</v>
      </c>
      <c r="P690" s="27">
        <f t="shared" si="84"/>
        <v>0</v>
      </c>
      <c r="Q690" s="27">
        <f t="shared" si="84"/>
        <v>0</v>
      </c>
      <c r="R690" s="27" t="e">
        <f>Q690/U690</f>
        <v>#DIV/0!</v>
      </c>
      <c r="S690" s="38" t="e">
        <f>Q690/U690</f>
        <v>#DIV/0!</v>
      </c>
      <c r="T690" s="38" t="e">
        <f>S690*AR690</f>
        <v>#DIV/0!</v>
      </c>
      <c r="U690" s="38">
        <f t="shared" si="82"/>
        <v>0</v>
      </c>
      <c r="V690" s="38">
        <v>0</v>
      </c>
      <c r="W690" s="38">
        <v>0</v>
      </c>
      <c r="X690" s="38">
        <v>0</v>
      </c>
      <c r="Y690" s="38"/>
      <c r="Z690" s="38" t="e">
        <f t="shared" si="80"/>
        <v>#DIV/0!</v>
      </c>
      <c r="AA690" s="38"/>
      <c r="AB690" s="38" t="e">
        <f t="shared" si="81"/>
        <v>#DIV/0!</v>
      </c>
      <c r="AC690" s="38" t="e">
        <f>U690/AR690</f>
        <v>#DIV/0!</v>
      </c>
      <c r="AD690" s="38" t="e">
        <f t="shared" si="83"/>
        <v>#DIV/0!</v>
      </c>
      <c r="AE690" s="33">
        <v>45566</v>
      </c>
      <c r="AF690" s="33"/>
      <c r="AG690" s="33"/>
      <c r="AH690" s="33"/>
      <c r="AI690" s="33"/>
      <c r="AJ690" s="42"/>
      <c r="AK690" s="37"/>
      <c r="AL690" s="37"/>
      <c r="AM690" s="37"/>
      <c r="AN690" s="37"/>
      <c r="AO690" s="43"/>
      <c r="AP690" s="35"/>
      <c r="AQ690" s="35"/>
      <c r="AR690" s="44"/>
      <c r="AS690" s="37"/>
    </row>
    <row r="691" spans="1:45" ht="48" customHeight="1" x14ac:dyDescent="0.25">
      <c r="A691" s="32" t="s">
        <v>3371</v>
      </c>
      <c r="B691" s="56">
        <v>45398</v>
      </c>
      <c r="C691" s="35">
        <v>1512</v>
      </c>
      <c r="D691" s="36"/>
      <c r="E691" s="37"/>
      <c r="F691" s="33"/>
      <c r="G691" s="35"/>
      <c r="H691" s="37"/>
      <c r="I691" s="58" t="s">
        <v>3373</v>
      </c>
      <c r="J691" s="57">
        <v>11293753</v>
      </c>
      <c r="K691" s="40">
        <f>((J691-M691)/J691)*100</f>
        <v>100</v>
      </c>
      <c r="L691" s="41">
        <f>J691-M691</f>
        <v>11293753</v>
      </c>
      <c r="M691" s="38"/>
      <c r="N691" s="41">
        <f>J691-O691</f>
        <v>11293753</v>
      </c>
      <c r="O691" s="38">
        <v>0</v>
      </c>
      <c r="P691" s="27">
        <f t="shared" si="84"/>
        <v>0</v>
      </c>
      <c r="Q691" s="27">
        <f t="shared" si="84"/>
        <v>0</v>
      </c>
      <c r="R691" s="27" t="e">
        <f>Q691/U691</f>
        <v>#DIV/0!</v>
      </c>
      <c r="S691" s="38" t="e">
        <f>Q691/U691</f>
        <v>#DIV/0!</v>
      </c>
      <c r="T691" s="38" t="e">
        <f>S691*AR691</f>
        <v>#DIV/0!</v>
      </c>
      <c r="U691" s="38">
        <f t="shared" si="82"/>
        <v>0</v>
      </c>
      <c r="V691" s="38">
        <v>0</v>
      </c>
      <c r="W691" s="38">
        <v>0</v>
      </c>
      <c r="X691" s="38">
        <v>0</v>
      </c>
      <c r="Y691" s="38"/>
      <c r="Z691" s="38" t="e">
        <f t="shared" si="80"/>
        <v>#DIV/0!</v>
      </c>
      <c r="AA691" s="38"/>
      <c r="AB691" s="38" t="e">
        <f t="shared" si="81"/>
        <v>#DIV/0!</v>
      </c>
      <c r="AC691" s="38" t="e">
        <f>U691/AR691</f>
        <v>#DIV/0!</v>
      </c>
      <c r="AD691" s="38" t="e">
        <f t="shared" si="83"/>
        <v>#DIV/0!</v>
      </c>
      <c r="AE691" s="33">
        <v>45566</v>
      </c>
      <c r="AF691" s="33"/>
      <c r="AG691" s="33"/>
      <c r="AH691" s="33"/>
      <c r="AI691" s="33"/>
      <c r="AJ691" s="42"/>
      <c r="AK691" s="37"/>
      <c r="AL691" s="37"/>
      <c r="AM691" s="37"/>
      <c r="AN691" s="37"/>
      <c r="AO691" s="43"/>
      <c r="AP691" s="35"/>
      <c r="AQ691" s="35"/>
      <c r="AR691" s="44"/>
      <c r="AS691" s="37"/>
    </row>
    <row r="692" spans="1:45" ht="48" customHeight="1" x14ac:dyDescent="0.25">
      <c r="A692" s="32" t="s">
        <v>3372</v>
      </c>
      <c r="B692" s="56">
        <v>45398</v>
      </c>
      <c r="C692" s="35">
        <v>1512</v>
      </c>
      <c r="D692" s="36"/>
      <c r="E692" s="37"/>
      <c r="F692" s="33"/>
      <c r="G692" s="35"/>
      <c r="H692" s="37"/>
      <c r="I692" s="58" t="s">
        <v>3375</v>
      </c>
      <c r="J692" s="57">
        <v>170342040</v>
      </c>
      <c r="K692" s="40">
        <f>((J692-M692)/J692)*100</f>
        <v>100</v>
      </c>
      <c r="L692" s="41">
        <f>J692-M692</f>
        <v>170342040</v>
      </c>
      <c r="M692" s="38"/>
      <c r="N692" s="41">
        <f>J692-O692</f>
        <v>170342040</v>
      </c>
      <c r="O692" s="38">
        <v>0</v>
      </c>
      <c r="P692" s="27">
        <f t="shared" si="84"/>
        <v>0</v>
      </c>
      <c r="Q692" s="27">
        <f t="shared" si="84"/>
        <v>0</v>
      </c>
      <c r="R692" s="27" t="e">
        <f>Q692/U692</f>
        <v>#DIV/0!</v>
      </c>
      <c r="S692" s="38" t="e">
        <f>Q692/U692</f>
        <v>#DIV/0!</v>
      </c>
      <c r="T692" s="38" t="e">
        <f>S692*AR692</f>
        <v>#DIV/0!</v>
      </c>
      <c r="U692" s="38">
        <f t="shared" si="82"/>
        <v>0</v>
      </c>
      <c r="V692" s="38">
        <v>0</v>
      </c>
      <c r="W692" s="38">
        <v>0</v>
      </c>
      <c r="X692" s="38">
        <v>0</v>
      </c>
      <c r="Y692" s="38"/>
      <c r="Z692" s="38" t="e">
        <f t="shared" si="80"/>
        <v>#DIV/0!</v>
      </c>
      <c r="AA692" s="38"/>
      <c r="AB692" s="38" t="e">
        <f t="shared" si="81"/>
        <v>#DIV/0!</v>
      </c>
      <c r="AC692" s="38" t="e">
        <f>U692/AR692</f>
        <v>#DIV/0!</v>
      </c>
      <c r="AD692" s="38" t="e">
        <f t="shared" si="83"/>
        <v>#DIV/0!</v>
      </c>
      <c r="AE692" s="33">
        <v>45474</v>
      </c>
      <c r="AF692" s="33"/>
      <c r="AG692" s="33"/>
      <c r="AH692" s="33"/>
      <c r="AI692" s="33"/>
      <c r="AJ692" s="42"/>
      <c r="AK692" s="37"/>
      <c r="AL692" s="37"/>
      <c r="AM692" s="37"/>
      <c r="AN692" s="37"/>
      <c r="AO692" s="43"/>
      <c r="AP692" s="35"/>
      <c r="AQ692" s="35"/>
      <c r="AR692" s="44"/>
      <c r="AS692" s="37"/>
    </row>
    <row r="693" spans="1:45" ht="48" customHeight="1" x14ac:dyDescent="0.25">
      <c r="A693" s="32" t="s">
        <v>3374</v>
      </c>
      <c r="B693" s="56">
        <v>45398</v>
      </c>
      <c r="C693" s="35">
        <v>545</v>
      </c>
      <c r="D693" s="36"/>
      <c r="E693" s="37"/>
      <c r="F693" s="33"/>
      <c r="G693" s="35"/>
      <c r="H693" s="37"/>
      <c r="I693" s="58" t="s">
        <v>3377</v>
      </c>
      <c r="J693" s="57">
        <v>3740000000</v>
      </c>
      <c r="K693" s="40">
        <f>((J693-M693)/J693)*100</f>
        <v>100</v>
      </c>
      <c r="L693" s="41">
        <f>J693-M693</f>
        <v>3740000000</v>
      </c>
      <c r="M693" s="38"/>
      <c r="N693" s="41">
        <f>J693-O693</f>
        <v>3740000000</v>
      </c>
      <c r="O693" s="38">
        <v>0</v>
      </c>
      <c r="P693" s="27">
        <f t="shared" si="84"/>
        <v>0</v>
      </c>
      <c r="Q693" s="27">
        <f t="shared" si="84"/>
        <v>0</v>
      </c>
      <c r="R693" s="27" t="e">
        <f>Q693/U693</f>
        <v>#DIV/0!</v>
      </c>
      <c r="S693" s="38" t="e">
        <f>Q693/U693</f>
        <v>#DIV/0!</v>
      </c>
      <c r="T693" s="38" t="e">
        <f>S693*AR693</f>
        <v>#DIV/0!</v>
      </c>
      <c r="U693" s="38">
        <f t="shared" si="82"/>
        <v>0</v>
      </c>
      <c r="V693" s="38">
        <v>0</v>
      </c>
      <c r="W693" s="38">
        <v>0</v>
      </c>
      <c r="X693" s="38">
        <v>0</v>
      </c>
      <c r="Y693" s="38"/>
      <c r="Z693" s="38" t="e">
        <f t="shared" si="80"/>
        <v>#DIV/0!</v>
      </c>
      <c r="AA693" s="38"/>
      <c r="AB693" s="38" t="e">
        <f t="shared" si="81"/>
        <v>#DIV/0!</v>
      </c>
      <c r="AC693" s="38" t="e">
        <f>U693/AR693</f>
        <v>#DIV/0!</v>
      </c>
      <c r="AD693" s="38" t="e">
        <f t="shared" si="83"/>
        <v>#DIV/0!</v>
      </c>
      <c r="AE693" s="33">
        <v>45657</v>
      </c>
      <c r="AF693" s="33"/>
      <c r="AG693" s="33"/>
      <c r="AH693" s="33"/>
      <c r="AI693" s="33"/>
      <c r="AJ693" s="42"/>
      <c r="AK693" s="37"/>
      <c r="AL693" s="37"/>
      <c r="AM693" s="37"/>
      <c r="AN693" s="37"/>
      <c r="AO693" s="43"/>
      <c r="AP693" s="35"/>
      <c r="AQ693" s="35"/>
      <c r="AR693" s="44"/>
      <c r="AS693" s="37"/>
    </row>
    <row r="694" spans="1:45" ht="48" customHeight="1" x14ac:dyDescent="0.25">
      <c r="A694" s="32" t="s">
        <v>3376</v>
      </c>
      <c r="B694" s="56">
        <v>45398</v>
      </c>
      <c r="C694" s="35">
        <v>1512</v>
      </c>
      <c r="D694" s="36"/>
      <c r="E694" s="37"/>
      <c r="F694" s="33"/>
      <c r="G694" s="35"/>
      <c r="H694" s="37"/>
      <c r="I694" s="58" t="s">
        <v>1889</v>
      </c>
      <c r="J694" s="57">
        <v>1551805810.8</v>
      </c>
      <c r="K694" s="40">
        <f>((J694-M694)/J694)*100</f>
        <v>100</v>
      </c>
      <c r="L694" s="41">
        <f>J694-M694</f>
        <v>1551805810.8</v>
      </c>
      <c r="M694" s="38"/>
      <c r="N694" s="41">
        <f>J694-O694</f>
        <v>1551805810.8</v>
      </c>
      <c r="O694" s="38">
        <v>0</v>
      </c>
      <c r="P694" s="27">
        <f t="shared" si="84"/>
        <v>0</v>
      </c>
      <c r="Q694" s="27">
        <f t="shared" si="84"/>
        <v>0</v>
      </c>
      <c r="R694" s="27" t="e">
        <f>Q694/U694</f>
        <v>#DIV/0!</v>
      </c>
      <c r="S694" s="38" t="e">
        <f>Q694/U694</f>
        <v>#DIV/0!</v>
      </c>
      <c r="T694" s="38" t="e">
        <f>S694*AR694</f>
        <v>#DIV/0!</v>
      </c>
      <c r="U694" s="38">
        <f t="shared" si="82"/>
        <v>0</v>
      </c>
      <c r="V694" s="38">
        <v>0</v>
      </c>
      <c r="W694" s="38">
        <v>0</v>
      </c>
      <c r="X694" s="38">
        <v>0</v>
      </c>
      <c r="Y694" s="38"/>
      <c r="Z694" s="38" t="e">
        <f t="shared" si="80"/>
        <v>#DIV/0!</v>
      </c>
      <c r="AA694" s="38"/>
      <c r="AB694" s="38" t="e">
        <f t="shared" si="81"/>
        <v>#DIV/0!</v>
      </c>
      <c r="AC694" s="38" t="e">
        <f>U694/AR694</f>
        <v>#DIV/0!</v>
      </c>
      <c r="AD694" s="38" t="e">
        <f t="shared" si="83"/>
        <v>#DIV/0!</v>
      </c>
      <c r="AE694" s="33">
        <v>45566</v>
      </c>
      <c r="AF694" s="33"/>
      <c r="AG694" s="33"/>
      <c r="AH694" s="33"/>
      <c r="AI694" s="33"/>
      <c r="AJ694" s="42"/>
      <c r="AK694" s="37"/>
      <c r="AL694" s="37"/>
      <c r="AM694" s="37"/>
      <c r="AN694" s="37"/>
      <c r="AO694" s="43"/>
      <c r="AP694" s="35"/>
      <c r="AQ694" s="35"/>
      <c r="AR694" s="44"/>
      <c r="AS694" s="37"/>
    </row>
    <row r="695" spans="1:45" ht="48" customHeight="1" x14ac:dyDescent="0.25">
      <c r="A695" s="32" t="s">
        <v>3378</v>
      </c>
      <c r="B695" s="56">
        <v>45398</v>
      </c>
      <c r="C695" s="35">
        <v>1512</v>
      </c>
      <c r="D695" s="36"/>
      <c r="E695" s="37"/>
      <c r="F695" s="33"/>
      <c r="G695" s="35"/>
      <c r="H695" s="37"/>
      <c r="I695" s="58" t="s">
        <v>1670</v>
      </c>
      <c r="J695" s="57">
        <v>1108301501.0999999</v>
      </c>
      <c r="K695" s="40">
        <f>((J695-M695)/J695)*100</f>
        <v>100</v>
      </c>
      <c r="L695" s="41">
        <f>J695-M695</f>
        <v>1108301501.0999999</v>
      </c>
      <c r="M695" s="38"/>
      <c r="N695" s="41">
        <f>J695-O695</f>
        <v>1108301501.0999999</v>
      </c>
      <c r="O695" s="38">
        <v>0</v>
      </c>
      <c r="P695" s="27">
        <f t="shared" si="84"/>
        <v>0</v>
      </c>
      <c r="Q695" s="27">
        <f t="shared" si="84"/>
        <v>0</v>
      </c>
      <c r="R695" s="27" t="e">
        <f>Q695/U695</f>
        <v>#DIV/0!</v>
      </c>
      <c r="S695" s="38" t="e">
        <f>Q695/U695</f>
        <v>#DIV/0!</v>
      </c>
      <c r="T695" s="38" t="e">
        <f>S695*AR695</f>
        <v>#DIV/0!</v>
      </c>
      <c r="U695" s="38">
        <f t="shared" si="82"/>
        <v>0</v>
      </c>
      <c r="V695" s="38">
        <v>0</v>
      </c>
      <c r="W695" s="38">
        <v>0</v>
      </c>
      <c r="X695" s="38">
        <v>0</v>
      </c>
      <c r="Y695" s="38"/>
      <c r="Z695" s="38" t="e">
        <f t="shared" si="80"/>
        <v>#DIV/0!</v>
      </c>
      <c r="AA695" s="38"/>
      <c r="AB695" s="38" t="e">
        <f t="shared" si="81"/>
        <v>#DIV/0!</v>
      </c>
      <c r="AC695" s="38" t="e">
        <f>U695/AR695</f>
        <v>#DIV/0!</v>
      </c>
      <c r="AD695" s="38" t="e">
        <f t="shared" si="83"/>
        <v>#DIV/0!</v>
      </c>
      <c r="AE695" s="33">
        <v>45566</v>
      </c>
      <c r="AF695" s="33"/>
      <c r="AG695" s="33"/>
      <c r="AH695" s="33"/>
      <c r="AI695" s="33"/>
      <c r="AJ695" s="42"/>
      <c r="AK695" s="37"/>
      <c r="AL695" s="37"/>
      <c r="AM695" s="37"/>
      <c r="AN695" s="37"/>
      <c r="AO695" s="43"/>
      <c r="AP695" s="35"/>
      <c r="AQ695" s="35"/>
      <c r="AR695" s="44"/>
      <c r="AS695" s="37"/>
    </row>
    <row r="696" spans="1:45" ht="48" customHeight="1" x14ac:dyDescent="0.25">
      <c r="A696" s="32" t="s">
        <v>3379</v>
      </c>
      <c r="B696" s="56">
        <v>45398</v>
      </c>
      <c r="C696" s="35">
        <v>1512</v>
      </c>
      <c r="D696" s="36"/>
      <c r="E696" s="37"/>
      <c r="F696" s="33"/>
      <c r="G696" s="35"/>
      <c r="H696" s="37"/>
      <c r="I696" s="59" t="s">
        <v>1598</v>
      </c>
      <c r="J696" s="57">
        <v>55701399</v>
      </c>
      <c r="K696" s="40">
        <f>((J696-M696)/J696)*100</f>
        <v>100</v>
      </c>
      <c r="L696" s="41">
        <f>J696-M696</f>
        <v>55701399</v>
      </c>
      <c r="M696" s="38"/>
      <c r="N696" s="41">
        <f>J696-O696</f>
        <v>55701399</v>
      </c>
      <c r="O696" s="38">
        <v>0</v>
      </c>
      <c r="P696" s="27">
        <f t="shared" si="84"/>
        <v>0</v>
      </c>
      <c r="Q696" s="27">
        <f t="shared" si="84"/>
        <v>0</v>
      </c>
      <c r="R696" s="27" t="e">
        <f>Q696/U696</f>
        <v>#DIV/0!</v>
      </c>
      <c r="S696" s="38" t="e">
        <f>Q696/U696</f>
        <v>#DIV/0!</v>
      </c>
      <c r="T696" s="38" t="e">
        <f>S696*AR696</f>
        <v>#DIV/0!</v>
      </c>
      <c r="U696" s="38">
        <f t="shared" si="82"/>
        <v>0</v>
      </c>
      <c r="V696" s="38">
        <v>0</v>
      </c>
      <c r="W696" s="38">
        <v>0</v>
      </c>
      <c r="X696" s="38">
        <v>0</v>
      </c>
      <c r="Y696" s="38"/>
      <c r="Z696" s="38" t="e">
        <f t="shared" si="80"/>
        <v>#DIV/0!</v>
      </c>
      <c r="AA696" s="38"/>
      <c r="AB696" s="38" t="e">
        <f t="shared" si="81"/>
        <v>#DIV/0!</v>
      </c>
      <c r="AC696" s="38" t="e">
        <f>U696/AR696</f>
        <v>#DIV/0!</v>
      </c>
      <c r="AD696" s="38" t="e">
        <f t="shared" si="83"/>
        <v>#DIV/0!</v>
      </c>
      <c r="AE696" s="33">
        <v>45458</v>
      </c>
      <c r="AF696" s="33"/>
      <c r="AG696" s="33"/>
      <c r="AH696" s="33"/>
      <c r="AI696" s="33"/>
      <c r="AJ696" s="42"/>
      <c r="AK696" s="37"/>
      <c r="AL696" s="37"/>
      <c r="AM696" s="37"/>
      <c r="AN696" s="37"/>
      <c r="AO696" s="43"/>
      <c r="AP696" s="35"/>
      <c r="AQ696" s="35"/>
      <c r="AR696" s="44"/>
      <c r="AS696" s="37"/>
    </row>
    <row r="697" spans="1:45" ht="48" customHeight="1" x14ac:dyDescent="0.25">
      <c r="A697" s="32" t="s">
        <v>3380</v>
      </c>
      <c r="B697" s="56">
        <v>45398</v>
      </c>
      <c r="C697" s="35">
        <v>545</v>
      </c>
      <c r="D697" s="36"/>
      <c r="E697" s="37"/>
      <c r="F697" s="33"/>
      <c r="G697" s="35"/>
      <c r="H697" s="37"/>
      <c r="I697" s="58" t="s">
        <v>3382</v>
      </c>
      <c r="J697" s="57">
        <v>104187963.59999999</v>
      </c>
      <c r="K697" s="40">
        <f>((J697-M697)/J697)*100</f>
        <v>100</v>
      </c>
      <c r="L697" s="41">
        <f>J697-M697</f>
        <v>104187963.59999999</v>
      </c>
      <c r="M697" s="38"/>
      <c r="N697" s="41">
        <f>J697-O697</f>
        <v>104187963.59999999</v>
      </c>
      <c r="O697" s="38">
        <v>0</v>
      </c>
      <c r="P697" s="27">
        <f t="shared" si="84"/>
        <v>0</v>
      </c>
      <c r="Q697" s="27">
        <f t="shared" si="84"/>
        <v>0</v>
      </c>
      <c r="R697" s="27" t="e">
        <f>Q697/U697</f>
        <v>#DIV/0!</v>
      </c>
      <c r="S697" s="38" t="e">
        <f>Q697/U697</f>
        <v>#DIV/0!</v>
      </c>
      <c r="T697" s="38" t="e">
        <f>S697*AR697</f>
        <v>#DIV/0!</v>
      </c>
      <c r="U697" s="38">
        <f t="shared" si="82"/>
        <v>0</v>
      </c>
      <c r="V697" s="38">
        <v>0</v>
      </c>
      <c r="W697" s="38">
        <v>0</v>
      </c>
      <c r="X697" s="38">
        <v>0</v>
      </c>
      <c r="Y697" s="38"/>
      <c r="Z697" s="38" t="e">
        <f t="shared" si="80"/>
        <v>#DIV/0!</v>
      </c>
      <c r="AA697" s="38"/>
      <c r="AB697" s="38" t="e">
        <f t="shared" si="81"/>
        <v>#DIV/0!</v>
      </c>
      <c r="AC697" s="38" t="e">
        <f>U697/AR697</f>
        <v>#DIV/0!</v>
      </c>
      <c r="AD697" s="38" t="e">
        <f t="shared" si="83"/>
        <v>#DIV/0!</v>
      </c>
      <c r="AE697" s="33">
        <v>45444</v>
      </c>
      <c r="AF697" s="33"/>
      <c r="AG697" s="33"/>
      <c r="AH697" s="33"/>
      <c r="AI697" s="33"/>
      <c r="AJ697" s="42"/>
      <c r="AK697" s="37"/>
      <c r="AL697" s="37"/>
      <c r="AM697" s="37"/>
      <c r="AN697" s="37"/>
      <c r="AO697" s="43"/>
      <c r="AP697" s="35"/>
      <c r="AQ697" s="35"/>
      <c r="AR697" s="44"/>
      <c r="AS697" s="37"/>
    </row>
    <row r="698" spans="1:45" ht="48" customHeight="1" x14ac:dyDescent="0.25">
      <c r="A698" s="32" t="s">
        <v>3381</v>
      </c>
      <c r="B698" s="56">
        <v>45398</v>
      </c>
      <c r="C698" s="35">
        <v>545</v>
      </c>
      <c r="D698" s="36"/>
      <c r="E698" s="37"/>
      <c r="F698" s="33"/>
      <c r="G698" s="35"/>
      <c r="H698" s="37"/>
      <c r="I698" s="58" t="s">
        <v>3384</v>
      </c>
      <c r="J698" s="57">
        <v>53433551.700000003</v>
      </c>
      <c r="K698" s="40">
        <f>((J698-M698)/J698)*100</f>
        <v>100</v>
      </c>
      <c r="L698" s="41">
        <f>J698-M698</f>
        <v>53433551.700000003</v>
      </c>
      <c r="M698" s="38"/>
      <c r="N698" s="41">
        <f>J698-O698</f>
        <v>53433551.700000003</v>
      </c>
      <c r="O698" s="38">
        <v>0</v>
      </c>
      <c r="P698" s="27">
        <f t="shared" si="84"/>
        <v>0</v>
      </c>
      <c r="Q698" s="27">
        <f t="shared" si="84"/>
        <v>0</v>
      </c>
      <c r="R698" s="27" t="e">
        <f>Q698/U698</f>
        <v>#DIV/0!</v>
      </c>
      <c r="S698" s="38" t="e">
        <f>Q698/U698</f>
        <v>#DIV/0!</v>
      </c>
      <c r="T698" s="38" t="e">
        <f>S698*AR698</f>
        <v>#DIV/0!</v>
      </c>
      <c r="U698" s="38">
        <f t="shared" si="82"/>
        <v>0</v>
      </c>
      <c r="V698" s="38">
        <v>0</v>
      </c>
      <c r="W698" s="38">
        <v>0</v>
      </c>
      <c r="X698" s="38">
        <v>0</v>
      </c>
      <c r="Y698" s="38"/>
      <c r="Z698" s="38" t="e">
        <f t="shared" si="80"/>
        <v>#DIV/0!</v>
      </c>
      <c r="AA698" s="38"/>
      <c r="AB698" s="38" t="e">
        <f t="shared" si="81"/>
        <v>#DIV/0!</v>
      </c>
      <c r="AC698" s="38" t="e">
        <f>U698/AR698</f>
        <v>#DIV/0!</v>
      </c>
      <c r="AD698" s="38" t="e">
        <f t="shared" si="83"/>
        <v>#DIV/0!</v>
      </c>
      <c r="AE698" s="33">
        <v>45444</v>
      </c>
      <c r="AF698" s="33"/>
      <c r="AG698" s="33"/>
      <c r="AH698" s="33"/>
      <c r="AI698" s="33"/>
      <c r="AJ698" s="42"/>
      <c r="AK698" s="37"/>
      <c r="AL698" s="37"/>
      <c r="AM698" s="37"/>
      <c r="AN698" s="37"/>
      <c r="AO698" s="43"/>
      <c r="AP698" s="35"/>
      <c r="AQ698" s="35"/>
      <c r="AR698" s="44"/>
      <c r="AS698" s="37"/>
    </row>
    <row r="699" spans="1:45" ht="48" customHeight="1" x14ac:dyDescent="0.25">
      <c r="A699" s="32" t="s">
        <v>3383</v>
      </c>
      <c r="B699" s="56">
        <v>45398</v>
      </c>
      <c r="C699" s="35" t="s">
        <v>2642</v>
      </c>
      <c r="D699" s="36"/>
      <c r="E699" s="37"/>
      <c r="F699" s="33"/>
      <c r="G699" s="35"/>
      <c r="H699" s="37"/>
      <c r="I699" s="58" t="s">
        <v>1836</v>
      </c>
      <c r="J699" s="57">
        <v>2100120</v>
      </c>
      <c r="K699" s="40">
        <f>((J699-M699)/J699)*100</f>
        <v>100</v>
      </c>
      <c r="L699" s="41">
        <f>J699-M699</f>
        <v>2100120</v>
      </c>
      <c r="M699" s="38"/>
      <c r="N699" s="41">
        <f>J699-O699</f>
        <v>2100120</v>
      </c>
      <c r="O699" s="38">
        <v>0</v>
      </c>
      <c r="P699" s="27">
        <f t="shared" si="84"/>
        <v>0</v>
      </c>
      <c r="Q699" s="27">
        <f t="shared" si="84"/>
        <v>0</v>
      </c>
      <c r="R699" s="27" t="e">
        <f>Q699/U699</f>
        <v>#DIV/0!</v>
      </c>
      <c r="S699" s="38" t="e">
        <f>Q699/U699</f>
        <v>#DIV/0!</v>
      </c>
      <c r="T699" s="38" t="e">
        <f>S699*AR699</f>
        <v>#DIV/0!</v>
      </c>
      <c r="U699" s="38">
        <f t="shared" si="82"/>
        <v>0</v>
      </c>
      <c r="V699" s="38">
        <v>0</v>
      </c>
      <c r="W699" s="38">
        <v>0</v>
      </c>
      <c r="X699" s="38">
        <v>0</v>
      </c>
      <c r="Y699" s="38"/>
      <c r="Z699" s="38" t="e">
        <f t="shared" si="80"/>
        <v>#DIV/0!</v>
      </c>
      <c r="AA699" s="38"/>
      <c r="AB699" s="38" t="e">
        <f t="shared" si="81"/>
        <v>#DIV/0!</v>
      </c>
      <c r="AC699" s="38" t="e">
        <f>U699/AR699</f>
        <v>#DIV/0!</v>
      </c>
      <c r="AD699" s="38" t="e">
        <f t="shared" si="83"/>
        <v>#DIV/0!</v>
      </c>
      <c r="AE699" s="33">
        <v>45566</v>
      </c>
      <c r="AF699" s="33"/>
      <c r="AG699" s="33"/>
      <c r="AH699" s="33"/>
      <c r="AI699" s="33"/>
      <c r="AJ699" s="42"/>
      <c r="AK699" s="37"/>
      <c r="AL699" s="37"/>
      <c r="AM699" s="37"/>
      <c r="AN699" s="37"/>
      <c r="AO699" s="43"/>
      <c r="AP699" s="35"/>
      <c r="AQ699" s="35"/>
      <c r="AR699" s="44"/>
      <c r="AS699" s="37"/>
    </row>
    <row r="700" spans="1:45" ht="48" customHeight="1" x14ac:dyDescent="0.25">
      <c r="A700" s="32" t="s">
        <v>3385</v>
      </c>
      <c r="B700" s="56">
        <v>45399</v>
      </c>
      <c r="C700" s="35" t="s">
        <v>2213</v>
      </c>
      <c r="D700" s="36"/>
      <c r="E700" s="37"/>
      <c r="F700" s="33"/>
      <c r="G700" s="35"/>
      <c r="H700" s="37"/>
      <c r="I700" s="58" t="s">
        <v>3387</v>
      </c>
      <c r="J700" s="57">
        <v>155526</v>
      </c>
      <c r="K700" s="40">
        <f>((J700-M700)/J700)*100</f>
        <v>100</v>
      </c>
      <c r="L700" s="41">
        <f>J700-M700</f>
        <v>155526</v>
      </c>
      <c r="M700" s="38"/>
      <c r="N700" s="41">
        <f>J700-O700</f>
        <v>155526</v>
      </c>
      <c r="O700" s="38">
        <v>0</v>
      </c>
      <c r="P700" s="27">
        <f t="shared" si="84"/>
        <v>0</v>
      </c>
      <c r="Q700" s="27">
        <f t="shared" si="84"/>
        <v>0</v>
      </c>
      <c r="R700" s="27" t="e">
        <f>Q700/U700</f>
        <v>#DIV/0!</v>
      </c>
      <c r="S700" s="38" t="e">
        <f>Q700/U700</f>
        <v>#DIV/0!</v>
      </c>
      <c r="T700" s="38" t="e">
        <f>S700*AR700</f>
        <v>#DIV/0!</v>
      </c>
      <c r="U700" s="38">
        <f t="shared" si="82"/>
        <v>0</v>
      </c>
      <c r="V700" s="38">
        <v>0</v>
      </c>
      <c r="W700" s="38">
        <v>0</v>
      </c>
      <c r="X700" s="38">
        <v>0</v>
      </c>
      <c r="Y700" s="38"/>
      <c r="Z700" s="38" t="e">
        <f t="shared" si="80"/>
        <v>#DIV/0!</v>
      </c>
      <c r="AA700" s="38"/>
      <c r="AB700" s="38" t="e">
        <f t="shared" si="81"/>
        <v>#DIV/0!</v>
      </c>
      <c r="AC700" s="38" t="e">
        <f>U700/AR700</f>
        <v>#DIV/0!</v>
      </c>
      <c r="AD700" s="38" t="e">
        <f t="shared" si="83"/>
        <v>#DIV/0!</v>
      </c>
      <c r="AE700" s="33">
        <v>45474</v>
      </c>
      <c r="AF700" s="33"/>
      <c r="AG700" s="33"/>
      <c r="AH700" s="33"/>
      <c r="AI700" s="33"/>
      <c r="AJ700" s="42"/>
      <c r="AK700" s="37"/>
      <c r="AL700" s="37"/>
      <c r="AM700" s="37"/>
      <c r="AN700" s="37"/>
      <c r="AO700" s="43"/>
      <c r="AP700" s="35"/>
      <c r="AQ700" s="35"/>
      <c r="AR700" s="44"/>
      <c r="AS700" s="37"/>
    </row>
    <row r="701" spans="1:45" ht="48" customHeight="1" x14ac:dyDescent="0.25">
      <c r="A701" s="32" t="s">
        <v>3386</v>
      </c>
      <c r="B701" s="56">
        <v>45399</v>
      </c>
      <c r="C701" s="35" t="s">
        <v>2213</v>
      </c>
      <c r="D701" s="36"/>
      <c r="E701" s="37"/>
      <c r="F701" s="33"/>
      <c r="G701" s="35"/>
      <c r="H701" s="37"/>
      <c r="I701" s="58" t="s">
        <v>3387</v>
      </c>
      <c r="J701" s="57">
        <v>933156</v>
      </c>
      <c r="K701" s="40">
        <f>((J701-M701)/J701)*100</f>
        <v>100</v>
      </c>
      <c r="L701" s="41">
        <f>J701-M701</f>
        <v>933156</v>
      </c>
      <c r="M701" s="38"/>
      <c r="N701" s="41">
        <f>J701-O701</f>
        <v>933156</v>
      </c>
      <c r="O701" s="38">
        <v>0</v>
      </c>
      <c r="P701" s="27">
        <f t="shared" ref="P701:Q716" si="85">O701</f>
        <v>0</v>
      </c>
      <c r="Q701" s="27">
        <f t="shared" si="85"/>
        <v>0</v>
      </c>
      <c r="R701" s="27" t="e">
        <f>Q701/U701</f>
        <v>#DIV/0!</v>
      </c>
      <c r="S701" s="38" t="e">
        <f>Q701/U701</f>
        <v>#DIV/0!</v>
      </c>
      <c r="T701" s="38" t="e">
        <f>S701*AR701</f>
        <v>#DIV/0!</v>
      </c>
      <c r="U701" s="38">
        <f t="shared" si="82"/>
        <v>0</v>
      </c>
      <c r="V701" s="38">
        <v>0</v>
      </c>
      <c r="W701" s="38">
        <v>0</v>
      </c>
      <c r="X701" s="38">
        <v>0</v>
      </c>
      <c r="Y701" s="38"/>
      <c r="Z701" s="38" t="e">
        <f t="shared" si="80"/>
        <v>#DIV/0!</v>
      </c>
      <c r="AA701" s="38"/>
      <c r="AB701" s="38" t="e">
        <f t="shared" si="81"/>
        <v>#DIV/0!</v>
      </c>
      <c r="AC701" s="38" t="e">
        <f>U701/AR701</f>
        <v>#DIV/0!</v>
      </c>
      <c r="AD701" s="38" t="e">
        <f t="shared" si="83"/>
        <v>#DIV/0!</v>
      </c>
      <c r="AE701" s="33">
        <v>45474</v>
      </c>
      <c r="AF701" s="33"/>
      <c r="AG701" s="33"/>
      <c r="AH701" s="33"/>
      <c r="AI701" s="33"/>
      <c r="AJ701" s="42"/>
      <c r="AK701" s="37"/>
      <c r="AL701" s="37"/>
      <c r="AM701" s="37"/>
      <c r="AN701" s="37"/>
      <c r="AO701" s="43"/>
      <c r="AP701" s="35"/>
      <c r="AQ701" s="35"/>
      <c r="AR701" s="44"/>
      <c r="AS701" s="37"/>
    </row>
    <row r="702" spans="1:45" ht="48" customHeight="1" x14ac:dyDescent="0.25">
      <c r="A702" s="32" t="s">
        <v>3388</v>
      </c>
      <c r="B702" s="56">
        <v>45399</v>
      </c>
      <c r="C702" s="35">
        <v>1416</v>
      </c>
      <c r="D702" s="36"/>
      <c r="E702" s="37"/>
      <c r="F702" s="33"/>
      <c r="G702" s="35"/>
      <c r="H702" s="37"/>
      <c r="I702" s="59" t="s">
        <v>953</v>
      </c>
      <c r="J702" s="57">
        <v>10364357.85</v>
      </c>
      <c r="K702" s="40">
        <f>((J702-M702)/J702)*100</f>
        <v>100</v>
      </c>
      <c r="L702" s="41">
        <f>J702-M702</f>
        <v>10364357.85</v>
      </c>
      <c r="M702" s="38"/>
      <c r="N702" s="41">
        <f>J702-O702</f>
        <v>10364357.85</v>
      </c>
      <c r="O702" s="38">
        <v>0</v>
      </c>
      <c r="P702" s="27">
        <f t="shared" si="85"/>
        <v>0</v>
      </c>
      <c r="Q702" s="27">
        <f t="shared" si="85"/>
        <v>0</v>
      </c>
      <c r="R702" s="27" t="e">
        <f>Q702/U702</f>
        <v>#DIV/0!</v>
      </c>
      <c r="S702" s="38" t="e">
        <f>Q702/U702</f>
        <v>#DIV/0!</v>
      </c>
      <c r="T702" s="38" t="e">
        <f>S702*AR702</f>
        <v>#DIV/0!</v>
      </c>
      <c r="U702" s="38">
        <f t="shared" si="82"/>
        <v>0</v>
      </c>
      <c r="V702" s="38">
        <v>0</v>
      </c>
      <c r="W702" s="38">
        <v>0</v>
      </c>
      <c r="X702" s="38">
        <v>0</v>
      </c>
      <c r="Y702" s="38"/>
      <c r="Z702" s="38" t="e">
        <f t="shared" si="80"/>
        <v>#DIV/0!</v>
      </c>
      <c r="AA702" s="38"/>
      <c r="AB702" s="38" t="e">
        <f t="shared" si="81"/>
        <v>#DIV/0!</v>
      </c>
      <c r="AC702" s="38" t="e">
        <f>U702/AR702</f>
        <v>#DIV/0!</v>
      </c>
      <c r="AD702" s="38" t="e">
        <f t="shared" si="83"/>
        <v>#DIV/0!</v>
      </c>
      <c r="AE702" s="33">
        <v>45566</v>
      </c>
      <c r="AF702" s="33"/>
      <c r="AG702" s="33"/>
      <c r="AH702" s="33"/>
      <c r="AI702" s="33"/>
      <c r="AJ702" s="42"/>
      <c r="AK702" s="37"/>
      <c r="AL702" s="37"/>
      <c r="AM702" s="37"/>
      <c r="AN702" s="37"/>
      <c r="AO702" s="43"/>
      <c r="AP702" s="35"/>
      <c r="AQ702" s="35"/>
      <c r="AR702" s="44"/>
      <c r="AS702" s="37"/>
    </row>
    <row r="703" spans="1:45" ht="48" customHeight="1" x14ac:dyDescent="0.25">
      <c r="A703" s="32" t="s">
        <v>3389</v>
      </c>
      <c r="B703" s="56">
        <v>45399</v>
      </c>
      <c r="C703" s="35" t="s">
        <v>2213</v>
      </c>
      <c r="D703" s="36"/>
      <c r="E703" s="37"/>
      <c r="F703" s="33"/>
      <c r="G703" s="35"/>
      <c r="H703" s="37"/>
      <c r="I703" s="58" t="s">
        <v>1009</v>
      </c>
      <c r="J703" s="57">
        <v>9012809.5199999996</v>
      </c>
      <c r="K703" s="40">
        <f>((J703-M703)/J703)*100</f>
        <v>100</v>
      </c>
      <c r="L703" s="41">
        <f>J703-M703</f>
        <v>9012809.5199999996</v>
      </c>
      <c r="M703" s="38"/>
      <c r="N703" s="41">
        <f>J703-O703</f>
        <v>9012809.5199999996</v>
      </c>
      <c r="O703" s="38">
        <v>0</v>
      </c>
      <c r="P703" s="27">
        <f t="shared" si="85"/>
        <v>0</v>
      </c>
      <c r="Q703" s="27">
        <f t="shared" si="85"/>
        <v>0</v>
      </c>
      <c r="R703" s="27" t="e">
        <f>Q703/U703</f>
        <v>#DIV/0!</v>
      </c>
      <c r="S703" s="38" t="e">
        <f>Q703/U703</f>
        <v>#DIV/0!</v>
      </c>
      <c r="T703" s="38" t="e">
        <f>S703*AR703</f>
        <v>#DIV/0!</v>
      </c>
      <c r="U703" s="38">
        <f t="shared" si="82"/>
        <v>0</v>
      </c>
      <c r="V703" s="38">
        <v>0</v>
      </c>
      <c r="W703" s="38">
        <v>0</v>
      </c>
      <c r="X703" s="38">
        <v>0</v>
      </c>
      <c r="Y703" s="38"/>
      <c r="Z703" s="38" t="e">
        <f t="shared" si="80"/>
        <v>#DIV/0!</v>
      </c>
      <c r="AA703" s="38"/>
      <c r="AB703" s="38" t="e">
        <f t="shared" si="81"/>
        <v>#DIV/0!</v>
      </c>
      <c r="AC703" s="38" t="e">
        <f>U703/AR703</f>
        <v>#DIV/0!</v>
      </c>
      <c r="AD703" s="38" t="e">
        <f t="shared" si="83"/>
        <v>#DIV/0!</v>
      </c>
      <c r="AE703" s="33">
        <v>45566</v>
      </c>
      <c r="AF703" s="33"/>
      <c r="AG703" s="33"/>
      <c r="AH703" s="33"/>
      <c r="AI703" s="33"/>
      <c r="AJ703" s="42"/>
      <c r="AK703" s="37"/>
      <c r="AL703" s="37"/>
      <c r="AM703" s="37"/>
      <c r="AN703" s="37"/>
      <c r="AO703" s="43"/>
      <c r="AP703" s="35"/>
      <c r="AQ703" s="35"/>
      <c r="AR703" s="44"/>
      <c r="AS703" s="37"/>
    </row>
    <row r="704" spans="1:45" ht="48" customHeight="1" x14ac:dyDescent="0.25">
      <c r="A704" s="32" t="s">
        <v>3390</v>
      </c>
      <c r="B704" s="56">
        <v>45399</v>
      </c>
      <c r="C704" s="35">
        <v>1416</v>
      </c>
      <c r="D704" s="36"/>
      <c r="E704" s="37"/>
      <c r="F704" s="33"/>
      <c r="G704" s="35"/>
      <c r="H704" s="37"/>
      <c r="I704" s="59" t="s">
        <v>220</v>
      </c>
      <c r="J704" s="57">
        <v>709909200</v>
      </c>
      <c r="K704" s="40">
        <f>((J704-M704)/J704)*100</f>
        <v>100</v>
      </c>
      <c r="L704" s="41">
        <f>J704-M704</f>
        <v>709909200</v>
      </c>
      <c r="M704" s="38"/>
      <c r="N704" s="41">
        <f>J704-O704</f>
        <v>709909200</v>
      </c>
      <c r="O704" s="38">
        <v>0</v>
      </c>
      <c r="P704" s="27">
        <f t="shared" si="85"/>
        <v>0</v>
      </c>
      <c r="Q704" s="27">
        <f t="shared" si="85"/>
        <v>0</v>
      </c>
      <c r="R704" s="27" t="e">
        <f>Q704/U704</f>
        <v>#DIV/0!</v>
      </c>
      <c r="S704" s="38" t="e">
        <f>Q704/U704</f>
        <v>#DIV/0!</v>
      </c>
      <c r="T704" s="38" t="e">
        <f>S704*AR704</f>
        <v>#DIV/0!</v>
      </c>
      <c r="U704" s="38">
        <f t="shared" si="82"/>
        <v>0</v>
      </c>
      <c r="V704" s="38">
        <v>0</v>
      </c>
      <c r="W704" s="38">
        <v>0</v>
      </c>
      <c r="X704" s="38">
        <v>0</v>
      </c>
      <c r="Y704" s="38"/>
      <c r="Z704" s="38" t="e">
        <f t="shared" si="80"/>
        <v>#DIV/0!</v>
      </c>
      <c r="AA704" s="38"/>
      <c r="AB704" s="38" t="e">
        <f t="shared" si="81"/>
        <v>#DIV/0!</v>
      </c>
      <c r="AC704" s="38" t="e">
        <f>U704/AR704</f>
        <v>#DIV/0!</v>
      </c>
      <c r="AD704" s="38" t="e">
        <f t="shared" si="83"/>
        <v>#DIV/0!</v>
      </c>
      <c r="AE704" s="33">
        <v>45474</v>
      </c>
      <c r="AF704" s="33"/>
      <c r="AG704" s="33"/>
      <c r="AH704" s="33"/>
      <c r="AI704" s="33"/>
      <c r="AJ704" s="42"/>
      <c r="AK704" s="37"/>
      <c r="AL704" s="37"/>
      <c r="AM704" s="37"/>
      <c r="AN704" s="37"/>
      <c r="AO704" s="43"/>
      <c r="AP704" s="35"/>
      <c r="AQ704" s="35"/>
      <c r="AR704" s="44"/>
      <c r="AS704" s="37"/>
    </row>
    <row r="705" spans="1:45" ht="48" customHeight="1" x14ac:dyDescent="0.25">
      <c r="A705" s="32" t="s">
        <v>3391</v>
      </c>
      <c r="B705" s="56">
        <v>45399</v>
      </c>
      <c r="C705" s="35">
        <v>1416</v>
      </c>
      <c r="D705" s="36"/>
      <c r="E705" s="37"/>
      <c r="F705" s="33"/>
      <c r="G705" s="35"/>
      <c r="H705" s="37"/>
      <c r="I705" s="58" t="s">
        <v>3393</v>
      </c>
      <c r="J705" s="57">
        <v>217336829.38</v>
      </c>
      <c r="K705" s="40">
        <f>((J705-M705)/J705)*100</f>
        <v>100</v>
      </c>
      <c r="L705" s="41">
        <f>J705-M705</f>
        <v>217336829.38</v>
      </c>
      <c r="M705" s="38"/>
      <c r="N705" s="41">
        <f>J705-O705</f>
        <v>217336829.38</v>
      </c>
      <c r="O705" s="38">
        <v>0</v>
      </c>
      <c r="P705" s="27">
        <f t="shared" si="85"/>
        <v>0</v>
      </c>
      <c r="Q705" s="27">
        <f t="shared" si="85"/>
        <v>0</v>
      </c>
      <c r="R705" s="27" t="e">
        <f>Q705/U705</f>
        <v>#DIV/0!</v>
      </c>
      <c r="S705" s="38" t="e">
        <f>Q705/U705</f>
        <v>#DIV/0!</v>
      </c>
      <c r="T705" s="38" t="e">
        <f>S705*AR705</f>
        <v>#DIV/0!</v>
      </c>
      <c r="U705" s="38">
        <f t="shared" si="82"/>
        <v>0</v>
      </c>
      <c r="V705" s="38">
        <v>0</v>
      </c>
      <c r="W705" s="38">
        <v>0</v>
      </c>
      <c r="X705" s="38">
        <v>0</v>
      </c>
      <c r="Y705" s="38"/>
      <c r="Z705" s="38" t="e">
        <f t="shared" si="80"/>
        <v>#DIV/0!</v>
      </c>
      <c r="AA705" s="38"/>
      <c r="AB705" s="38" t="e">
        <f t="shared" si="81"/>
        <v>#DIV/0!</v>
      </c>
      <c r="AC705" s="38" t="e">
        <f>U705/AR705</f>
        <v>#DIV/0!</v>
      </c>
      <c r="AD705" s="38" t="e">
        <f t="shared" si="83"/>
        <v>#DIV/0!</v>
      </c>
      <c r="AE705" s="33">
        <v>45474</v>
      </c>
      <c r="AF705" s="33"/>
      <c r="AG705" s="33"/>
      <c r="AH705" s="33"/>
      <c r="AI705" s="33"/>
      <c r="AJ705" s="42"/>
      <c r="AK705" s="37"/>
      <c r="AL705" s="37"/>
      <c r="AM705" s="37"/>
      <c r="AN705" s="37"/>
      <c r="AO705" s="43"/>
      <c r="AP705" s="35"/>
      <c r="AQ705" s="35"/>
      <c r="AR705" s="44"/>
      <c r="AS705" s="37"/>
    </row>
    <row r="706" spans="1:45" ht="48" customHeight="1" x14ac:dyDescent="0.25">
      <c r="A706" s="32" t="s">
        <v>3392</v>
      </c>
      <c r="B706" s="56">
        <v>45399</v>
      </c>
      <c r="C706" s="35">
        <v>1512</v>
      </c>
      <c r="D706" s="36"/>
      <c r="E706" s="37"/>
      <c r="F706" s="33"/>
      <c r="G706" s="35"/>
      <c r="H706" s="37"/>
      <c r="I706" s="58" t="s">
        <v>1838</v>
      </c>
      <c r="J706" s="57">
        <v>160947131.40000001</v>
      </c>
      <c r="K706" s="40">
        <f>((J706-M706)/J706)*100</f>
        <v>100</v>
      </c>
      <c r="L706" s="41">
        <f>J706-M706</f>
        <v>160947131.40000001</v>
      </c>
      <c r="M706" s="38"/>
      <c r="N706" s="41">
        <f>J706-O706</f>
        <v>160947131.40000001</v>
      </c>
      <c r="O706" s="38">
        <v>0</v>
      </c>
      <c r="P706" s="27">
        <f t="shared" si="85"/>
        <v>0</v>
      </c>
      <c r="Q706" s="27">
        <f t="shared" si="85"/>
        <v>0</v>
      </c>
      <c r="R706" s="27" t="e">
        <f>Q706/U706</f>
        <v>#DIV/0!</v>
      </c>
      <c r="S706" s="38" t="e">
        <f>Q706/U706</f>
        <v>#DIV/0!</v>
      </c>
      <c r="T706" s="38" t="e">
        <f>S706*AR706</f>
        <v>#DIV/0!</v>
      </c>
      <c r="U706" s="38">
        <f t="shared" si="82"/>
        <v>0</v>
      </c>
      <c r="V706" s="38">
        <v>0</v>
      </c>
      <c r="W706" s="38">
        <v>0</v>
      </c>
      <c r="X706" s="38">
        <v>0</v>
      </c>
      <c r="Y706" s="38"/>
      <c r="Z706" s="38" t="e">
        <f t="shared" si="80"/>
        <v>#DIV/0!</v>
      </c>
      <c r="AA706" s="38"/>
      <c r="AB706" s="38" t="e">
        <f t="shared" si="81"/>
        <v>#DIV/0!</v>
      </c>
      <c r="AC706" s="38" t="e">
        <f>U706/AR706</f>
        <v>#DIV/0!</v>
      </c>
      <c r="AD706" s="38" t="e">
        <f t="shared" si="83"/>
        <v>#DIV/0!</v>
      </c>
      <c r="AE706" s="33">
        <v>45566</v>
      </c>
      <c r="AF706" s="33"/>
      <c r="AG706" s="33"/>
      <c r="AH706" s="33"/>
      <c r="AI706" s="33"/>
      <c r="AJ706" s="42"/>
      <c r="AK706" s="37"/>
      <c r="AL706" s="37"/>
      <c r="AM706" s="37"/>
      <c r="AN706" s="37"/>
      <c r="AO706" s="43"/>
      <c r="AP706" s="35"/>
      <c r="AQ706" s="35"/>
      <c r="AR706" s="44"/>
      <c r="AS706" s="37"/>
    </row>
    <row r="707" spans="1:45" ht="48" customHeight="1" x14ac:dyDescent="0.25">
      <c r="A707" s="32" t="s">
        <v>3394</v>
      </c>
      <c r="B707" s="56">
        <v>45399</v>
      </c>
      <c r="C707" s="35" t="s">
        <v>2213</v>
      </c>
      <c r="D707" s="36"/>
      <c r="E707" s="37"/>
      <c r="F707" s="33"/>
      <c r="G707" s="35"/>
      <c r="H707" s="37"/>
      <c r="I707" s="58" t="s">
        <v>3393</v>
      </c>
      <c r="J707" s="57">
        <v>3087275.84</v>
      </c>
      <c r="K707" s="40">
        <f>((J707-M707)/J707)*100</f>
        <v>100</v>
      </c>
      <c r="L707" s="41">
        <f>J707-M707</f>
        <v>3087275.84</v>
      </c>
      <c r="M707" s="38"/>
      <c r="N707" s="41">
        <f>J707-O707</f>
        <v>3087275.84</v>
      </c>
      <c r="O707" s="38">
        <v>0</v>
      </c>
      <c r="P707" s="27">
        <f t="shared" si="85"/>
        <v>0</v>
      </c>
      <c r="Q707" s="27">
        <f t="shared" si="85"/>
        <v>0</v>
      </c>
      <c r="R707" s="27" t="e">
        <f>Q707/U707</f>
        <v>#DIV/0!</v>
      </c>
      <c r="S707" s="38" t="e">
        <f>Q707/U707</f>
        <v>#DIV/0!</v>
      </c>
      <c r="T707" s="38" t="e">
        <f>S707*AR707</f>
        <v>#DIV/0!</v>
      </c>
      <c r="U707" s="38">
        <f t="shared" si="82"/>
        <v>0</v>
      </c>
      <c r="V707" s="38">
        <v>0</v>
      </c>
      <c r="W707" s="38">
        <v>0</v>
      </c>
      <c r="X707" s="38">
        <v>0</v>
      </c>
      <c r="Y707" s="38"/>
      <c r="Z707" s="38" t="e">
        <f t="shared" si="80"/>
        <v>#DIV/0!</v>
      </c>
      <c r="AA707" s="38"/>
      <c r="AB707" s="38" t="e">
        <f t="shared" si="81"/>
        <v>#DIV/0!</v>
      </c>
      <c r="AC707" s="38" t="e">
        <f>U707/AR707</f>
        <v>#DIV/0!</v>
      </c>
      <c r="AD707" s="38" t="e">
        <f t="shared" si="83"/>
        <v>#DIV/0!</v>
      </c>
      <c r="AE707" s="33">
        <v>45474</v>
      </c>
      <c r="AF707" s="33"/>
      <c r="AG707" s="33"/>
      <c r="AH707" s="33"/>
      <c r="AI707" s="33"/>
      <c r="AJ707" s="42"/>
      <c r="AK707" s="37"/>
      <c r="AL707" s="37"/>
      <c r="AM707" s="37"/>
      <c r="AN707" s="37"/>
      <c r="AO707" s="43"/>
      <c r="AP707" s="35"/>
      <c r="AQ707" s="35"/>
      <c r="AR707" s="44"/>
      <c r="AS707" s="37"/>
    </row>
    <row r="708" spans="1:45" ht="48" customHeight="1" x14ac:dyDescent="0.25">
      <c r="A708" s="32" t="s">
        <v>3395</v>
      </c>
      <c r="B708" s="56">
        <v>45399</v>
      </c>
      <c r="C708" s="35" t="s">
        <v>2213</v>
      </c>
      <c r="D708" s="36"/>
      <c r="E708" s="37"/>
      <c r="F708" s="33"/>
      <c r="G708" s="35"/>
      <c r="H708" s="37"/>
      <c r="I708" s="58" t="s">
        <v>1205</v>
      </c>
      <c r="J708" s="57">
        <v>1127140</v>
      </c>
      <c r="K708" s="40">
        <f>((J708-M708)/J708)*100</f>
        <v>100</v>
      </c>
      <c r="L708" s="41">
        <f>J708-M708</f>
        <v>1127140</v>
      </c>
      <c r="M708" s="38"/>
      <c r="N708" s="41">
        <f>J708-O708</f>
        <v>1127140</v>
      </c>
      <c r="O708" s="38">
        <v>0</v>
      </c>
      <c r="P708" s="27">
        <f t="shared" si="85"/>
        <v>0</v>
      </c>
      <c r="Q708" s="27">
        <f t="shared" si="85"/>
        <v>0</v>
      </c>
      <c r="R708" s="27" t="e">
        <f>Q708/U708</f>
        <v>#DIV/0!</v>
      </c>
      <c r="S708" s="38" t="e">
        <f>Q708/U708</f>
        <v>#DIV/0!</v>
      </c>
      <c r="T708" s="38" t="e">
        <f>S708*AR708</f>
        <v>#DIV/0!</v>
      </c>
      <c r="U708" s="38">
        <f t="shared" si="82"/>
        <v>0</v>
      </c>
      <c r="V708" s="38">
        <v>0</v>
      </c>
      <c r="W708" s="38">
        <v>0</v>
      </c>
      <c r="X708" s="38">
        <v>0</v>
      </c>
      <c r="Y708" s="38"/>
      <c r="Z708" s="38" t="e">
        <f t="shared" si="80"/>
        <v>#DIV/0!</v>
      </c>
      <c r="AA708" s="38"/>
      <c r="AB708" s="38" t="e">
        <f t="shared" si="81"/>
        <v>#DIV/0!</v>
      </c>
      <c r="AC708" s="38" t="e">
        <f>U708/AR708</f>
        <v>#DIV/0!</v>
      </c>
      <c r="AD708" s="38" t="e">
        <f t="shared" si="83"/>
        <v>#DIV/0!</v>
      </c>
      <c r="AE708" s="33">
        <v>45519</v>
      </c>
      <c r="AF708" s="33"/>
      <c r="AG708" s="33"/>
      <c r="AH708" s="33"/>
      <c r="AI708" s="33"/>
      <c r="AJ708" s="42"/>
      <c r="AK708" s="37"/>
      <c r="AL708" s="37"/>
      <c r="AM708" s="37"/>
      <c r="AN708" s="37"/>
      <c r="AO708" s="43"/>
      <c r="AP708" s="35"/>
      <c r="AQ708" s="35"/>
      <c r="AR708" s="44"/>
      <c r="AS708" s="37"/>
    </row>
    <row r="709" spans="1:45" ht="48" customHeight="1" x14ac:dyDescent="0.25">
      <c r="A709" s="32" t="s">
        <v>3396</v>
      </c>
      <c r="B709" s="56">
        <v>45399</v>
      </c>
      <c r="C709" s="35" t="s">
        <v>2213</v>
      </c>
      <c r="D709" s="36"/>
      <c r="E709" s="37"/>
      <c r="F709" s="33"/>
      <c r="G709" s="35"/>
      <c r="H709" s="37"/>
      <c r="I709" s="58" t="s">
        <v>1496</v>
      </c>
      <c r="J709" s="57">
        <v>172780</v>
      </c>
      <c r="K709" s="40">
        <f>((J709-M709)/J709)*100</f>
        <v>100</v>
      </c>
      <c r="L709" s="41">
        <f>J709-M709</f>
        <v>172780</v>
      </c>
      <c r="M709" s="38"/>
      <c r="N709" s="41">
        <f>J709-O709</f>
        <v>172780</v>
      </c>
      <c r="O709" s="38">
        <v>0</v>
      </c>
      <c r="P709" s="27">
        <f t="shared" si="85"/>
        <v>0</v>
      </c>
      <c r="Q709" s="27">
        <f t="shared" si="85"/>
        <v>0</v>
      </c>
      <c r="R709" s="27" t="e">
        <f>Q709/U709</f>
        <v>#DIV/0!</v>
      </c>
      <c r="S709" s="38" t="e">
        <f>Q709/U709</f>
        <v>#DIV/0!</v>
      </c>
      <c r="T709" s="38" t="e">
        <f>S709*AR709</f>
        <v>#DIV/0!</v>
      </c>
      <c r="U709" s="38">
        <f t="shared" si="82"/>
        <v>0</v>
      </c>
      <c r="V709" s="38">
        <v>0</v>
      </c>
      <c r="W709" s="38">
        <v>0</v>
      </c>
      <c r="X709" s="38">
        <v>0</v>
      </c>
      <c r="Y709" s="38"/>
      <c r="Z709" s="38" t="e">
        <f t="shared" si="80"/>
        <v>#DIV/0!</v>
      </c>
      <c r="AA709" s="38"/>
      <c r="AB709" s="38" t="e">
        <f t="shared" si="81"/>
        <v>#DIV/0!</v>
      </c>
      <c r="AC709" s="38" t="e">
        <f>U709/AR709</f>
        <v>#DIV/0!</v>
      </c>
      <c r="AD709" s="38" t="e">
        <f t="shared" si="83"/>
        <v>#DIV/0!</v>
      </c>
      <c r="AE709" s="33">
        <v>45474</v>
      </c>
      <c r="AF709" s="33"/>
      <c r="AG709" s="33"/>
      <c r="AH709" s="33"/>
      <c r="AI709" s="33"/>
      <c r="AJ709" s="42"/>
      <c r="AK709" s="37"/>
      <c r="AL709" s="37"/>
      <c r="AM709" s="37"/>
      <c r="AN709" s="37"/>
      <c r="AO709" s="43"/>
      <c r="AP709" s="35"/>
      <c r="AQ709" s="35"/>
      <c r="AR709" s="44"/>
      <c r="AS709" s="37"/>
    </row>
    <row r="710" spans="1:45" ht="48" customHeight="1" x14ac:dyDescent="0.25">
      <c r="A710" s="32" t="s">
        <v>3397</v>
      </c>
      <c r="B710" s="56">
        <v>45399</v>
      </c>
      <c r="C710" s="35">
        <v>1416</v>
      </c>
      <c r="D710" s="36"/>
      <c r="E710" s="37"/>
      <c r="F710" s="33"/>
      <c r="G710" s="35"/>
      <c r="H710" s="37"/>
      <c r="I710" s="58" t="s">
        <v>1205</v>
      </c>
      <c r="J710" s="57">
        <v>149386790</v>
      </c>
      <c r="K710" s="40">
        <f>((J710-M710)/J710)*100</f>
        <v>100</v>
      </c>
      <c r="L710" s="41">
        <f>J710-M710</f>
        <v>149386790</v>
      </c>
      <c r="M710" s="38"/>
      <c r="N710" s="41">
        <f>J710-O710</f>
        <v>149386790</v>
      </c>
      <c r="O710" s="38">
        <v>0</v>
      </c>
      <c r="P710" s="27">
        <f t="shared" si="85"/>
        <v>0</v>
      </c>
      <c r="Q710" s="27">
        <f t="shared" si="85"/>
        <v>0</v>
      </c>
      <c r="R710" s="27" t="e">
        <f>Q710/U710</f>
        <v>#DIV/0!</v>
      </c>
      <c r="S710" s="38" t="e">
        <f>Q710/U710</f>
        <v>#DIV/0!</v>
      </c>
      <c r="T710" s="38" t="e">
        <f>S710*AR710</f>
        <v>#DIV/0!</v>
      </c>
      <c r="U710" s="38">
        <f t="shared" si="82"/>
        <v>0</v>
      </c>
      <c r="V710" s="38">
        <v>0</v>
      </c>
      <c r="W710" s="38">
        <v>0</v>
      </c>
      <c r="X710" s="38">
        <v>0</v>
      </c>
      <c r="Y710" s="38"/>
      <c r="Z710" s="38" t="e">
        <f t="shared" si="80"/>
        <v>#DIV/0!</v>
      </c>
      <c r="AA710" s="38"/>
      <c r="AB710" s="38" t="e">
        <f t="shared" si="81"/>
        <v>#DIV/0!</v>
      </c>
      <c r="AC710" s="38" t="e">
        <f>U710/AR710</f>
        <v>#DIV/0!</v>
      </c>
      <c r="AD710" s="38" t="e">
        <f t="shared" si="83"/>
        <v>#DIV/0!</v>
      </c>
      <c r="AE710" s="33">
        <v>45519</v>
      </c>
      <c r="AF710" s="33">
        <v>45596</v>
      </c>
      <c r="AG710" s="33"/>
      <c r="AH710" s="33"/>
      <c r="AI710" s="33"/>
      <c r="AJ710" s="42"/>
      <c r="AK710" s="37"/>
      <c r="AL710" s="37"/>
      <c r="AM710" s="37"/>
      <c r="AN710" s="37"/>
      <c r="AO710" s="43"/>
      <c r="AP710" s="35"/>
      <c r="AQ710" s="35"/>
      <c r="AR710" s="44"/>
      <c r="AS710" s="37"/>
    </row>
    <row r="711" spans="1:45" ht="48" customHeight="1" x14ac:dyDescent="0.25">
      <c r="A711" s="32" t="s">
        <v>3398</v>
      </c>
      <c r="B711" s="56">
        <v>45399</v>
      </c>
      <c r="C711" s="35">
        <v>1512</v>
      </c>
      <c r="D711" s="36"/>
      <c r="E711" s="37"/>
      <c r="F711" s="33"/>
      <c r="G711" s="35"/>
      <c r="H711" s="37"/>
      <c r="I711" s="58" t="s">
        <v>3400</v>
      </c>
      <c r="J711" s="57">
        <v>353783244.54000002</v>
      </c>
      <c r="K711" s="40">
        <f>((J711-M711)/J711)*100</f>
        <v>100</v>
      </c>
      <c r="L711" s="41">
        <f>J711-M711</f>
        <v>353783244.54000002</v>
      </c>
      <c r="M711" s="38"/>
      <c r="N711" s="41">
        <f>J711-O711</f>
        <v>353783244.54000002</v>
      </c>
      <c r="O711" s="38">
        <v>0</v>
      </c>
      <c r="P711" s="27">
        <f t="shared" si="85"/>
        <v>0</v>
      </c>
      <c r="Q711" s="27">
        <f t="shared" si="85"/>
        <v>0</v>
      </c>
      <c r="R711" s="27" t="e">
        <f>Q711/U711</f>
        <v>#DIV/0!</v>
      </c>
      <c r="S711" s="38" t="e">
        <f>Q711/U711</f>
        <v>#DIV/0!</v>
      </c>
      <c r="T711" s="38" t="e">
        <f>S711*AR711</f>
        <v>#DIV/0!</v>
      </c>
      <c r="U711" s="38">
        <f t="shared" si="82"/>
        <v>0</v>
      </c>
      <c r="V711" s="38">
        <v>0</v>
      </c>
      <c r="W711" s="38">
        <v>0</v>
      </c>
      <c r="X711" s="38">
        <v>0</v>
      </c>
      <c r="Y711" s="38"/>
      <c r="Z711" s="38" t="e">
        <f t="shared" si="80"/>
        <v>#DIV/0!</v>
      </c>
      <c r="AA711" s="38"/>
      <c r="AB711" s="38" t="e">
        <f t="shared" si="81"/>
        <v>#DIV/0!</v>
      </c>
      <c r="AC711" s="38" t="e">
        <f>U711/AR711</f>
        <v>#DIV/0!</v>
      </c>
      <c r="AD711" s="38" t="e">
        <f t="shared" si="83"/>
        <v>#DIV/0!</v>
      </c>
      <c r="AE711" s="33">
        <v>45458</v>
      </c>
      <c r="AF711" s="33">
        <v>45667</v>
      </c>
      <c r="AG711" s="33"/>
      <c r="AH711" s="33"/>
      <c r="AI711" s="33"/>
      <c r="AJ711" s="42"/>
      <c r="AK711" s="37"/>
      <c r="AL711" s="37"/>
      <c r="AM711" s="37"/>
      <c r="AN711" s="37"/>
      <c r="AO711" s="43"/>
      <c r="AP711" s="35"/>
      <c r="AQ711" s="35"/>
      <c r="AR711" s="44"/>
      <c r="AS711" s="37"/>
    </row>
    <row r="712" spans="1:45" ht="48" customHeight="1" x14ac:dyDescent="0.25">
      <c r="A712" s="32" t="s">
        <v>3399</v>
      </c>
      <c r="B712" s="56">
        <v>45399</v>
      </c>
      <c r="C712" s="35">
        <v>545</v>
      </c>
      <c r="D712" s="36"/>
      <c r="E712" s="37"/>
      <c r="F712" s="33"/>
      <c r="G712" s="35"/>
      <c r="H712" s="37"/>
      <c r="I712" s="58" t="s">
        <v>1376</v>
      </c>
      <c r="J712" s="57">
        <v>20192079.600000001</v>
      </c>
      <c r="K712" s="40">
        <f>((J712-M712)/J712)*100</f>
        <v>100</v>
      </c>
      <c r="L712" s="41">
        <f>J712-M712</f>
        <v>20192079.600000001</v>
      </c>
      <c r="M712" s="38"/>
      <c r="N712" s="41">
        <f>J712-O712</f>
        <v>20192079.600000001</v>
      </c>
      <c r="O712" s="38">
        <v>0</v>
      </c>
      <c r="P712" s="27">
        <f t="shared" si="85"/>
        <v>0</v>
      </c>
      <c r="Q712" s="27">
        <f t="shared" si="85"/>
        <v>0</v>
      </c>
      <c r="R712" s="27" t="e">
        <f>Q712/U712</f>
        <v>#DIV/0!</v>
      </c>
      <c r="S712" s="38" t="e">
        <f>Q712/U712</f>
        <v>#DIV/0!</v>
      </c>
      <c r="T712" s="38" t="e">
        <f>S712*AR712</f>
        <v>#DIV/0!</v>
      </c>
      <c r="U712" s="38">
        <f t="shared" si="82"/>
        <v>0</v>
      </c>
      <c r="V712" s="38">
        <v>0</v>
      </c>
      <c r="W712" s="38">
        <v>0</v>
      </c>
      <c r="X712" s="38">
        <v>0</v>
      </c>
      <c r="Y712" s="38"/>
      <c r="Z712" s="38" t="e">
        <f t="shared" si="80"/>
        <v>#DIV/0!</v>
      </c>
      <c r="AA712" s="38"/>
      <c r="AB712" s="38" t="e">
        <f t="shared" si="81"/>
        <v>#DIV/0!</v>
      </c>
      <c r="AC712" s="38" t="e">
        <f>U712/AR712</f>
        <v>#DIV/0!</v>
      </c>
      <c r="AD712" s="38" t="e">
        <f t="shared" si="83"/>
        <v>#DIV/0!</v>
      </c>
      <c r="AE712" s="33">
        <v>45443</v>
      </c>
      <c r="AF712" s="33"/>
      <c r="AG712" s="33"/>
      <c r="AH712" s="33"/>
      <c r="AI712" s="33"/>
      <c r="AJ712" s="42"/>
      <c r="AK712" s="37"/>
      <c r="AL712" s="37"/>
      <c r="AM712" s="37"/>
      <c r="AN712" s="37"/>
      <c r="AO712" s="43"/>
      <c r="AP712" s="35"/>
      <c r="AQ712" s="35"/>
      <c r="AR712" s="44"/>
      <c r="AS712" s="37"/>
    </row>
    <row r="713" spans="1:45" ht="48" customHeight="1" x14ac:dyDescent="0.25">
      <c r="A713" s="32" t="s">
        <v>3401</v>
      </c>
      <c r="B713" s="56">
        <v>45399</v>
      </c>
      <c r="C713" s="35">
        <v>545</v>
      </c>
      <c r="D713" s="36"/>
      <c r="E713" s="37"/>
      <c r="F713" s="33"/>
      <c r="G713" s="35"/>
      <c r="H713" s="37"/>
      <c r="I713" s="58" t="s">
        <v>3403</v>
      </c>
      <c r="J713" s="57">
        <v>10096032.66</v>
      </c>
      <c r="K713" s="40">
        <f>((J713-M713)/J713)*100</f>
        <v>100</v>
      </c>
      <c r="L713" s="41">
        <f>J713-M713</f>
        <v>10096032.66</v>
      </c>
      <c r="M713" s="38"/>
      <c r="N713" s="41">
        <f>J713-O713</f>
        <v>10096032.66</v>
      </c>
      <c r="O713" s="38">
        <v>0</v>
      </c>
      <c r="P713" s="27">
        <f t="shared" si="85"/>
        <v>0</v>
      </c>
      <c r="Q713" s="27">
        <f t="shared" si="85"/>
        <v>0</v>
      </c>
      <c r="R713" s="27" t="e">
        <f>Q713/U713</f>
        <v>#DIV/0!</v>
      </c>
      <c r="S713" s="38" t="e">
        <f>Q713/U713</f>
        <v>#DIV/0!</v>
      </c>
      <c r="T713" s="38" t="e">
        <f>S713*AR713</f>
        <v>#DIV/0!</v>
      </c>
      <c r="U713" s="38">
        <f t="shared" si="82"/>
        <v>0</v>
      </c>
      <c r="V713" s="38">
        <v>0</v>
      </c>
      <c r="W713" s="38">
        <v>0</v>
      </c>
      <c r="X713" s="38">
        <v>0</v>
      </c>
      <c r="Y713" s="38"/>
      <c r="Z713" s="38" t="e">
        <f t="shared" si="80"/>
        <v>#DIV/0!</v>
      </c>
      <c r="AA713" s="38"/>
      <c r="AB713" s="38" t="e">
        <f t="shared" si="81"/>
        <v>#DIV/0!</v>
      </c>
      <c r="AC713" s="38" t="e">
        <f>U713/AR713</f>
        <v>#DIV/0!</v>
      </c>
      <c r="AD713" s="38" t="e">
        <f t="shared" si="83"/>
        <v>#DIV/0!</v>
      </c>
      <c r="AE713" s="33">
        <v>45443</v>
      </c>
      <c r="AF713" s="33"/>
      <c r="AG713" s="33"/>
      <c r="AH713" s="33"/>
      <c r="AI713" s="33"/>
      <c r="AJ713" s="42"/>
      <c r="AK713" s="37"/>
      <c r="AL713" s="37"/>
      <c r="AM713" s="37"/>
      <c r="AN713" s="37"/>
      <c r="AO713" s="43"/>
      <c r="AP713" s="35"/>
      <c r="AQ713" s="35"/>
      <c r="AR713" s="44"/>
      <c r="AS713" s="37"/>
    </row>
    <row r="714" spans="1:45" ht="48" customHeight="1" x14ac:dyDescent="0.25">
      <c r="A714" s="32" t="s">
        <v>3402</v>
      </c>
      <c r="B714" s="56">
        <v>45399</v>
      </c>
      <c r="C714" s="35">
        <v>545</v>
      </c>
      <c r="D714" s="36"/>
      <c r="E714" s="37"/>
      <c r="F714" s="33"/>
      <c r="G714" s="35"/>
      <c r="H714" s="37"/>
      <c r="I714" s="58" t="s">
        <v>3405</v>
      </c>
      <c r="J714" s="57">
        <v>160974371.25</v>
      </c>
      <c r="K714" s="40">
        <f>((J714-M714)/J714)*100</f>
        <v>100</v>
      </c>
      <c r="L714" s="41">
        <f>J714-M714</f>
        <v>160974371.25</v>
      </c>
      <c r="M714" s="38"/>
      <c r="N714" s="41">
        <f>J714-O714</f>
        <v>160974371.25</v>
      </c>
      <c r="O714" s="38">
        <v>0</v>
      </c>
      <c r="P714" s="27">
        <f t="shared" si="85"/>
        <v>0</v>
      </c>
      <c r="Q714" s="27">
        <f t="shared" si="85"/>
        <v>0</v>
      </c>
      <c r="R714" s="27" t="e">
        <f>Q714/U714</f>
        <v>#DIV/0!</v>
      </c>
      <c r="S714" s="38" t="e">
        <f>Q714/U714</f>
        <v>#DIV/0!</v>
      </c>
      <c r="T714" s="38" t="e">
        <f>S714*AR714</f>
        <v>#DIV/0!</v>
      </c>
      <c r="U714" s="38">
        <f t="shared" si="82"/>
        <v>0</v>
      </c>
      <c r="V714" s="38">
        <v>0</v>
      </c>
      <c r="W714" s="38">
        <v>0</v>
      </c>
      <c r="X714" s="38">
        <v>0</v>
      </c>
      <c r="Y714" s="38"/>
      <c r="Z714" s="38" t="e">
        <f t="shared" si="80"/>
        <v>#DIV/0!</v>
      </c>
      <c r="AA714" s="38"/>
      <c r="AB714" s="38" t="e">
        <f t="shared" si="81"/>
        <v>#DIV/0!</v>
      </c>
      <c r="AC714" s="38" t="e">
        <f>U714/AR714</f>
        <v>#DIV/0!</v>
      </c>
      <c r="AD714" s="38" t="e">
        <f t="shared" si="83"/>
        <v>#DIV/0!</v>
      </c>
      <c r="AE714" s="33">
        <v>45444</v>
      </c>
      <c r="AF714" s="33"/>
      <c r="AG714" s="33"/>
      <c r="AH714" s="33"/>
      <c r="AI714" s="33"/>
      <c r="AJ714" s="42"/>
      <c r="AK714" s="37"/>
      <c r="AL714" s="37"/>
      <c r="AM714" s="37"/>
      <c r="AN714" s="37"/>
      <c r="AO714" s="43"/>
      <c r="AP714" s="35"/>
      <c r="AQ714" s="35"/>
      <c r="AR714" s="44"/>
      <c r="AS714" s="37"/>
    </row>
    <row r="715" spans="1:45" ht="48" customHeight="1" x14ac:dyDescent="0.25">
      <c r="A715" s="32" t="s">
        <v>3404</v>
      </c>
      <c r="B715" s="56">
        <v>45400</v>
      </c>
      <c r="C715" s="35" t="s">
        <v>2213</v>
      </c>
      <c r="D715" s="36"/>
      <c r="E715" s="37"/>
      <c r="F715" s="33"/>
      <c r="G715" s="35"/>
      <c r="H715" s="37"/>
      <c r="I715" s="58" t="s">
        <v>1150</v>
      </c>
      <c r="J715" s="57">
        <v>63996.24</v>
      </c>
      <c r="K715" s="40">
        <f>((J715-M715)/J715)*100</f>
        <v>100</v>
      </c>
      <c r="L715" s="41">
        <f>J715-M715</f>
        <v>63996.24</v>
      </c>
      <c r="M715" s="38"/>
      <c r="N715" s="41">
        <f>J715-O715</f>
        <v>63996.24</v>
      </c>
      <c r="O715" s="38">
        <v>0</v>
      </c>
      <c r="P715" s="27">
        <f t="shared" si="85"/>
        <v>0</v>
      </c>
      <c r="Q715" s="27">
        <f t="shared" si="85"/>
        <v>0</v>
      </c>
      <c r="R715" s="27" t="e">
        <f>Q715/U715</f>
        <v>#DIV/0!</v>
      </c>
      <c r="S715" s="38" t="e">
        <f>Q715/U715</f>
        <v>#DIV/0!</v>
      </c>
      <c r="T715" s="38" t="e">
        <f>S715*AR715</f>
        <v>#DIV/0!</v>
      </c>
      <c r="U715" s="38">
        <f t="shared" si="82"/>
        <v>0</v>
      </c>
      <c r="V715" s="38">
        <v>0</v>
      </c>
      <c r="W715" s="38">
        <v>0</v>
      </c>
      <c r="X715" s="38">
        <v>0</v>
      </c>
      <c r="Y715" s="38"/>
      <c r="Z715" s="38" t="e">
        <f t="shared" si="80"/>
        <v>#DIV/0!</v>
      </c>
      <c r="AA715" s="38"/>
      <c r="AB715" s="38" t="e">
        <f t="shared" si="81"/>
        <v>#DIV/0!</v>
      </c>
      <c r="AC715" s="38" t="e">
        <f>U715/AR715</f>
        <v>#DIV/0!</v>
      </c>
      <c r="AD715" s="38" t="e">
        <f t="shared" si="83"/>
        <v>#DIV/0!</v>
      </c>
      <c r="AE715" s="33">
        <v>45474</v>
      </c>
      <c r="AF715" s="33"/>
      <c r="AG715" s="33"/>
      <c r="AH715" s="33"/>
      <c r="AI715" s="33"/>
      <c r="AJ715" s="42"/>
      <c r="AK715" s="37"/>
      <c r="AL715" s="37"/>
      <c r="AM715" s="37"/>
      <c r="AN715" s="37"/>
      <c r="AO715" s="43"/>
      <c r="AP715" s="35"/>
      <c r="AQ715" s="35"/>
      <c r="AR715" s="44"/>
      <c r="AS715" s="37"/>
    </row>
    <row r="716" spans="1:45" ht="48" customHeight="1" x14ac:dyDescent="0.25">
      <c r="A716" s="32" t="s">
        <v>3406</v>
      </c>
      <c r="B716" s="56">
        <v>45400</v>
      </c>
      <c r="C716" s="35">
        <v>1512</v>
      </c>
      <c r="D716" s="36"/>
      <c r="E716" s="37"/>
      <c r="F716" s="33"/>
      <c r="G716" s="35"/>
      <c r="H716" s="37"/>
      <c r="I716" s="58" t="s">
        <v>2432</v>
      </c>
      <c r="J716" s="57">
        <v>6518205.46</v>
      </c>
      <c r="K716" s="40">
        <f>((J716-M716)/J716)*100</f>
        <v>100</v>
      </c>
      <c r="L716" s="41">
        <f>J716-M716</f>
        <v>6518205.46</v>
      </c>
      <c r="M716" s="38"/>
      <c r="N716" s="41">
        <f>J716-O716</f>
        <v>6518205.46</v>
      </c>
      <c r="O716" s="38">
        <v>0</v>
      </c>
      <c r="P716" s="27">
        <f t="shared" si="85"/>
        <v>0</v>
      </c>
      <c r="Q716" s="27">
        <f t="shared" si="85"/>
        <v>0</v>
      </c>
      <c r="R716" s="27" t="e">
        <f>Q716/U716</f>
        <v>#DIV/0!</v>
      </c>
      <c r="S716" s="38" t="e">
        <f>Q716/U716</f>
        <v>#DIV/0!</v>
      </c>
      <c r="T716" s="38" t="e">
        <f>S716*AR716</f>
        <v>#DIV/0!</v>
      </c>
      <c r="U716" s="38">
        <f t="shared" si="82"/>
        <v>0</v>
      </c>
      <c r="V716" s="38">
        <v>0</v>
      </c>
      <c r="W716" s="38">
        <v>0</v>
      </c>
      <c r="X716" s="38">
        <v>0</v>
      </c>
      <c r="Y716" s="38"/>
      <c r="Z716" s="38" t="e">
        <f t="shared" ref="Z716:Z779" si="86">Y716*S716</f>
        <v>#DIV/0!</v>
      </c>
      <c r="AA716" s="38"/>
      <c r="AB716" s="38" t="e">
        <f t="shared" ref="AB716:AB779" si="87">AA716*S716</f>
        <v>#DIV/0!</v>
      </c>
      <c r="AC716" s="38" t="e">
        <f>U716/AR716</f>
        <v>#DIV/0!</v>
      </c>
      <c r="AD716" s="38" t="e">
        <f t="shared" si="83"/>
        <v>#DIV/0!</v>
      </c>
      <c r="AE716" s="33">
        <v>45566</v>
      </c>
      <c r="AF716" s="33">
        <v>45667</v>
      </c>
      <c r="AG716" s="33"/>
      <c r="AH716" s="33"/>
      <c r="AI716" s="33"/>
      <c r="AJ716" s="42"/>
      <c r="AK716" s="37"/>
      <c r="AL716" s="37"/>
      <c r="AM716" s="37"/>
      <c r="AN716" s="37"/>
      <c r="AO716" s="43"/>
      <c r="AP716" s="35"/>
      <c r="AQ716" s="35"/>
      <c r="AR716" s="44"/>
      <c r="AS716" s="37"/>
    </row>
    <row r="717" spans="1:45" ht="48" customHeight="1" x14ac:dyDescent="0.25">
      <c r="A717" s="32" t="s">
        <v>3407</v>
      </c>
      <c r="B717" s="56">
        <v>45400</v>
      </c>
      <c r="C717" s="35">
        <v>1512</v>
      </c>
      <c r="D717" s="36"/>
      <c r="E717" s="37"/>
      <c r="F717" s="33"/>
      <c r="G717" s="35"/>
      <c r="H717" s="37"/>
      <c r="I717" s="58" t="s">
        <v>3409</v>
      </c>
      <c r="J717" s="57">
        <v>2804597</v>
      </c>
      <c r="K717" s="40">
        <f>((J717-M717)/J717)*100</f>
        <v>100</v>
      </c>
      <c r="L717" s="41">
        <f>J717-M717</f>
        <v>2804597</v>
      </c>
      <c r="M717" s="38"/>
      <c r="N717" s="41">
        <f>J717-O717</f>
        <v>2804597</v>
      </c>
      <c r="O717" s="38">
        <v>0</v>
      </c>
      <c r="P717" s="27">
        <f t="shared" ref="P717:Q738" si="88">O717</f>
        <v>0</v>
      </c>
      <c r="Q717" s="27">
        <f t="shared" si="88"/>
        <v>0</v>
      </c>
      <c r="R717" s="27" t="e">
        <f>Q717/U717</f>
        <v>#DIV/0!</v>
      </c>
      <c r="S717" s="38" t="e">
        <f>Q717/U717</f>
        <v>#DIV/0!</v>
      </c>
      <c r="T717" s="38" t="e">
        <f>S717*AR717</f>
        <v>#DIV/0!</v>
      </c>
      <c r="U717" s="38">
        <f t="shared" si="82"/>
        <v>0</v>
      </c>
      <c r="V717" s="38">
        <v>0</v>
      </c>
      <c r="W717" s="38">
        <v>0</v>
      </c>
      <c r="X717" s="38">
        <v>0</v>
      </c>
      <c r="Y717" s="38"/>
      <c r="Z717" s="38" t="e">
        <f t="shared" si="86"/>
        <v>#DIV/0!</v>
      </c>
      <c r="AA717" s="38"/>
      <c r="AB717" s="38" t="e">
        <f t="shared" si="87"/>
        <v>#DIV/0!</v>
      </c>
      <c r="AC717" s="38" t="e">
        <f>U717/AR717</f>
        <v>#DIV/0!</v>
      </c>
      <c r="AD717" s="38" t="e">
        <f t="shared" si="83"/>
        <v>#DIV/0!</v>
      </c>
      <c r="AE717" s="33">
        <v>45566</v>
      </c>
      <c r="AF717" s="33">
        <v>45667</v>
      </c>
      <c r="AG717" s="33"/>
      <c r="AH717" s="33"/>
      <c r="AI717" s="33"/>
      <c r="AJ717" s="42"/>
      <c r="AK717" s="37"/>
      <c r="AL717" s="37"/>
      <c r="AM717" s="37"/>
      <c r="AN717" s="37"/>
      <c r="AO717" s="43"/>
      <c r="AP717" s="35"/>
      <c r="AQ717" s="35"/>
      <c r="AR717" s="44"/>
      <c r="AS717" s="37"/>
    </row>
    <row r="718" spans="1:45" ht="48" customHeight="1" x14ac:dyDescent="0.25">
      <c r="A718" s="32" t="s">
        <v>3408</v>
      </c>
      <c r="B718" s="56">
        <v>45401</v>
      </c>
      <c r="C718" s="35">
        <v>1512</v>
      </c>
      <c r="D718" s="36"/>
      <c r="E718" s="37"/>
      <c r="F718" s="33"/>
      <c r="G718" s="35"/>
      <c r="H718" s="37"/>
      <c r="I718" s="58" t="s">
        <v>2935</v>
      </c>
      <c r="J718" s="57">
        <v>20918431.800000001</v>
      </c>
      <c r="K718" s="40">
        <f>((J718-M718)/J718)*100</f>
        <v>100</v>
      </c>
      <c r="L718" s="41">
        <f>J718-M718</f>
        <v>20918431.800000001</v>
      </c>
      <c r="M718" s="38"/>
      <c r="N718" s="41">
        <f>J718-O718</f>
        <v>20918431.800000001</v>
      </c>
      <c r="O718" s="38">
        <v>0</v>
      </c>
      <c r="P718" s="27">
        <f t="shared" si="88"/>
        <v>0</v>
      </c>
      <c r="Q718" s="27">
        <f t="shared" si="88"/>
        <v>0</v>
      </c>
      <c r="R718" s="27" t="e">
        <f>Q718/U718</f>
        <v>#DIV/0!</v>
      </c>
      <c r="S718" s="38" t="e">
        <f>Q718/U718</f>
        <v>#DIV/0!</v>
      </c>
      <c r="T718" s="38" t="e">
        <f>S718*AR718</f>
        <v>#DIV/0!</v>
      </c>
      <c r="U718" s="38">
        <f t="shared" si="82"/>
        <v>0</v>
      </c>
      <c r="V718" s="38">
        <v>0</v>
      </c>
      <c r="W718" s="38">
        <v>0</v>
      </c>
      <c r="X718" s="38">
        <v>0</v>
      </c>
      <c r="Y718" s="38"/>
      <c r="Z718" s="38" t="e">
        <f t="shared" si="86"/>
        <v>#DIV/0!</v>
      </c>
      <c r="AA718" s="38"/>
      <c r="AB718" s="38" t="e">
        <f t="shared" si="87"/>
        <v>#DIV/0!</v>
      </c>
      <c r="AC718" s="38" t="e">
        <f>U718/AR718</f>
        <v>#DIV/0!</v>
      </c>
      <c r="AD718" s="38" t="e">
        <f t="shared" si="83"/>
        <v>#DIV/0!</v>
      </c>
      <c r="AE718" s="33">
        <v>45474</v>
      </c>
      <c r="AF718" s="33">
        <v>45667</v>
      </c>
      <c r="AG718" s="33"/>
      <c r="AH718" s="33"/>
      <c r="AI718" s="33"/>
      <c r="AJ718" s="42"/>
      <c r="AK718" s="37"/>
      <c r="AL718" s="37"/>
      <c r="AM718" s="37"/>
      <c r="AN718" s="37"/>
      <c r="AO718" s="43"/>
      <c r="AP718" s="35"/>
      <c r="AQ718" s="35"/>
      <c r="AR718" s="44"/>
      <c r="AS718" s="37"/>
    </row>
    <row r="719" spans="1:45" ht="48" customHeight="1" x14ac:dyDescent="0.25">
      <c r="A719" s="32" t="s">
        <v>3410</v>
      </c>
      <c r="B719" s="56">
        <v>45400</v>
      </c>
      <c r="C719" s="35" t="s">
        <v>2213</v>
      </c>
      <c r="D719" s="36"/>
      <c r="E719" s="37"/>
      <c r="F719" s="33"/>
      <c r="G719" s="35"/>
      <c r="H719" s="37"/>
      <c r="I719" s="58" t="s">
        <v>3412</v>
      </c>
      <c r="J719" s="57">
        <v>599040</v>
      </c>
      <c r="K719" s="40">
        <f>((J719-M719)/J719)*100</f>
        <v>100</v>
      </c>
      <c r="L719" s="41">
        <f>J719-M719</f>
        <v>599040</v>
      </c>
      <c r="M719" s="38"/>
      <c r="N719" s="41">
        <f>J719-O719</f>
        <v>599040</v>
      </c>
      <c r="O719" s="38">
        <v>0</v>
      </c>
      <c r="P719" s="27">
        <f t="shared" si="88"/>
        <v>0</v>
      </c>
      <c r="Q719" s="27">
        <f t="shared" si="88"/>
        <v>0</v>
      </c>
      <c r="R719" s="27" t="e">
        <f>Q719/U719</f>
        <v>#DIV/0!</v>
      </c>
      <c r="S719" s="38" t="e">
        <f>Q719/U719</f>
        <v>#DIV/0!</v>
      </c>
      <c r="T719" s="38" t="e">
        <f>S719*AR719</f>
        <v>#DIV/0!</v>
      </c>
      <c r="U719" s="38">
        <f t="shared" si="82"/>
        <v>0</v>
      </c>
      <c r="V719" s="38">
        <v>0</v>
      </c>
      <c r="W719" s="38">
        <v>0</v>
      </c>
      <c r="X719" s="38">
        <v>0</v>
      </c>
      <c r="Y719" s="38"/>
      <c r="Z719" s="38" t="e">
        <f t="shared" si="86"/>
        <v>#DIV/0!</v>
      </c>
      <c r="AA719" s="38"/>
      <c r="AB719" s="38" t="e">
        <f t="shared" si="87"/>
        <v>#DIV/0!</v>
      </c>
      <c r="AC719" s="38" t="e">
        <f>U719/AR719</f>
        <v>#DIV/0!</v>
      </c>
      <c r="AD719" s="38" t="e">
        <f t="shared" si="83"/>
        <v>#DIV/0!</v>
      </c>
      <c r="AE719" s="33">
        <v>45566</v>
      </c>
      <c r="AF719" s="33"/>
      <c r="AG719" s="33"/>
      <c r="AH719" s="33"/>
      <c r="AI719" s="33"/>
      <c r="AJ719" s="42"/>
      <c r="AK719" s="37"/>
      <c r="AL719" s="37"/>
      <c r="AM719" s="37"/>
      <c r="AN719" s="37"/>
      <c r="AO719" s="43"/>
      <c r="AP719" s="35"/>
      <c r="AQ719" s="35"/>
      <c r="AR719" s="44"/>
      <c r="AS719" s="37"/>
    </row>
    <row r="720" spans="1:45" ht="48" customHeight="1" x14ac:dyDescent="0.25">
      <c r="A720" s="32" t="s">
        <v>3411</v>
      </c>
      <c r="B720" s="56">
        <v>45401</v>
      </c>
      <c r="C720" s="35">
        <v>1512</v>
      </c>
      <c r="D720" s="36"/>
      <c r="E720" s="37"/>
      <c r="F720" s="33"/>
      <c r="G720" s="35"/>
      <c r="H720" s="37"/>
      <c r="I720" s="58" t="s">
        <v>2290</v>
      </c>
      <c r="J720" s="57">
        <v>22227280.640000001</v>
      </c>
      <c r="K720" s="40">
        <f>((J720-M720)/J720)*100</f>
        <v>100</v>
      </c>
      <c r="L720" s="41">
        <f>J720-M720</f>
        <v>22227280.640000001</v>
      </c>
      <c r="M720" s="38"/>
      <c r="N720" s="41">
        <f>J720-O720</f>
        <v>22227280.640000001</v>
      </c>
      <c r="O720" s="38">
        <v>0</v>
      </c>
      <c r="P720" s="27">
        <f t="shared" si="88"/>
        <v>0</v>
      </c>
      <c r="Q720" s="27">
        <f t="shared" si="88"/>
        <v>0</v>
      </c>
      <c r="R720" s="27" t="e">
        <f>Q720/U720</f>
        <v>#DIV/0!</v>
      </c>
      <c r="S720" s="38" t="e">
        <f>Q720/U720</f>
        <v>#DIV/0!</v>
      </c>
      <c r="T720" s="38" t="e">
        <f>S720*AR720</f>
        <v>#DIV/0!</v>
      </c>
      <c r="U720" s="38">
        <f t="shared" si="82"/>
        <v>0</v>
      </c>
      <c r="V720" s="38">
        <v>0</v>
      </c>
      <c r="W720" s="38">
        <v>0</v>
      </c>
      <c r="X720" s="38">
        <v>0</v>
      </c>
      <c r="Y720" s="38"/>
      <c r="Z720" s="38" t="e">
        <f t="shared" si="86"/>
        <v>#DIV/0!</v>
      </c>
      <c r="AA720" s="38"/>
      <c r="AB720" s="38" t="e">
        <f t="shared" si="87"/>
        <v>#DIV/0!</v>
      </c>
      <c r="AC720" s="38" t="e">
        <f>U720/AR720</f>
        <v>#DIV/0!</v>
      </c>
      <c r="AD720" s="38" t="e">
        <f t="shared" si="83"/>
        <v>#DIV/0!</v>
      </c>
      <c r="AE720" s="33">
        <v>45566</v>
      </c>
      <c r="AF720" s="33">
        <v>45667</v>
      </c>
      <c r="AG720" s="33"/>
      <c r="AH720" s="33"/>
      <c r="AI720" s="33"/>
      <c r="AJ720" s="42"/>
      <c r="AK720" s="37"/>
      <c r="AL720" s="37"/>
      <c r="AM720" s="37"/>
      <c r="AN720" s="37"/>
      <c r="AO720" s="43"/>
      <c r="AP720" s="35"/>
      <c r="AQ720" s="35"/>
      <c r="AR720" s="44"/>
      <c r="AS720" s="37"/>
    </row>
    <row r="721" spans="1:45" ht="48" customHeight="1" x14ac:dyDescent="0.25">
      <c r="A721" s="32" t="s">
        <v>3413</v>
      </c>
      <c r="B721" s="56">
        <v>45400</v>
      </c>
      <c r="C721" s="35">
        <v>1512</v>
      </c>
      <c r="D721" s="36"/>
      <c r="E721" s="37"/>
      <c r="F721" s="33"/>
      <c r="G721" s="35"/>
      <c r="H721" s="37"/>
      <c r="I721" s="58" t="s">
        <v>2940</v>
      </c>
      <c r="J721" s="57">
        <v>538692</v>
      </c>
      <c r="K721" s="40">
        <f>((J721-M721)/J721)*100</f>
        <v>100</v>
      </c>
      <c r="L721" s="41">
        <f>J721-M721</f>
        <v>538692</v>
      </c>
      <c r="M721" s="38"/>
      <c r="N721" s="41">
        <f>J721-O721</f>
        <v>538692</v>
      </c>
      <c r="O721" s="38">
        <v>0</v>
      </c>
      <c r="P721" s="27">
        <f t="shared" si="88"/>
        <v>0</v>
      </c>
      <c r="Q721" s="27">
        <f t="shared" si="88"/>
        <v>0</v>
      </c>
      <c r="R721" s="27" t="e">
        <f>Q721/U721</f>
        <v>#DIV/0!</v>
      </c>
      <c r="S721" s="38" t="e">
        <f>Q721/U721</f>
        <v>#DIV/0!</v>
      </c>
      <c r="T721" s="38" t="e">
        <f>S721*AR721</f>
        <v>#DIV/0!</v>
      </c>
      <c r="U721" s="38">
        <f t="shared" si="82"/>
        <v>0</v>
      </c>
      <c r="V721" s="38">
        <v>0</v>
      </c>
      <c r="W721" s="38">
        <v>0</v>
      </c>
      <c r="X721" s="38">
        <v>0</v>
      </c>
      <c r="Y721" s="38"/>
      <c r="Z721" s="38" t="e">
        <f t="shared" si="86"/>
        <v>#DIV/0!</v>
      </c>
      <c r="AA721" s="38"/>
      <c r="AB721" s="38" t="e">
        <f t="shared" si="87"/>
        <v>#DIV/0!</v>
      </c>
      <c r="AC721" s="38" t="e">
        <f>U721/AR721</f>
        <v>#DIV/0!</v>
      </c>
      <c r="AD721" s="38" t="e">
        <f t="shared" si="83"/>
        <v>#DIV/0!</v>
      </c>
      <c r="AE721" s="33">
        <v>45667</v>
      </c>
      <c r="AF721" s="33"/>
      <c r="AG721" s="33"/>
      <c r="AH721" s="33"/>
      <c r="AI721" s="33"/>
      <c r="AJ721" s="42"/>
      <c r="AK721" s="37"/>
      <c r="AL721" s="37"/>
      <c r="AM721" s="37"/>
      <c r="AN721" s="37"/>
      <c r="AO721" s="43"/>
      <c r="AP721" s="35"/>
      <c r="AQ721" s="35"/>
      <c r="AR721" s="44"/>
      <c r="AS721" s="37"/>
    </row>
    <row r="722" spans="1:45" ht="48" customHeight="1" x14ac:dyDescent="0.25">
      <c r="A722" s="32" t="s">
        <v>3414</v>
      </c>
      <c r="B722" s="56">
        <v>45401</v>
      </c>
      <c r="C722" s="35">
        <v>1416</v>
      </c>
      <c r="D722" s="36"/>
      <c r="E722" s="37"/>
      <c r="F722" s="33"/>
      <c r="G722" s="35"/>
      <c r="H722" s="37"/>
      <c r="I722" s="59" t="s">
        <v>898</v>
      </c>
      <c r="J722" s="57">
        <v>11108489.279999999</v>
      </c>
      <c r="K722" s="40">
        <f>((J722-M722)/J722)*100</f>
        <v>100</v>
      </c>
      <c r="L722" s="41">
        <f>J722-M722</f>
        <v>11108489.279999999</v>
      </c>
      <c r="M722" s="38"/>
      <c r="N722" s="41">
        <f>J722-O722</f>
        <v>11108489.279999999</v>
      </c>
      <c r="O722" s="38">
        <v>0</v>
      </c>
      <c r="P722" s="27">
        <f t="shared" si="88"/>
        <v>0</v>
      </c>
      <c r="Q722" s="27">
        <f t="shared" si="88"/>
        <v>0</v>
      </c>
      <c r="R722" s="27" t="e">
        <f>Q722/U722</f>
        <v>#DIV/0!</v>
      </c>
      <c r="S722" s="38" t="e">
        <f>Q722/U722</f>
        <v>#DIV/0!</v>
      </c>
      <c r="T722" s="38" t="e">
        <f>S722*AR722</f>
        <v>#DIV/0!</v>
      </c>
      <c r="U722" s="38">
        <f t="shared" si="82"/>
        <v>0</v>
      </c>
      <c r="V722" s="38">
        <v>0</v>
      </c>
      <c r="W722" s="38">
        <v>0</v>
      </c>
      <c r="X722" s="38">
        <v>0</v>
      </c>
      <c r="Y722" s="38"/>
      <c r="Z722" s="38" t="e">
        <f t="shared" si="86"/>
        <v>#DIV/0!</v>
      </c>
      <c r="AA722" s="38"/>
      <c r="AB722" s="38" t="e">
        <f t="shared" si="87"/>
        <v>#DIV/0!</v>
      </c>
      <c r="AC722" s="38" t="e">
        <f>U722/AR722</f>
        <v>#DIV/0!</v>
      </c>
      <c r="AD722" s="38" t="e">
        <f t="shared" si="83"/>
        <v>#DIV/0!</v>
      </c>
      <c r="AE722" s="33">
        <v>45566</v>
      </c>
      <c r="AF722" s="33"/>
      <c r="AG722" s="33"/>
      <c r="AH722" s="33"/>
      <c r="AI722" s="33"/>
      <c r="AJ722" s="42"/>
      <c r="AK722" s="37"/>
      <c r="AL722" s="37"/>
      <c r="AM722" s="37"/>
      <c r="AN722" s="37"/>
      <c r="AO722" s="43"/>
      <c r="AP722" s="35"/>
      <c r="AQ722" s="35"/>
      <c r="AR722" s="44"/>
      <c r="AS722" s="37"/>
    </row>
    <row r="723" spans="1:45" ht="48" customHeight="1" x14ac:dyDescent="0.25">
      <c r="A723" s="32" t="s">
        <v>3415</v>
      </c>
      <c r="B723" s="56">
        <v>45400</v>
      </c>
      <c r="C723" s="35" t="s">
        <v>2213</v>
      </c>
      <c r="D723" s="36"/>
      <c r="E723" s="37"/>
      <c r="F723" s="33"/>
      <c r="G723" s="35"/>
      <c r="H723" s="37"/>
      <c r="I723" s="58" t="s">
        <v>917</v>
      </c>
      <c r="J723" s="57">
        <v>72265</v>
      </c>
      <c r="K723" s="40">
        <f>((J723-M723)/J723)*100</f>
        <v>100</v>
      </c>
      <c r="L723" s="41">
        <f>J723-M723</f>
        <v>72265</v>
      </c>
      <c r="M723" s="38"/>
      <c r="N723" s="41">
        <f>J723-O723</f>
        <v>72265</v>
      </c>
      <c r="O723" s="38">
        <v>0</v>
      </c>
      <c r="P723" s="27">
        <f t="shared" si="88"/>
        <v>0</v>
      </c>
      <c r="Q723" s="27">
        <f t="shared" si="88"/>
        <v>0</v>
      </c>
      <c r="R723" s="27" t="e">
        <f>Q723/U723</f>
        <v>#DIV/0!</v>
      </c>
      <c r="S723" s="38" t="e">
        <f>Q723/U723</f>
        <v>#DIV/0!</v>
      </c>
      <c r="T723" s="38" t="e">
        <f>S723*AR723</f>
        <v>#DIV/0!</v>
      </c>
      <c r="U723" s="38">
        <f t="shared" si="82"/>
        <v>0</v>
      </c>
      <c r="V723" s="38">
        <v>0</v>
      </c>
      <c r="W723" s="38">
        <v>0</v>
      </c>
      <c r="X723" s="38">
        <v>0</v>
      </c>
      <c r="Y723" s="38"/>
      <c r="Z723" s="38" t="e">
        <f t="shared" si="86"/>
        <v>#DIV/0!</v>
      </c>
      <c r="AA723" s="38"/>
      <c r="AB723" s="38" t="e">
        <f t="shared" si="87"/>
        <v>#DIV/0!</v>
      </c>
      <c r="AC723" s="38" t="e">
        <f>U723/AR723</f>
        <v>#DIV/0!</v>
      </c>
      <c r="AD723" s="38" t="e">
        <f t="shared" si="83"/>
        <v>#DIV/0!</v>
      </c>
      <c r="AE723" s="33">
        <v>45474</v>
      </c>
      <c r="AF723" s="33"/>
      <c r="AG723" s="33"/>
      <c r="AH723" s="33"/>
      <c r="AI723" s="33"/>
      <c r="AJ723" s="42"/>
      <c r="AK723" s="37"/>
      <c r="AL723" s="37"/>
      <c r="AM723" s="37"/>
      <c r="AN723" s="37"/>
      <c r="AO723" s="43"/>
      <c r="AP723" s="35"/>
      <c r="AQ723" s="35"/>
      <c r="AR723" s="44"/>
      <c r="AS723" s="37"/>
    </row>
    <row r="724" spans="1:45" ht="48" customHeight="1" x14ac:dyDescent="0.25">
      <c r="A724" s="32" t="s">
        <v>3416</v>
      </c>
      <c r="B724" s="56">
        <v>45401</v>
      </c>
      <c r="C724" s="35">
        <v>1512</v>
      </c>
      <c r="D724" s="36"/>
      <c r="E724" s="37"/>
      <c r="F724" s="33"/>
      <c r="G724" s="35"/>
      <c r="H724" s="37"/>
      <c r="I724" s="59" t="s">
        <v>551</v>
      </c>
      <c r="J724" s="57">
        <v>926516457.25</v>
      </c>
      <c r="K724" s="40">
        <f>((J724-M724)/J724)*100</f>
        <v>100</v>
      </c>
      <c r="L724" s="41">
        <f>J724-M724</f>
        <v>926516457.25</v>
      </c>
      <c r="M724" s="38"/>
      <c r="N724" s="41">
        <f>J724-O724</f>
        <v>926516457.25</v>
      </c>
      <c r="O724" s="38">
        <v>0</v>
      </c>
      <c r="P724" s="27">
        <f t="shared" si="88"/>
        <v>0</v>
      </c>
      <c r="Q724" s="27">
        <f t="shared" si="88"/>
        <v>0</v>
      </c>
      <c r="R724" s="27" t="e">
        <f>Q724/U724</f>
        <v>#DIV/0!</v>
      </c>
      <c r="S724" s="38" t="e">
        <f>Q724/U724</f>
        <v>#DIV/0!</v>
      </c>
      <c r="T724" s="38" t="e">
        <f>S724*AR724</f>
        <v>#DIV/0!</v>
      </c>
      <c r="U724" s="38">
        <f t="shared" si="82"/>
        <v>0</v>
      </c>
      <c r="V724" s="38">
        <v>0</v>
      </c>
      <c r="W724" s="38">
        <v>0</v>
      </c>
      <c r="X724" s="38">
        <v>0</v>
      </c>
      <c r="Y724" s="38"/>
      <c r="Z724" s="38" t="e">
        <f t="shared" si="86"/>
        <v>#DIV/0!</v>
      </c>
      <c r="AA724" s="38"/>
      <c r="AB724" s="38" t="e">
        <f t="shared" si="87"/>
        <v>#DIV/0!</v>
      </c>
      <c r="AC724" s="38" t="e">
        <f>U724/AR724</f>
        <v>#DIV/0!</v>
      </c>
      <c r="AD724" s="38" t="e">
        <f t="shared" si="83"/>
        <v>#DIV/0!</v>
      </c>
      <c r="AE724" s="33">
        <v>45566</v>
      </c>
      <c r="AF724" s="33">
        <v>45682</v>
      </c>
      <c r="AG724" s="33"/>
      <c r="AH724" s="33"/>
      <c r="AI724" s="33"/>
      <c r="AJ724" s="42"/>
      <c r="AK724" s="37"/>
      <c r="AL724" s="37"/>
      <c r="AM724" s="37"/>
      <c r="AN724" s="37"/>
      <c r="AO724" s="43"/>
      <c r="AP724" s="35"/>
      <c r="AQ724" s="35"/>
      <c r="AR724" s="44"/>
      <c r="AS724" s="37"/>
    </row>
    <row r="725" spans="1:45" ht="15.75" customHeight="1" x14ac:dyDescent="0.25">
      <c r="A725" s="32" t="s">
        <v>3417</v>
      </c>
      <c r="B725" s="33"/>
      <c r="C725" s="35"/>
      <c r="D725" s="36"/>
      <c r="E725" s="37"/>
      <c r="F725" s="33"/>
      <c r="G725" s="35"/>
      <c r="H725" s="37"/>
      <c r="I725" s="37"/>
      <c r="J725" s="38">
        <v>0</v>
      </c>
      <c r="K725" s="40" t="e">
        <f>((J725-M725)/J725)*100</f>
        <v>#DIV/0!</v>
      </c>
      <c r="L725" s="41">
        <f>J725-M725</f>
        <v>0</v>
      </c>
      <c r="M725" s="38"/>
      <c r="N725" s="41">
        <f>J725-O725</f>
        <v>0</v>
      </c>
      <c r="O725" s="38">
        <v>0</v>
      </c>
      <c r="P725" s="27">
        <f t="shared" si="88"/>
        <v>0</v>
      </c>
      <c r="Q725" s="27">
        <f t="shared" si="88"/>
        <v>0</v>
      </c>
      <c r="R725" s="27" t="e">
        <f>Q725/U725</f>
        <v>#DIV/0!</v>
      </c>
      <c r="S725" s="38" t="e">
        <f>Q725/U725</f>
        <v>#DIV/0!</v>
      </c>
      <c r="T725" s="38" t="e">
        <f>S725*AR725</f>
        <v>#DIV/0!</v>
      </c>
      <c r="U725" s="38">
        <f t="shared" si="82"/>
        <v>0</v>
      </c>
      <c r="V725" s="38">
        <v>0</v>
      </c>
      <c r="W725" s="38">
        <v>0</v>
      </c>
      <c r="X725" s="38">
        <v>0</v>
      </c>
      <c r="Y725" s="38"/>
      <c r="Z725" s="38" t="e">
        <f t="shared" si="86"/>
        <v>#DIV/0!</v>
      </c>
      <c r="AA725" s="38"/>
      <c r="AB725" s="38" t="e">
        <f t="shared" si="87"/>
        <v>#DIV/0!</v>
      </c>
      <c r="AC725" s="38" t="e">
        <f>U725/AR725</f>
        <v>#DIV/0!</v>
      </c>
      <c r="AD725" s="38" t="e">
        <f t="shared" si="83"/>
        <v>#DIV/0!</v>
      </c>
      <c r="AE725" s="33"/>
      <c r="AF725" s="33"/>
      <c r="AG725" s="33"/>
      <c r="AH725" s="33"/>
      <c r="AI725" s="33"/>
      <c r="AJ725" s="42"/>
      <c r="AK725" s="37"/>
      <c r="AL725" s="37"/>
      <c r="AM725" s="37"/>
      <c r="AN725" s="37"/>
      <c r="AO725" s="43"/>
      <c r="AP725" s="35"/>
      <c r="AQ725" s="35"/>
      <c r="AR725" s="44"/>
      <c r="AS725" s="37"/>
    </row>
    <row r="726" spans="1:45" ht="15.75" customHeight="1" x14ac:dyDescent="0.25">
      <c r="A726" s="46"/>
      <c r="B726" s="33"/>
      <c r="C726" s="35"/>
      <c r="D726" s="36"/>
      <c r="E726" s="37"/>
      <c r="F726" s="33"/>
      <c r="G726" s="35"/>
      <c r="H726" s="37"/>
      <c r="I726" s="37"/>
      <c r="J726" s="38">
        <v>0</v>
      </c>
      <c r="K726" s="40" t="e">
        <f>((J726-M726)/J726)*100</f>
        <v>#DIV/0!</v>
      </c>
      <c r="L726" s="41">
        <f>J726-M726</f>
        <v>0</v>
      </c>
      <c r="M726" s="38"/>
      <c r="N726" s="41">
        <f>J726-O726</f>
        <v>0</v>
      </c>
      <c r="O726" s="38">
        <v>0</v>
      </c>
      <c r="P726" s="27">
        <f t="shared" si="88"/>
        <v>0</v>
      </c>
      <c r="Q726" s="27">
        <f t="shared" si="88"/>
        <v>0</v>
      </c>
      <c r="R726" s="27" t="e">
        <f>Q726/U726</f>
        <v>#DIV/0!</v>
      </c>
      <c r="S726" s="38" t="e">
        <f>Q726/U726</f>
        <v>#DIV/0!</v>
      </c>
      <c r="T726" s="38" t="e">
        <f>S726*AR726</f>
        <v>#DIV/0!</v>
      </c>
      <c r="U726" s="38">
        <f t="shared" si="82"/>
        <v>0</v>
      </c>
      <c r="V726" s="38">
        <v>0</v>
      </c>
      <c r="W726" s="38">
        <v>0</v>
      </c>
      <c r="X726" s="38">
        <v>0</v>
      </c>
      <c r="Y726" s="38"/>
      <c r="Z726" s="38" t="e">
        <f t="shared" si="86"/>
        <v>#DIV/0!</v>
      </c>
      <c r="AA726" s="38"/>
      <c r="AB726" s="38" t="e">
        <f t="shared" si="87"/>
        <v>#DIV/0!</v>
      </c>
      <c r="AC726" s="38" t="e">
        <f>U726/AR726</f>
        <v>#DIV/0!</v>
      </c>
      <c r="AD726" s="38" t="e">
        <f t="shared" si="83"/>
        <v>#DIV/0!</v>
      </c>
      <c r="AE726" s="33"/>
      <c r="AF726" s="33"/>
      <c r="AG726" s="33"/>
      <c r="AH726" s="33"/>
      <c r="AI726" s="33"/>
      <c r="AJ726" s="42"/>
      <c r="AK726" s="37"/>
      <c r="AL726" s="37"/>
      <c r="AM726" s="37"/>
      <c r="AN726" s="37"/>
      <c r="AO726" s="43"/>
      <c r="AP726" s="35"/>
      <c r="AQ726" s="35"/>
      <c r="AR726" s="44"/>
      <c r="AS726" s="37"/>
    </row>
    <row r="727" spans="1:45" ht="15.75" customHeight="1" x14ac:dyDescent="0.25">
      <c r="A727" s="46"/>
      <c r="B727" s="33"/>
      <c r="C727" s="35"/>
      <c r="D727" s="36"/>
      <c r="E727" s="37"/>
      <c r="F727" s="33"/>
      <c r="G727" s="35"/>
      <c r="H727" s="37"/>
      <c r="I727" s="37"/>
      <c r="J727" s="38">
        <v>0</v>
      </c>
      <c r="K727" s="40" t="e">
        <f>((J727-M727)/J727)*100</f>
        <v>#DIV/0!</v>
      </c>
      <c r="L727" s="41">
        <f>J727-M727</f>
        <v>0</v>
      </c>
      <c r="M727" s="38"/>
      <c r="N727" s="41">
        <f>J727-O727</f>
        <v>0</v>
      </c>
      <c r="O727" s="38">
        <v>0</v>
      </c>
      <c r="P727" s="27">
        <f t="shared" si="88"/>
        <v>0</v>
      </c>
      <c r="Q727" s="27">
        <f t="shared" si="88"/>
        <v>0</v>
      </c>
      <c r="R727" s="27" t="e">
        <f>Q727/U727</f>
        <v>#DIV/0!</v>
      </c>
      <c r="S727" s="38" t="e">
        <f>Q727/U727</f>
        <v>#DIV/0!</v>
      </c>
      <c r="T727" s="38" t="e">
        <f>S727*AR727</f>
        <v>#DIV/0!</v>
      </c>
      <c r="U727" s="38">
        <f t="shared" si="82"/>
        <v>0</v>
      </c>
      <c r="V727" s="38">
        <v>0</v>
      </c>
      <c r="W727" s="38">
        <v>0</v>
      </c>
      <c r="X727" s="38">
        <v>0</v>
      </c>
      <c r="Y727" s="38"/>
      <c r="Z727" s="38" t="e">
        <f t="shared" si="86"/>
        <v>#DIV/0!</v>
      </c>
      <c r="AA727" s="38"/>
      <c r="AB727" s="38" t="e">
        <f t="shared" si="87"/>
        <v>#DIV/0!</v>
      </c>
      <c r="AC727" s="38" t="e">
        <f>U727/AR727</f>
        <v>#DIV/0!</v>
      </c>
      <c r="AD727" s="38" t="e">
        <f t="shared" si="83"/>
        <v>#DIV/0!</v>
      </c>
      <c r="AE727" s="33"/>
      <c r="AF727" s="33"/>
      <c r="AG727" s="33"/>
      <c r="AH727" s="33"/>
      <c r="AI727" s="33"/>
      <c r="AJ727" s="42"/>
      <c r="AK727" s="37"/>
      <c r="AL727" s="37"/>
      <c r="AM727" s="37"/>
      <c r="AN727" s="37"/>
      <c r="AO727" s="43"/>
      <c r="AP727" s="35"/>
      <c r="AQ727" s="35"/>
      <c r="AR727" s="44"/>
      <c r="AS727" s="37"/>
    </row>
    <row r="728" spans="1:45" ht="15.75" customHeight="1" x14ac:dyDescent="0.25">
      <c r="A728" s="46"/>
      <c r="B728" s="33"/>
      <c r="C728" s="35"/>
      <c r="D728" s="36"/>
      <c r="E728" s="37"/>
      <c r="F728" s="33"/>
      <c r="G728" s="35"/>
      <c r="H728" s="37"/>
      <c r="I728" s="37"/>
      <c r="J728" s="38">
        <v>0</v>
      </c>
      <c r="K728" s="40" t="e">
        <f>((J728-M728)/J728)*100</f>
        <v>#DIV/0!</v>
      </c>
      <c r="L728" s="41">
        <f>J728-M728</f>
        <v>0</v>
      </c>
      <c r="M728" s="38"/>
      <c r="N728" s="41">
        <f>J728-O728</f>
        <v>0</v>
      </c>
      <c r="O728" s="38">
        <v>0</v>
      </c>
      <c r="P728" s="27">
        <f t="shared" si="88"/>
        <v>0</v>
      </c>
      <c r="Q728" s="27">
        <f t="shared" si="88"/>
        <v>0</v>
      </c>
      <c r="R728" s="27" t="e">
        <f>Q728/U728</f>
        <v>#DIV/0!</v>
      </c>
      <c r="S728" s="38" t="e">
        <f>Q728/U728</f>
        <v>#DIV/0!</v>
      </c>
      <c r="T728" s="38" t="e">
        <f>S728*AR728</f>
        <v>#DIV/0!</v>
      </c>
      <c r="U728" s="38">
        <f t="shared" si="82"/>
        <v>0</v>
      </c>
      <c r="V728" s="38">
        <v>0</v>
      </c>
      <c r="W728" s="38">
        <v>0</v>
      </c>
      <c r="X728" s="38">
        <v>0</v>
      </c>
      <c r="Y728" s="38"/>
      <c r="Z728" s="38" t="e">
        <f t="shared" si="86"/>
        <v>#DIV/0!</v>
      </c>
      <c r="AA728" s="38"/>
      <c r="AB728" s="38" t="e">
        <f t="shared" si="87"/>
        <v>#DIV/0!</v>
      </c>
      <c r="AC728" s="38" t="e">
        <f>U728/AR728</f>
        <v>#DIV/0!</v>
      </c>
      <c r="AD728" s="38" t="e">
        <f t="shared" si="83"/>
        <v>#DIV/0!</v>
      </c>
      <c r="AE728" s="33"/>
      <c r="AF728" s="33"/>
      <c r="AG728" s="33"/>
      <c r="AH728" s="33"/>
      <c r="AI728" s="33"/>
      <c r="AJ728" s="42"/>
      <c r="AK728" s="37"/>
      <c r="AL728" s="37"/>
      <c r="AM728" s="37"/>
      <c r="AN728" s="37"/>
      <c r="AO728" s="43"/>
      <c r="AP728" s="35"/>
      <c r="AQ728" s="35"/>
      <c r="AR728" s="44"/>
      <c r="AS728" s="37"/>
    </row>
    <row r="729" spans="1:45" ht="15.75" customHeight="1" x14ac:dyDescent="0.25">
      <c r="A729" s="46"/>
      <c r="B729" s="33"/>
      <c r="C729" s="35"/>
      <c r="D729" s="36"/>
      <c r="E729" s="37"/>
      <c r="F729" s="33"/>
      <c r="G729" s="35"/>
      <c r="H729" s="37"/>
      <c r="I729" s="37"/>
      <c r="J729" s="38">
        <v>0</v>
      </c>
      <c r="K729" s="40" t="e">
        <f>((J729-M729)/J729)*100</f>
        <v>#DIV/0!</v>
      </c>
      <c r="L729" s="41">
        <f>J729-M729</f>
        <v>0</v>
      </c>
      <c r="M729" s="38"/>
      <c r="N729" s="41">
        <f>J729-O729</f>
        <v>0</v>
      </c>
      <c r="O729" s="38">
        <v>0</v>
      </c>
      <c r="P729" s="27">
        <f t="shared" si="88"/>
        <v>0</v>
      </c>
      <c r="Q729" s="27">
        <f t="shared" si="88"/>
        <v>0</v>
      </c>
      <c r="R729" s="27" t="e">
        <f>Q729/U729</f>
        <v>#DIV/0!</v>
      </c>
      <c r="S729" s="38" t="e">
        <f>Q729/U729</f>
        <v>#DIV/0!</v>
      </c>
      <c r="T729" s="38" t="e">
        <f>S729*AR729</f>
        <v>#DIV/0!</v>
      </c>
      <c r="U729" s="38">
        <f t="shared" si="82"/>
        <v>0</v>
      </c>
      <c r="V729" s="38">
        <v>0</v>
      </c>
      <c r="W729" s="38">
        <v>0</v>
      </c>
      <c r="X729" s="38">
        <v>0</v>
      </c>
      <c r="Y729" s="38"/>
      <c r="Z729" s="38" t="e">
        <f t="shared" si="86"/>
        <v>#DIV/0!</v>
      </c>
      <c r="AA729" s="38"/>
      <c r="AB729" s="38" t="e">
        <f t="shared" si="87"/>
        <v>#DIV/0!</v>
      </c>
      <c r="AC729" s="38" t="e">
        <f>U729/AR729</f>
        <v>#DIV/0!</v>
      </c>
      <c r="AD729" s="38" t="e">
        <f t="shared" si="83"/>
        <v>#DIV/0!</v>
      </c>
      <c r="AE729" s="33"/>
      <c r="AF729" s="33"/>
      <c r="AG729" s="33"/>
      <c r="AH729" s="33"/>
      <c r="AI729" s="33"/>
      <c r="AJ729" s="42"/>
      <c r="AK729" s="37"/>
      <c r="AL729" s="37"/>
      <c r="AM729" s="37"/>
      <c r="AN729" s="37"/>
      <c r="AO729" s="43"/>
      <c r="AP729" s="35"/>
      <c r="AQ729" s="35"/>
      <c r="AR729" s="44"/>
      <c r="AS729" s="37"/>
    </row>
    <row r="730" spans="1:45" ht="15.75" customHeight="1" x14ac:dyDescent="0.25">
      <c r="A730" s="46"/>
      <c r="B730" s="33"/>
      <c r="C730" s="35"/>
      <c r="D730" s="36"/>
      <c r="E730" s="37"/>
      <c r="F730" s="33"/>
      <c r="G730" s="35"/>
      <c r="H730" s="37"/>
      <c r="I730" s="37"/>
      <c r="J730" s="38">
        <v>0</v>
      </c>
      <c r="K730" s="40" t="e">
        <f>((J730-M730)/J730)*100</f>
        <v>#DIV/0!</v>
      </c>
      <c r="L730" s="41">
        <f>J730-M730</f>
        <v>0</v>
      </c>
      <c r="M730" s="38"/>
      <c r="N730" s="41">
        <f>J730-O730</f>
        <v>0</v>
      </c>
      <c r="O730" s="38">
        <v>0</v>
      </c>
      <c r="P730" s="27">
        <f t="shared" si="88"/>
        <v>0</v>
      </c>
      <c r="Q730" s="27">
        <f t="shared" si="88"/>
        <v>0</v>
      </c>
      <c r="R730" s="27" t="e">
        <f>Q730/U730</f>
        <v>#DIV/0!</v>
      </c>
      <c r="S730" s="38" t="e">
        <f>Q730/U730</f>
        <v>#DIV/0!</v>
      </c>
      <c r="T730" s="38" t="e">
        <f>S730*AR730</f>
        <v>#DIV/0!</v>
      </c>
      <c r="U730" s="38">
        <f t="shared" ref="U730:U793" si="89">V730+W730+X730</f>
        <v>0</v>
      </c>
      <c r="V730" s="38">
        <v>0</v>
      </c>
      <c r="W730" s="38">
        <v>0</v>
      </c>
      <c r="X730" s="38">
        <v>0</v>
      </c>
      <c r="Y730" s="38"/>
      <c r="Z730" s="38" t="e">
        <f t="shared" si="86"/>
        <v>#DIV/0!</v>
      </c>
      <c r="AA730" s="38"/>
      <c r="AB730" s="38" t="e">
        <f t="shared" si="87"/>
        <v>#DIV/0!</v>
      </c>
      <c r="AC730" s="38" t="e">
        <f>U730/AR730</f>
        <v>#DIV/0!</v>
      </c>
      <c r="AD730" s="38" t="e">
        <f t="shared" si="83"/>
        <v>#DIV/0!</v>
      </c>
      <c r="AE730" s="33"/>
      <c r="AF730" s="33"/>
      <c r="AG730" s="33"/>
      <c r="AH730" s="33"/>
      <c r="AI730" s="33"/>
      <c r="AJ730" s="42"/>
      <c r="AK730" s="37"/>
      <c r="AL730" s="37"/>
      <c r="AM730" s="37"/>
      <c r="AN730" s="37"/>
      <c r="AO730" s="43"/>
      <c r="AP730" s="35"/>
      <c r="AQ730" s="35"/>
      <c r="AR730" s="44"/>
      <c r="AS730" s="37"/>
    </row>
    <row r="731" spans="1:45" ht="15.75" customHeight="1" x14ac:dyDescent="0.25">
      <c r="A731" s="46"/>
      <c r="B731" s="33"/>
      <c r="C731" s="35"/>
      <c r="D731" s="36"/>
      <c r="E731" s="37"/>
      <c r="F731" s="33"/>
      <c r="G731" s="35"/>
      <c r="H731" s="37"/>
      <c r="I731" s="37"/>
      <c r="J731" s="38">
        <v>0</v>
      </c>
      <c r="K731" s="40" t="e">
        <f>((J731-M731)/J731)*100</f>
        <v>#DIV/0!</v>
      </c>
      <c r="L731" s="41">
        <f>J731-M731</f>
        <v>0</v>
      </c>
      <c r="M731" s="38"/>
      <c r="N731" s="41">
        <f>J731-O731</f>
        <v>0</v>
      </c>
      <c r="O731" s="38">
        <v>0</v>
      </c>
      <c r="P731" s="27">
        <f t="shared" si="88"/>
        <v>0</v>
      </c>
      <c r="Q731" s="27">
        <f t="shared" si="88"/>
        <v>0</v>
      </c>
      <c r="R731" s="27" t="e">
        <f>Q731/U731</f>
        <v>#DIV/0!</v>
      </c>
      <c r="S731" s="38" t="e">
        <f>Q731/U731</f>
        <v>#DIV/0!</v>
      </c>
      <c r="T731" s="38" t="e">
        <f>S731*AR731</f>
        <v>#DIV/0!</v>
      </c>
      <c r="U731" s="38">
        <f t="shared" si="89"/>
        <v>0</v>
      </c>
      <c r="V731" s="38">
        <v>0</v>
      </c>
      <c r="W731" s="38">
        <v>0</v>
      </c>
      <c r="X731" s="38">
        <v>0</v>
      </c>
      <c r="Y731" s="38"/>
      <c r="Z731" s="38" t="e">
        <f t="shared" si="86"/>
        <v>#DIV/0!</v>
      </c>
      <c r="AA731" s="38"/>
      <c r="AB731" s="38" t="e">
        <f t="shared" si="87"/>
        <v>#DIV/0!</v>
      </c>
      <c r="AC731" s="38" t="e">
        <f>U731/AR731</f>
        <v>#DIV/0!</v>
      </c>
      <c r="AD731" s="38" t="e">
        <f t="shared" si="83"/>
        <v>#DIV/0!</v>
      </c>
      <c r="AE731" s="33"/>
      <c r="AF731" s="33"/>
      <c r="AG731" s="33"/>
      <c r="AH731" s="33"/>
      <c r="AI731" s="33"/>
      <c r="AJ731" s="42"/>
      <c r="AK731" s="37"/>
      <c r="AL731" s="37"/>
      <c r="AM731" s="37"/>
      <c r="AN731" s="37"/>
      <c r="AO731" s="43"/>
      <c r="AP731" s="35"/>
      <c r="AQ731" s="35"/>
      <c r="AR731" s="44"/>
      <c r="AS731" s="37"/>
    </row>
    <row r="732" spans="1:45" ht="15.75" customHeight="1" x14ac:dyDescent="0.25">
      <c r="A732" s="46"/>
      <c r="B732" s="33"/>
      <c r="C732" s="35"/>
      <c r="D732" s="36"/>
      <c r="E732" s="37"/>
      <c r="F732" s="33"/>
      <c r="G732" s="35"/>
      <c r="H732" s="37"/>
      <c r="I732" s="37"/>
      <c r="J732" s="38">
        <v>0</v>
      </c>
      <c r="K732" s="40" t="e">
        <f>((J732-M732)/J732)*100</f>
        <v>#DIV/0!</v>
      </c>
      <c r="L732" s="41">
        <f>J732-M732</f>
        <v>0</v>
      </c>
      <c r="M732" s="38"/>
      <c r="N732" s="41">
        <f>J732-O732</f>
        <v>0</v>
      </c>
      <c r="O732" s="38">
        <v>0</v>
      </c>
      <c r="P732" s="27">
        <f t="shared" si="88"/>
        <v>0</v>
      </c>
      <c r="Q732" s="27">
        <f t="shared" si="88"/>
        <v>0</v>
      </c>
      <c r="R732" s="27" t="e">
        <f>Q732/U732</f>
        <v>#DIV/0!</v>
      </c>
      <c r="S732" s="38" t="e">
        <f>Q732/U732</f>
        <v>#DIV/0!</v>
      </c>
      <c r="T732" s="38" t="e">
        <f>S732*AR732</f>
        <v>#DIV/0!</v>
      </c>
      <c r="U732" s="38">
        <f t="shared" si="89"/>
        <v>0</v>
      </c>
      <c r="V732" s="38">
        <v>0</v>
      </c>
      <c r="W732" s="38">
        <v>0</v>
      </c>
      <c r="X732" s="38">
        <v>0</v>
      </c>
      <c r="Y732" s="38"/>
      <c r="Z732" s="38" t="e">
        <f t="shared" si="86"/>
        <v>#DIV/0!</v>
      </c>
      <c r="AA732" s="38"/>
      <c r="AB732" s="38" t="e">
        <f t="shared" si="87"/>
        <v>#DIV/0!</v>
      </c>
      <c r="AC732" s="38" t="e">
        <f>U732/AR732</f>
        <v>#DIV/0!</v>
      </c>
      <c r="AD732" s="38" t="e">
        <f t="shared" si="83"/>
        <v>#DIV/0!</v>
      </c>
      <c r="AE732" s="33"/>
      <c r="AF732" s="33"/>
      <c r="AG732" s="33"/>
      <c r="AH732" s="33"/>
      <c r="AI732" s="33"/>
      <c r="AJ732" s="42"/>
      <c r="AK732" s="37"/>
      <c r="AL732" s="37"/>
      <c r="AM732" s="37"/>
      <c r="AN732" s="37"/>
      <c r="AO732" s="43"/>
      <c r="AP732" s="35"/>
      <c r="AQ732" s="35"/>
      <c r="AR732" s="44"/>
      <c r="AS732" s="37"/>
    </row>
    <row r="733" spans="1:45" ht="15.75" customHeight="1" x14ac:dyDescent="0.25">
      <c r="A733" s="46"/>
      <c r="B733" s="33"/>
      <c r="C733" s="35"/>
      <c r="D733" s="36"/>
      <c r="E733" s="37"/>
      <c r="F733" s="33"/>
      <c r="G733" s="35"/>
      <c r="H733" s="37"/>
      <c r="I733" s="37"/>
      <c r="J733" s="38">
        <v>0</v>
      </c>
      <c r="K733" s="40" t="e">
        <f>((J733-M733)/J733)*100</f>
        <v>#DIV/0!</v>
      </c>
      <c r="L733" s="41">
        <f>J733-M733</f>
        <v>0</v>
      </c>
      <c r="M733" s="38"/>
      <c r="N733" s="41">
        <f>J733-O733</f>
        <v>0</v>
      </c>
      <c r="O733" s="38">
        <v>0</v>
      </c>
      <c r="P733" s="27">
        <f t="shared" si="88"/>
        <v>0</v>
      </c>
      <c r="Q733" s="27">
        <f t="shared" si="88"/>
        <v>0</v>
      </c>
      <c r="R733" s="27" t="e">
        <f>Q733/U733</f>
        <v>#DIV/0!</v>
      </c>
      <c r="S733" s="38" t="e">
        <f>Q733/U733</f>
        <v>#DIV/0!</v>
      </c>
      <c r="T733" s="38" t="e">
        <f>S733*AR733</f>
        <v>#DIV/0!</v>
      </c>
      <c r="U733" s="38">
        <f t="shared" si="89"/>
        <v>0</v>
      </c>
      <c r="V733" s="38">
        <v>0</v>
      </c>
      <c r="W733" s="38">
        <v>0</v>
      </c>
      <c r="X733" s="38">
        <v>0</v>
      </c>
      <c r="Y733" s="38"/>
      <c r="Z733" s="38" t="e">
        <f t="shared" si="86"/>
        <v>#DIV/0!</v>
      </c>
      <c r="AA733" s="38"/>
      <c r="AB733" s="38" t="e">
        <f t="shared" si="87"/>
        <v>#DIV/0!</v>
      </c>
      <c r="AC733" s="38" t="e">
        <f>U733/AR733</f>
        <v>#DIV/0!</v>
      </c>
      <c r="AD733" s="38" t="e">
        <f t="shared" si="83"/>
        <v>#DIV/0!</v>
      </c>
      <c r="AE733" s="33"/>
      <c r="AF733" s="33"/>
      <c r="AG733" s="33"/>
      <c r="AH733" s="33"/>
      <c r="AI733" s="33"/>
      <c r="AJ733" s="42"/>
      <c r="AK733" s="37"/>
      <c r="AL733" s="37"/>
      <c r="AM733" s="37"/>
      <c r="AN733" s="37"/>
      <c r="AO733" s="43"/>
      <c r="AP733" s="35"/>
      <c r="AQ733" s="35"/>
      <c r="AR733" s="44"/>
      <c r="AS733" s="37"/>
    </row>
    <row r="734" spans="1:45" ht="15.75" customHeight="1" x14ac:dyDescent="0.25">
      <c r="A734" s="46"/>
      <c r="B734" s="33"/>
      <c r="C734" s="35"/>
      <c r="D734" s="36"/>
      <c r="E734" s="37"/>
      <c r="F734" s="33"/>
      <c r="G734" s="35"/>
      <c r="H734" s="37"/>
      <c r="I734" s="37"/>
      <c r="J734" s="38">
        <v>0</v>
      </c>
      <c r="K734" s="40" t="e">
        <f>((J734-M734)/J734)*100</f>
        <v>#DIV/0!</v>
      </c>
      <c r="L734" s="41">
        <f>J734-M734</f>
        <v>0</v>
      </c>
      <c r="M734" s="38"/>
      <c r="N734" s="41">
        <f>J734-O734</f>
        <v>0</v>
      </c>
      <c r="O734" s="38">
        <v>0</v>
      </c>
      <c r="P734" s="27">
        <f t="shared" si="88"/>
        <v>0</v>
      </c>
      <c r="Q734" s="27">
        <f t="shared" si="88"/>
        <v>0</v>
      </c>
      <c r="R734" s="27" t="e">
        <f>Q734/U734</f>
        <v>#DIV/0!</v>
      </c>
      <c r="S734" s="38" t="e">
        <f>Q734/U734</f>
        <v>#DIV/0!</v>
      </c>
      <c r="T734" s="38" t="e">
        <f>S734*AR734</f>
        <v>#DIV/0!</v>
      </c>
      <c r="U734" s="38">
        <f t="shared" si="89"/>
        <v>0</v>
      </c>
      <c r="V734" s="38">
        <v>0</v>
      </c>
      <c r="W734" s="38">
        <v>0</v>
      </c>
      <c r="X734" s="38">
        <v>0</v>
      </c>
      <c r="Y734" s="38"/>
      <c r="Z734" s="38" t="e">
        <f t="shared" si="86"/>
        <v>#DIV/0!</v>
      </c>
      <c r="AA734" s="38"/>
      <c r="AB734" s="38" t="e">
        <f t="shared" si="87"/>
        <v>#DIV/0!</v>
      </c>
      <c r="AC734" s="38" t="e">
        <f>U734/AR734</f>
        <v>#DIV/0!</v>
      </c>
      <c r="AD734" s="38" t="e">
        <f t="shared" si="83"/>
        <v>#DIV/0!</v>
      </c>
      <c r="AE734" s="33"/>
      <c r="AF734" s="33"/>
      <c r="AG734" s="33"/>
      <c r="AH734" s="33"/>
      <c r="AI734" s="33"/>
      <c r="AJ734" s="42"/>
      <c r="AK734" s="37"/>
      <c r="AL734" s="37"/>
      <c r="AM734" s="37"/>
      <c r="AN734" s="37"/>
      <c r="AO734" s="43"/>
      <c r="AP734" s="35"/>
      <c r="AQ734" s="35"/>
      <c r="AR734" s="44"/>
      <c r="AS734" s="37"/>
    </row>
    <row r="735" spans="1:45" ht="15.75" customHeight="1" x14ac:dyDescent="0.25">
      <c r="A735" s="46"/>
      <c r="B735" s="33"/>
      <c r="C735" s="35"/>
      <c r="D735" s="36"/>
      <c r="E735" s="37"/>
      <c r="F735" s="33"/>
      <c r="G735" s="35"/>
      <c r="H735" s="37"/>
      <c r="I735" s="37"/>
      <c r="J735" s="38">
        <v>0</v>
      </c>
      <c r="K735" s="40" t="e">
        <f>((J735-M735)/J735)*100</f>
        <v>#DIV/0!</v>
      </c>
      <c r="L735" s="41">
        <f>J735-M735</f>
        <v>0</v>
      </c>
      <c r="M735" s="38"/>
      <c r="N735" s="41">
        <f>J735-O735</f>
        <v>0</v>
      </c>
      <c r="O735" s="38">
        <v>0</v>
      </c>
      <c r="P735" s="27">
        <f t="shared" si="88"/>
        <v>0</v>
      </c>
      <c r="Q735" s="27">
        <f t="shared" si="88"/>
        <v>0</v>
      </c>
      <c r="R735" s="27" t="e">
        <f>Q735/U735</f>
        <v>#DIV/0!</v>
      </c>
      <c r="S735" s="38" t="e">
        <f>Q735/U735</f>
        <v>#DIV/0!</v>
      </c>
      <c r="T735" s="38" t="e">
        <f>S735*AR735</f>
        <v>#DIV/0!</v>
      </c>
      <c r="U735" s="38">
        <f t="shared" si="89"/>
        <v>0</v>
      </c>
      <c r="V735" s="38">
        <v>0</v>
      </c>
      <c r="W735" s="38">
        <v>0</v>
      </c>
      <c r="X735" s="38">
        <v>0</v>
      </c>
      <c r="Y735" s="38"/>
      <c r="Z735" s="38" t="e">
        <f t="shared" si="86"/>
        <v>#DIV/0!</v>
      </c>
      <c r="AA735" s="38"/>
      <c r="AB735" s="38" t="e">
        <f t="shared" si="87"/>
        <v>#DIV/0!</v>
      </c>
      <c r="AC735" s="38" t="e">
        <f>U735/AR735</f>
        <v>#DIV/0!</v>
      </c>
      <c r="AD735" s="38" t="e">
        <f t="shared" si="83"/>
        <v>#DIV/0!</v>
      </c>
      <c r="AE735" s="33"/>
      <c r="AF735" s="33"/>
      <c r="AG735" s="33"/>
      <c r="AH735" s="33"/>
      <c r="AI735" s="33"/>
      <c r="AJ735" s="42"/>
      <c r="AK735" s="37"/>
      <c r="AL735" s="37"/>
      <c r="AM735" s="37"/>
      <c r="AN735" s="37"/>
      <c r="AO735" s="43"/>
      <c r="AP735" s="35"/>
      <c r="AQ735" s="35"/>
      <c r="AR735" s="44"/>
      <c r="AS735" s="37"/>
    </row>
    <row r="736" spans="1:45" ht="15.75" customHeight="1" x14ac:dyDescent="0.25">
      <c r="A736" s="46"/>
      <c r="B736" s="33"/>
      <c r="C736" s="35"/>
      <c r="D736" s="36"/>
      <c r="E736" s="37"/>
      <c r="F736" s="33"/>
      <c r="G736" s="35"/>
      <c r="H736" s="37"/>
      <c r="I736" s="37"/>
      <c r="J736" s="38">
        <v>0</v>
      </c>
      <c r="K736" s="40" t="e">
        <f>((J736-M736)/J736)*100</f>
        <v>#DIV/0!</v>
      </c>
      <c r="L736" s="41">
        <f>J736-M736</f>
        <v>0</v>
      </c>
      <c r="M736" s="38"/>
      <c r="N736" s="41">
        <f>J736-O736</f>
        <v>0</v>
      </c>
      <c r="O736" s="38">
        <v>0</v>
      </c>
      <c r="P736" s="27">
        <f t="shared" si="88"/>
        <v>0</v>
      </c>
      <c r="Q736" s="27">
        <f t="shared" si="88"/>
        <v>0</v>
      </c>
      <c r="R736" s="27" t="e">
        <f>Q736/U736</f>
        <v>#DIV/0!</v>
      </c>
      <c r="S736" s="38" t="e">
        <f>Q736/U736</f>
        <v>#DIV/0!</v>
      </c>
      <c r="T736" s="38" t="e">
        <f>S736*AR736</f>
        <v>#DIV/0!</v>
      </c>
      <c r="U736" s="38">
        <f t="shared" si="89"/>
        <v>0</v>
      </c>
      <c r="V736" s="38">
        <v>0</v>
      </c>
      <c r="W736" s="38">
        <v>0</v>
      </c>
      <c r="X736" s="38">
        <v>0</v>
      </c>
      <c r="Y736" s="38"/>
      <c r="Z736" s="38" t="e">
        <f t="shared" si="86"/>
        <v>#DIV/0!</v>
      </c>
      <c r="AA736" s="38"/>
      <c r="AB736" s="38" t="e">
        <f t="shared" si="87"/>
        <v>#DIV/0!</v>
      </c>
      <c r="AC736" s="38" t="e">
        <f>U736/AR736</f>
        <v>#DIV/0!</v>
      </c>
      <c r="AD736" s="38" t="e">
        <f t="shared" si="83"/>
        <v>#DIV/0!</v>
      </c>
      <c r="AE736" s="33"/>
      <c r="AF736" s="33"/>
      <c r="AG736" s="33"/>
      <c r="AH736" s="33"/>
      <c r="AI736" s="33"/>
      <c r="AJ736" s="42"/>
      <c r="AK736" s="37"/>
      <c r="AL736" s="37"/>
      <c r="AM736" s="37"/>
      <c r="AN736" s="37"/>
      <c r="AO736" s="43"/>
      <c r="AP736" s="35"/>
      <c r="AQ736" s="35"/>
      <c r="AR736" s="44"/>
      <c r="AS736" s="37"/>
    </row>
    <row r="737" spans="1:45" ht="15.75" customHeight="1" x14ac:dyDescent="0.25">
      <c r="A737" s="46"/>
      <c r="B737" s="33"/>
      <c r="C737" s="35"/>
      <c r="D737" s="36"/>
      <c r="E737" s="37"/>
      <c r="F737" s="33"/>
      <c r="G737" s="35"/>
      <c r="H737" s="37"/>
      <c r="I737" s="37"/>
      <c r="J737" s="38">
        <v>0</v>
      </c>
      <c r="K737" s="40" t="e">
        <f>((J737-M737)/J737)*100</f>
        <v>#DIV/0!</v>
      </c>
      <c r="L737" s="41">
        <f>J737-M737</f>
        <v>0</v>
      </c>
      <c r="M737" s="38"/>
      <c r="N737" s="41">
        <f>J737-O737</f>
        <v>0</v>
      </c>
      <c r="O737" s="38">
        <v>0</v>
      </c>
      <c r="P737" s="27">
        <f t="shared" si="88"/>
        <v>0</v>
      </c>
      <c r="Q737" s="27">
        <f t="shared" si="88"/>
        <v>0</v>
      </c>
      <c r="R737" s="27" t="e">
        <f>Q737/U737</f>
        <v>#DIV/0!</v>
      </c>
      <c r="S737" s="38" t="e">
        <f>Q737/U737</f>
        <v>#DIV/0!</v>
      </c>
      <c r="T737" s="38" t="e">
        <f>S737*AR737</f>
        <v>#DIV/0!</v>
      </c>
      <c r="U737" s="38">
        <f t="shared" si="89"/>
        <v>0</v>
      </c>
      <c r="V737" s="38">
        <v>0</v>
      </c>
      <c r="W737" s="38">
        <v>0</v>
      </c>
      <c r="X737" s="38">
        <v>0</v>
      </c>
      <c r="Y737" s="38"/>
      <c r="Z737" s="38" t="e">
        <f t="shared" si="86"/>
        <v>#DIV/0!</v>
      </c>
      <c r="AA737" s="38"/>
      <c r="AB737" s="38" t="e">
        <f t="shared" si="87"/>
        <v>#DIV/0!</v>
      </c>
      <c r="AC737" s="38" t="e">
        <f>U737/AR737</f>
        <v>#DIV/0!</v>
      </c>
      <c r="AD737" s="38" t="e">
        <f t="shared" ref="AD737:AD800" si="90">_xlfn.CEILING.MATH(AC737)</f>
        <v>#DIV/0!</v>
      </c>
      <c r="AE737" s="33"/>
      <c r="AF737" s="33"/>
      <c r="AG737" s="33"/>
      <c r="AH737" s="33"/>
      <c r="AI737" s="33"/>
      <c r="AJ737" s="42"/>
      <c r="AK737" s="37"/>
      <c r="AL737" s="37"/>
      <c r="AM737" s="37"/>
      <c r="AN737" s="37"/>
      <c r="AO737" s="43"/>
      <c r="AP737" s="35"/>
      <c r="AQ737" s="35"/>
      <c r="AR737" s="44"/>
      <c r="AS737" s="37"/>
    </row>
    <row r="738" spans="1:45" ht="15.75" customHeight="1" x14ac:dyDescent="0.25">
      <c r="A738" s="46"/>
      <c r="B738" s="33"/>
      <c r="C738" s="35"/>
      <c r="D738" s="36"/>
      <c r="E738" s="37"/>
      <c r="F738" s="33"/>
      <c r="G738" s="35"/>
      <c r="H738" s="37"/>
      <c r="I738" s="37"/>
      <c r="J738" s="38">
        <v>0</v>
      </c>
      <c r="K738" s="40" t="e">
        <f>((J738-M738)/J738)*100</f>
        <v>#DIV/0!</v>
      </c>
      <c r="L738" s="41">
        <f>J738-M738</f>
        <v>0</v>
      </c>
      <c r="M738" s="38"/>
      <c r="N738" s="41">
        <f>J738-O738</f>
        <v>0</v>
      </c>
      <c r="O738" s="38">
        <v>0</v>
      </c>
      <c r="P738" s="27">
        <f t="shared" si="88"/>
        <v>0</v>
      </c>
      <c r="Q738" s="27">
        <f t="shared" si="88"/>
        <v>0</v>
      </c>
      <c r="R738" s="27" t="e">
        <f>Q738/U738</f>
        <v>#DIV/0!</v>
      </c>
      <c r="S738" s="38" t="e">
        <f>Q738/U738</f>
        <v>#DIV/0!</v>
      </c>
      <c r="T738" s="38" t="e">
        <f>S738*AR738</f>
        <v>#DIV/0!</v>
      </c>
      <c r="U738" s="38">
        <f t="shared" si="89"/>
        <v>0</v>
      </c>
      <c r="V738" s="38">
        <v>0</v>
      </c>
      <c r="W738" s="38">
        <v>0</v>
      </c>
      <c r="X738" s="38">
        <v>0</v>
      </c>
      <c r="Y738" s="38"/>
      <c r="Z738" s="38" t="e">
        <f t="shared" si="86"/>
        <v>#DIV/0!</v>
      </c>
      <c r="AA738" s="38"/>
      <c r="AB738" s="38" t="e">
        <f t="shared" si="87"/>
        <v>#DIV/0!</v>
      </c>
      <c r="AC738" s="38" t="e">
        <f>U738/AR738</f>
        <v>#DIV/0!</v>
      </c>
      <c r="AD738" s="38" t="e">
        <f t="shared" si="90"/>
        <v>#DIV/0!</v>
      </c>
      <c r="AE738" s="33"/>
      <c r="AF738" s="33"/>
      <c r="AG738" s="33"/>
      <c r="AH738" s="33"/>
      <c r="AI738" s="33"/>
      <c r="AJ738" s="42"/>
      <c r="AK738" s="37"/>
      <c r="AL738" s="37"/>
      <c r="AM738" s="37"/>
      <c r="AN738" s="37"/>
      <c r="AO738" s="43"/>
      <c r="AP738" s="35"/>
      <c r="AQ738" s="35"/>
      <c r="AR738" s="44"/>
      <c r="AS738" s="37"/>
    </row>
    <row r="739" spans="1:45" ht="15.75" customHeight="1" x14ac:dyDescent="0.25">
      <c r="A739" s="46"/>
      <c r="B739" s="33"/>
      <c r="C739" s="35"/>
      <c r="D739" s="36"/>
      <c r="E739" s="37"/>
      <c r="F739" s="33"/>
      <c r="G739" s="35"/>
      <c r="H739" s="37"/>
      <c r="I739" s="37"/>
      <c r="J739" s="38">
        <v>0</v>
      </c>
      <c r="K739" s="40" t="e">
        <f>((J739-M739)/J739)*100</f>
        <v>#DIV/0!</v>
      </c>
      <c r="L739" s="41">
        <f>J739-M739</f>
        <v>0</v>
      </c>
      <c r="M739" s="38"/>
      <c r="N739" s="41">
        <f>J739-O739</f>
        <v>0</v>
      </c>
      <c r="O739" s="38">
        <v>0</v>
      </c>
      <c r="P739" s="27">
        <f t="shared" ref="P739:Q802" si="91">O739</f>
        <v>0</v>
      </c>
      <c r="Q739" s="27">
        <f t="shared" si="91"/>
        <v>0</v>
      </c>
      <c r="R739" s="27" t="e">
        <f>Q739/U739</f>
        <v>#DIV/0!</v>
      </c>
      <c r="S739" s="38" t="e">
        <f>Q739/U739</f>
        <v>#DIV/0!</v>
      </c>
      <c r="T739" s="38" t="e">
        <f>S739*AR739</f>
        <v>#DIV/0!</v>
      </c>
      <c r="U739" s="38">
        <f t="shared" si="89"/>
        <v>0</v>
      </c>
      <c r="V739" s="38">
        <v>0</v>
      </c>
      <c r="W739" s="38">
        <v>0</v>
      </c>
      <c r="X739" s="38">
        <v>0</v>
      </c>
      <c r="Y739" s="38"/>
      <c r="Z739" s="38" t="e">
        <f t="shared" si="86"/>
        <v>#DIV/0!</v>
      </c>
      <c r="AA739" s="38"/>
      <c r="AB739" s="38" t="e">
        <f t="shared" si="87"/>
        <v>#DIV/0!</v>
      </c>
      <c r="AC739" s="38" t="e">
        <f>U739/AR739</f>
        <v>#DIV/0!</v>
      </c>
      <c r="AD739" s="38" t="e">
        <f t="shared" si="90"/>
        <v>#DIV/0!</v>
      </c>
      <c r="AE739" s="33"/>
      <c r="AF739" s="33"/>
      <c r="AG739" s="33"/>
      <c r="AH739" s="33"/>
      <c r="AI739" s="33"/>
      <c r="AJ739" s="42"/>
      <c r="AK739" s="37"/>
      <c r="AL739" s="37"/>
      <c r="AM739" s="37"/>
      <c r="AN739" s="37"/>
      <c r="AO739" s="43"/>
      <c r="AP739" s="35"/>
      <c r="AQ739" s="35"/>
      <c r="AR739" s="44"/>
      <c r="AS739" s="37"/>
    </row>
    <row r="740" spans="1:45" ht="15.75" customHeight="1" x14ac:dyDescent="0.25">
      <c r="A740" s="46"/>
      <c r="B740" s="33"/>
      <c r="C740" s="35"/>
      <c r="D740" s="36"/>
      <c r="E740" s="37"/>
      <c r="F740" s="33"/>
      <c r="G740" s="35"/>
      <c r="H740" s="37"/>
      <c r="I740" s="37"/>
      <c r="J740" s="38">
        <v>0</v>
      </c>
      <c r="K740" s="40" t="e">
        <f>((J740-M740)/J740)*100</f>
        <v>#DIV/0!</v>
      </c>
      <c r="L740" s="41">
        <f>J740-M740</f>
        <v>0</v>
      </c>
      <c r="M740" s="38"/>
      <c r="N740" s="41">
        <f>J740-O740</f>
        <v>0</v>
      </c>
      <c r="O740" s="38">
        <v>0</v>
      </c>
      <c r="P740" s="27">
        <f t="shared" si="91"/>
        <v>0</v>
      </c>
      <c r="Q740" s="27">
        <f t="shared" si="91"/>
        <v>0</v>
      </c>
      <c r="R740" s="27" t="e">
        <f>Q740/U740</f>
        <v>#DIV/0!</v>
      </c>
      <c r="S740" s="38" t="e">
        <f>Q740/U740</f>
        <v>#DIV/0!</v>
      </c>
      <c r="T740" s="38" t="e">
        <f>S740*AR740</f>
        <v>#DIV/0!</v>
      </c>
      <c r="U740" s="38">
        <f t="shared" si="89"/>
        <v>0</v>
      </c>
      <c r="V740" s="38">
        <v>0</v>
      </c>
      <c r="W740" s="38">
        <v>0</v>
      </c>
      <c r="X740" s="38">
        <v>0</v>
      </c>
      <c r="Y740" s="38"/>
      <c r="Z740" s="38" t="e">
        <f t="shared" si="86"/>
        <v>#DIV/0!</v>
      </c>
      <c r="AA740" s="38"/>
      <c r="AB740" s="38" t="e">
        <f t="shared" si="87"/>
        <v>#DIV/0!</v>
      </c>
      <c r="AC740" s="38" t="e">
        <f>U740/AR740</f>
        <v>#DIV/0!</v>
      </c>
      <c r="AD740" s="38" t="e">
        <f t="shared" si="90"/>
        <v>#DIV/0!</v>
      </c>
      <c r="AE740" s="33"/>
      <c r="AF740" s="33"/>
      <c r="AG740" s="33"/>
      <c r="AH740" s="33"/>
      <c r="AI740" s="33"/>
      <c r="AJ740" s="42"/>
      <c r="AK740" s="37"/>
      <c r="AL740" s="37"/>
      <c r="AM740" s="37"/>
      <c r="AN740" s="37"/>
      <c r="AO740" s="43"/>
      <c r="AP740" s="35"/>
      <c r="AQ740" s="35"/>
      <c r="AR740" s="44"/>
      <c r="AS740" s="37"/>
    </row>
    <row r="741" spans="1:45" ht="15.75" customHeight="1" x14ac:dyDescent="0.25">
      <c r="A741" s="46"/>
      <c r="B741" s="33"/>
      <c r="C741" s="35"/>
      <c r="D741" s="36"/>
      <c r="E741" s="37"/>
      <c r="F741" s="33"/>
      <c r="G741" s="35"/>
      <c r="H741" s="37"/>
      <c r="I741" s="37"/>
      <c r="J741" s="38">
        <v>0</v>
      </c>
      <c r="K741" s="40" t="e">
        <f>((J741-M741)/J741)*100</f>
        <v>#DIV/0!</v>
      </c>
      <c r="L741" s="41">
        <f>J741-M741</f>
        <v>0</v>
      </c>
      <c r="M741" s="38"/>
      <c r="N741" s="41">
        <f>J741-O741</f>
        <v>0</v>
      </c>
      <c r="O741" s="38">
        <v>0</v>
      </c>
      <c r="P741" s="27">
        <f t="shared" si="91"/>
        <v>0</v>
      </c>
      <c r="Q741" s="27">
        <f t="shared" si="91"/>
        <v>0</v>
      </c>
      <c r="R741" s="27" t="e">
        <f>Q741/U741</f>
        <v>#DIV/0!</v>
      </c>
      <c r="S741" s="38" t="e">
        <f>Q741/U741</f>
        <v>#DIV/0!</v>
      </c>
      <c r="T741" s="38" t="e">
        <f>S741*AR741</f>
        <v>#DIV/0!</v>
      </c>
      <c r="U741" s="38">
        <f t="shared" si="89"/>
        <v>0</v>
      </c>
      <c r="V741" s="38">
        <v>0</v>
      </c>
      <c r="W741" s="38">
        <v>0</v>
      </c>
      <c r="X741" s="38">
        <v>0</v>
      </c>
      <c r="Y741" s="38"/>
      <c r="Z741" s="38" t="e">
        <f t="shared" si="86"/>
        <v>#DIV/0!</v>
      </c>
      <c r="AA741" s="38"/>
      <c r="AB741" s="38" t="e">
        <f t="shared" si="87"/>
        <v>#DIV/0!</v>
      </c>
      <c r="AC741" s="38" t="e">
        <f>U741/AR741</f>
        <v>#DIV/0!</v>
      </c>
      <c r="AD741" s="38" t="e">
        <f t="shared" si="90"/>
        <v>#DIV/0!</v>
      </c>
      <c r="AE741" s="33"/>
      <c r="AF741" s="33"/>
      <c r="AG741" s="33"/>
      <c r="AH741" s="33"/>
      <c r="AI741" s="33"/>
      <c r="AJ741" s="42"/>
      <c r="AK741" s="37"/>
      <c r="AL741" s="37"/>
      <c r="AM741" s="37"/>
      <c r="AN741" s="37"/>
      <c r="AO741" s="43"/>
      <c r="AP741" s="35"/>
      <c r="AQ741" s="35"/>
      <c r="AR741" s="44"/>
      <c r="AS741" s="37"/>
    </row>
    <row r="742" spans="1:45" ht="15.75" customHeight="1" x14ac:dyDescent="0.25">
      <c r="A742" s="46"/>
      <c r="B742" s="33"/>
      <c r="C742" s="35"/>
      <c r="D742" s="36"/>
      <c r="E742" s="37"/>
      <c r="F742" s="33"/>
      <c r="G742" s="35"/>
      <c r="H742" s="37"/>
      <c r="I742" s="37"/>
      <c r="J742" s="38">
        <v>0</v>
      </c>
      <c r="K742" s="40" t="e">
        <f>((J742-M742)/J742)*100</f>
        <v>#DIV/0!</v>
      </c>
      <c r="L742" s="41">
        <f>J742-M742</f>
        <v>0</v>
      </c>
      <c r="M742" s="38"/>
      <c r="N742" s="41">
        <f>J742-O742</f>
        <v>0</v>
      </c>
      <c r="O742" s="38">
        <v>0</v>
      </c>
      <c r="P742" s="27">
        <f t="shared" si="91"/>
        <v>0</v>
      </c>
      <c r="Q742" s="27">
        <f t="shared" si="91"/>
        <v>0</v>
      </c>
      <c r="R742" s="27" t="e">
        <f>Q742/U742</f>
        <v>#DIV/0!</v>
      </c>
      <c r="S742" s="38" t="e">
        <f>Q742/U742</f>
        <v>#DIV/0!</v>
      </c>
      <c r="T742" s="38" t="e">
        <f>S742*AR742</f>
        <v>#DIV/0!</v>
      </c>
      <c r="U742" s="38">
        <f t="shared" si="89"/>
        <v>0</v>
      </c>
      <c r="V742" s="38">
        <v>0</v>
      </c>
      <c r="W742" s="38">
        <v>0</v>
      </c>
      <c r="X742" s="38">
        <v>0</v>
      </c>
      <c r="Y742" s="38"/>
      <c r="Z742" s="38" t="e">
        <f t="shared" si="86"/>
        <v>#DIV/0!</v>
      </c>
      <c r="AA742" s="38"/>
      <c r="AB742" s="38" t="e">
        <f t="shared" si="87"/>
        <v>#DIV/0!</v>
      </c>
      <c r="AC742" s="38" t="e">
        <f>U742/AR742</f>
        <v>#DIV/0!</v>
      </c>
      <c r="AD742" s="38" t="e">
        <f t="shared" si="90"/>
        <v>#DIV/0!</v>
      </c>
      <c r="AE742" s="33"/>
      <c r="AF742" s="33"/>
      <c r="AG742" s="33"/>
      <c r="AH742" s="33"/>
      <c r="AI742" s="33"/>
      <c r="AJ742" s="42"/>
      <c r="AK742" s="37"/>
      <c r="AL742" s="37"/>
      <c r="AM742" s="37"/>
      <c r="AN742" s="37"/>
      <c r="AO742" s="43"/>
      <c r="AP742" s="35"/>
      <c r="AQ742" s="35"/>
      <c r="AR742" s="44"/>
      <c r="AS742" s="37"/>
    </row>
    <row r="743" spans="1:45" ht="15.75" customHeight="1" x14ac:dyDescent="0.25">
      <c r="A743" s="46"/>
      <c r="B743" s="33"/>
      <c r="C743" s="35"/>
      <c r="D743" s="36"/>
      <c r="E743" s="37"/>
      <c r="F743" s="33"/>
      <c r="G743" s="35"/>
      <c r="H743" s="37"/>
      <c r="I743" s="37"/>
      <c r="J743" s="38">
        <v>0</v>
      </c>
      <c r="K743" s="40" t="e">
        <f>((J743-M743)/J743)*100</f>
        <v>#DIV/0!</v>
      </c>
      <c r="L743" s="41">
        <f>J743-M743</f>
        <v>0</v>
      </c>
      <c r="M743" s="38"/>
      <c r="N743" s="41">
        <f>J743-O743</f>
        <v>0</v>
      </c>
      <c r="O743" s="38">
        <v>0</v>
      </c>
      <c r="P743" s="27">
        <f t="shared" si="91"/>
        <v>0</v>
      </c>
      <c r="Q743" s="27">
        <f t="shared" si="91"/>
        <v>0</v>
      </c>
      <c r="R743" s="27" t="e">
        <f>Q743/U743</f>
        <v>#DIV/0!</v>
      </c>
      <c r="S743" s="38" t="e">
        <f>Q743/U743</f>
        <v>#DIV/0!</v>
      </c>
      <c r="T743" s="38" t="e">
        <f>S743*AR743</f>
        <v>#DIV/0!</v>
      </c>
      <c r="U743" s="38">
        <f t="shared" si="89"/>
        <v>0</v>
      </c>
      <c r="V743" s="38">
        <v>0</v>
      </c>
      <c r="W743" s="38">
        <v>0</v>
      </c>
      <c r="X743" s="38">
        <v>0</v>
      </c>
      <c r="Y743" s="38"/>
      <c r="Z743" s="38" t="e">
        <f t="shared" si="86"/>
        <v>#DIV/0!</v>
      </c>
      <c r="AA743" s="38"/>
      <c r="AB743" s="38" t="e">
        <f t="shared" si="87"/>
        <v>#DIV/0!</v>
      </c>
      <c r="AC743" s="38" t="e">
        <f>U743/AR743</f>
        <v>#DIV/0!</v>
      </c>
      <c r="AD743" s="38" t="e">
        <f t="shared" si="90"/>
        <v>#DIV/0!</v>
      </c>
      <c r="AE743" s="33"/>
      <c r="AF743" s="33"/>
      <c r="AG743" s="33"/>
      <c r="AH743" s="33"/>
      <c r="AI743" s="33"/>
      <c r="AJ743" s="42"/>
      <c r="AK743" s="37"/>
      <c r="AL743" s="37"/>
      <c r="AM743" s="37"/>
      <c r="AN743" s="37"/>
      <c r="AO743" s="43"/>
      <c r="AP743" s="35"/>
      <c r="AQ743" s="35"/>
      <c r="AR743" s="44"/>
      <c r="AS743" s="37"/>
    </row>
    <row r="744" spans="1:45" ht="15.75" customHeight="1" x14ac:dyDescent="0.25">
      <c r="A744" s="46"/>
      <c r="B744" s="33"/>
      <c r="C744" s="35"/>
      <c r="D744" s="36"/>
      <c r="E744" s="37"/>
      <c r="F744" s="33"/>
      <c r="G744" s="35"/>
      <c r="H744" s="37"/>
      <c r="I744" s="37"/>
      <c r="J744" s="38">
        <v>0</v>
      </c>
      <c r="K744" s="40" t="e">
        <f>((J744-M744)/J744)*100</f>
        <v>#DIV/0!</v>
      </c>
      <c r="L744" s="41">
        <f>J744-M744</f>
        <v>0</v>
      </c>
      <c r="M744" s="38"/>
      <c r="N744" s="41">
        <f>J744-O744</f>
        <v>0</v>
      </c>
      <c r="O744" s="38">
        <v>0</v>
      </c>
      <c r="P744" s="27">
        <f t="shared" si="91"/>
        <v>0</v>
      </c>
      <c r="Q744" s="27">
        <f t="shared" si="91"/>
        <v>0</v>
      </c>
      <c r="R744" s="27" t="e">
        <f>Q744/U744</f>
        <v>#DIV/0!</v>
      </c>
      <c r="S744" s="38" t="e">
        <f>Q744/U744</f>
        <v>#DIV/0!</v>
      </c>
      <c r="T744" s="38" t="e">
        <f>S744*AR744</f>
        <v>#DIV/0!</v>
      </c>
      <c r="U744" s="38">
        <f t="shared" si="89"/>
        <v>0</v>
      </c>
      <c r="V744" s="38">
        <v>0</v>
      </c>
      <c r="W744" s="38">
        <v>0</v>
      </c>
      <c r="X744" s="38">
        <v>0</v>
      </c>
      <c r="Y744" s="38"/>
      <c r="Z744" s="38" t="e">
        <f t="shared" si="86"/>
        <v>#DIV/0!</v>
      </c>
      <c r="AA744" s="38"/>
      <c r="AB744" s="38" t="e">
        <f t="shared" si="87"/>
        <v>#DIV/0!</v>
      </c>
      <c r="AC744" s="38" t="e">
        <f>U744/AR744</f>
        <v>#DIV/0!</v>
      </c>
      <c r="AD744" s="38" t="e">
        <f t="shared" si="90"/>
        <v>#DIV/0!</v>
      </c>
      <c r="AE744" s="33"/>
      <c r="AF744" s="33"/>
      <c r="AG744" s="33"/>
      <c r="AH744" s="33"/>
      <c r="AI744" s="33"/>
      <c r="AJ744" s="42"/>
      <c r="AK744" s="37"/>
      <c r="AL744" s="37"/>
      <c r="AM744" s="37"/>
      <c r="AN744" s="37"/>
      <c r="AO744" s="43"/>
      <c r="AP744" s="35"/>
      <c r="AQ744" s="35"/>
      <c r="AR744" s="44"/>
      <c r="AS744" s="37"/>
    </row>
    <row r="745" spans="1:45" ht="15.75" customHeight="1" x14ac:dyDescent="0.25">
      <c r="A745" s="46"/>
      <c r="B745" s="33"/>
      <c r="C745" s="35"/>
      <c r="D745" s="36"/>
      <c r="E745" s="37"/>
      <c r="F745" s="33"/>
      <c r="G745" s="35"/>
      <c r="H745" s="37"/>
      <c r="I745" s="37"/>
      <c r="J745" s="38">
        <v>0</v>
      </c>
      <c r="K745" s="40" t="e">
        <f>((J745-M745)/J745)*100</f>
        <v>#DIV/0!</v>
      </c>
      <c r="L745" s="41">
        <f>J745-M745</f>
        <v>0</v>
      </c>
      <c r="M745" s="38"/>
      <c r="N745" s="41">
        <f>J745-O745</f>
        <v>0</v>
      </c>
      <c r="O745" s="38">
        <v>0</v>
      </c>
      <c r="P745" s="27">
        <f t="shared" si="91"/>
        <v>0</v>
      </c>
      <c r="Q745" s="27">
        <f t="shared" si="91"/>
        <v>0</v>
      </c>
      <c r="R745" s="27" t="e">
        <f>Q745/U745</f>
        <v>#DIV/0!</v>
      </c>
      <c r="S745" s="38" t="e">
        <f>Q745/U745</f>
        <v>#DIV/0!</v>
      </c>
      <c r="T745" s="38" t="e">
        <f>S745*AR745</f>
        <v>#DIV/0!</v>
      </c>
      <c r="U745" s="38">
        <f t="shared" si="89"/>
        <v>0</v>
      </c>
      <c r="V745" s="38">
        <v>0</v>
      </c>
      <c r="W745" s="38">
        <v>0</v>
      </c>
      <c r="X745" s="38">
        <v>0</v>
      </c>
      <c r="Y745" s="38"/>
      <c r="Z745" s="38" t="e">
        <f t="shared" si="86"/>
        <v>#DIV/0!</v>
      </c>
      <c r="AA745" s="38"/>
      <c r="AB745" s="38" t="e">
        <f t="shared" si="87"/>
        <v>#DIV/0!</v>
      </c>
      <c r="AC745" s="38" t="e">
        <f>U745/AR745</f>
        <v>#DIV/0!</v>
      </c>
      <c r="AD745" s="38" t="e">
        <f t="shared" si="90"/>
        <v>#DIV/0!</v>
      </c>
      <c r="AE745" s="33"/>
      <c r="AF745" s="33"/>
      <c r="AG745" s="33"/>
      <c r="AH745" s="33"/>
      <c r="AI745" s="33"/>
      <c r="AJ745" s="42"/>
      <c r="AK745" s="37"/>
      <c r="AL745" s="37"/>
      <c r="AM745" s="37"/>
      <c r="AN745" s="37"/>
      <c r="AO745" s="43"/>
      <c r="AP745" s="35"/>
      <c r="AQ745" s="35"/>
      <c r="AR745" s="44"/>
      <c r="AS745" s="37"/>
    </row>
    <row r="746" spans="1:45" ht="15.75" customHeight="1" x14ac:dyDescent="0.25">
      <c r="A746" s="46"/>
      <c r="B746" s="33"/>
      <c r="C746" s="35"/>
      <c r="D746" s="36"/>
      <c r="E746" s="37"/>
      <c r="F746" s="33"/>
      <c r="G746" s="35"/>
      <c r="H746" s="37"/>
      <c r="I746" s="37"/>
      <c r="J746" s="38">
        <v>0</v>
      </c>
      <c r="K746" s="40" t="e">
        <f>((J746-M746)/J746)*100</f>
        <v>#DIV/0!</v>
      </c>
      <c r="L746" s="41">
        <f>J746-M746</f>
        <v>0</v>
      </c>
      <c r="M746" s="38"/>
      <c r="N746" s="41">
        <f>J746-O746</f>
        <v>0</v>
      </c>
      <c r="O746" s="38">
        <v>0</v>
      </c>
      <c r="P746" s="27">
        <f t="shared" si="91"/>
        <v>0</v>
      </c>
      <c r="Q746" s="27">
        <f t="shared" si="91"/>
        <v>0</v>
      </c>
      <c r="R746" s="27" t="e">
        <f>Q746/U746</f>
        <v>#DIV/0!</v>
      </c>
      <c r="S746" s="38" t="e">
        <f>Q746/U746</f>
        <v>#DIV/0!</v>
      </c>
      <c r="T746" s="38" t="e">
        <f>S746*AR746</f>
        <v>#DIV/0!</v>
      </c>
      <c r="U746" s="38">
        <f t="shared" si="89"/>
        <v>0</v>
      </c>
      <c r="V746" s="38">
        <v>0</v>
      </c>
      <c r="W746" s="38">
        <v>0</v>
      </c>
      <c r="X746" s="38">
        <v>0</v>
      </c>
      <c r="Y746" s="38"/>
      <c r="Z746" s="38" t="e">
        <f t="shared" si="86"/>
        <v>#DIV/0!</v>
      </c>
      <c r="AA746" s="38"/>
      <c r="AB746" s="38" t="e">
        <f t="shared" si="87"/>
        <v>#DIV/0!</v>
      </c>
      <c r="AC746" s="38" t="e">
        <f>U746/AR746</f>
        <v>#DIV/0!</v>
      </c>
      <c r="AD746" s="38" t="e">
        <f t="shared" si="90"/>
        <v>#DIV/0!</v>
      </c>
      <c r="AE746" s="33"/>
      <c r="AF746" s="33"/>
      <c r="AG746" s="33"/>
      <c r="AH746" s="33"/>
      <c r="AI746" s="33"/>
      <c r="AJ746" s="42"/>
      <c r="AK746" s="37"/>
      <c r="AL746" s="37"/>
      <c r="AM746" s="37"/>
      <c r="AN746" s="37"/>
      <c r="AO746" s="43"/>
      <c r="AP746" s="35"/>
      <c r="AQ746" s="35"/>
      <c r="AR746" s="44"/>
      <c r="AS746" s="37"/>
    </row>
    <row r="747" spans="1:45" ht="15.75" customHeight="1" x14ac:dyDescent="0.25">
      <c r="A747" s="46"/>
      <c r="B747" s="33"/>
      <c r="C747" s="35"/>
      <c r="D747" s="36"/>
      <c r="E747" s="37"/>
      <c r="F747" s="33"/>
      <c r="G747" s="35"/>
      <c r="H747" s="37"/>
      <c r="I747" s="37"/>
      <c r="J747" s="38">
        <v>0</v>
      </c>
      <c r="K747" s="40" t="e">
        <f>((J747-M747)/J747)*100</f>
        <v>#DIV/0!</v>
      </c>
      <c r="L747" s="41">
        <f>J747-M747</f>
        <v>0</v>
      </c>
      <c r="M747" s="38"/>
      <c r="N747" s="41">
        <f>J747-O747</f>
        <v>0</v>
      </c>
      <c r="O747" s="38">
        <v>0</v>
      </c>
      <c r="P747" s="27">
        <f t="shared" si="91"/>
        <v>0</v>
      </c>
      <c r="Q747" s="27">
        <f t="shared" si="91"/>
        <v>0</v>
      </c>
      <c r="R747" s="27" t="e">
        <f>Q747/U747</f>
        <v>#DIV/0!</v>
      </c>
      <c r="S747" s="38" t="e">
        <f>Q747/U747</f>
        <v>#DIV/0!</v>
      </c>
      <c r="T747" s="38" t="e">
        <f>S747*AR747</f>
        <v>#DIV/0!</v>
      </c>
      <c r="U747" s="38">
        <f t="shared" si="89"/>
        <v>0</v>
      </c>
      <c r="V747" s="38">
        <v>0</v>
      </c>
      <c r="W747" s="38">
        <v>0</v>
      </c>
      <c r="X747" s="38">
        <v>0</v>
      </c>
      <c r="Y747" s="38"/>
      <c r="Z747" s="38" t="e">
        <f t="shared" si="86"/>
        <v>#DIV/0!</v>
      </c>
      <c r="AA747" s="38"/>
      <c r="AB747" s="38" t="e">
        <f t="shared" si="87"/>
        <v>#DIV/0!</v>
      </c>
      <c r="AC747" s="38" t="e">
        <f>U747/AR747</f>
        <v>#DIV/0!</v>
      </c>
      <c r="AD747" s="38" t="e">
        <f t="shared" si="90"/>
        <v>#DIV/0!</v>
      </c>
      <c r="AE747" s="33"/>
      <c r="AF747" s="33"/>
      <c r="AG747" s="33"/>
      <c r="AH747" s="33"/>
      <c r="AI747" s="33"/>
      <c r="AJ747" s="42"/>
      <c r="AK747" s="37"/>
      <c r="AL747" s="37"/>
      <c r="AM747" s="37"/>
      <c r="AN747" s="37"/>
      <c r="AO747" s="43"/>
      <c r="AP747" s="35"/>
      <c r="AQ747" s="35"/>
      <c r="AR747" s="44"/>
      <c r="AS747" s="37"/>
    </row>
    <row r="748" spans="1:45" ht="15.75" customHeight="1" x14ac:dyDescent="0.25">
      <c r="A748" s="46"/>
      <c r="B748" s="33"/>
      <c r="C748" s="35"/>
      <c r="D748" s="36"/>
      <c r="E748" s="37"/>
      <c r="F748" s="33"/>
      <c r="G748" s="35"/>
      <c r="H748" s="37"/>
      <c r="I748" s="37"/>
      <c r="J748" s="38">
        <v>0</v>
      </c>
      <c r="K748" s="40" t="e">
        <f>((J748-M748)/J748)*100</f>
        <v>#DIV/0!</v>
      </c>
      <c r="L748" s="41">
        <f>J748-M748</f>
        <v>0</v>
      </c>
      <c r="M748" s="38"/>
      <c r="N748" s="41">
        <f>J748-O748</f>
        <v>0</v>
      </c>
      <c r="O748" s="38">
        <v>0</v>
      </c>
      <c r="P748" s="27">
        <f t="shared" si="91"/>
        <v>0</v>
      </c>
      <c r="Q748" s="27">
        <f t="shared" si="91"/>
        <v>0</v>
      </c>
      <c r="R748" s="27" t="e">
        <f>Q748/U748</f>
        <v>#DIV/0!</v>
      </c>
      <c r="S748" s="38" t="e">
        <f>Q748/U748</f>
        <v>#DIV/0!</v>
      </c>
      <c r="T748" s="38" t="e">
        <f>S748*AR748</f>
        <v>#DIV/0!</v>
      </c>
      <c r="U748" s="38">
        <f t="shared" si="89"/>
        <v>0</v>
      </c>
      <c r="V748" s="38">
        <v>0</v>
      </c>
      <c r="W748" s="38">
        <v>0</v>
      </c>
      <c r="X748" s="38">
        <v>0</v>
      </c>
      <c r="Y748" s="38"/>
      <c r="Z748" s="38" t="e">
        <f t="shared" si="86"/>
        <v>#DIV/0!</v>
      </c>
      <c r="AA748" s="38"/>
      <c r="AB748" s="38" t="e">
        <f t="shared" si="87"/>
        <v>#DIV/0!</v>
      </c>
      <c r="AC748" s="38" t="e">
        <f>U748/AR748</f>
        <v>#DIV/0!</v>
      </c>
      <c r="AD748" s="38" t="e">
        <f t="shared" si="90"/>
        <v>#DIV/0!</v>
      </c>
      <c r="AE748" s="33"/>
      <c r="AF748" s="33"/>
      <c r="AG748" s="33"/>
      <c r="AH748" s="33"/>
      <c r="AI748" s="33"/>
      <c r="AJ748" s="42"/>
      <c r="AK748" s="37"/>
      <c r="AL748" s="37"/>
      <c r="AM748" s="37"/>
      <c r="AN748" s="37"/>
      <c r="AO748" s="43"/>
      <c r="AP748" s="35"/>
      <c r="AQ748" s="35"/>
      <c r="AR748" s="44"/>
      <c r="AS748" s="37"/>
    </row>
    <row r="749" spans="1:45" ht="15.75" customHeight="1" x14ac:dyDescent="0.25">
      <c r="A749" s="46"/>
      <c r="B749" s="33"/>
      <c r="C749" s="35"/>
      <c r="D749" s="36"/>
      <c r="E749" s="37"/>
      <c r="F749" s="33"/>
      <c r="G749" s="35"/>
      <c r="H749" s="37"/>
      <c r="I749" s="37"/>
      <c r="J749" s="38">
        <v>0</v>
      </c>
      <c r="K749" s="40" t="e">
        <f>((J749-M749)/J749)*100</f>
        <v>#DIV/0!</v>
      </c>
      <c r="L749" s="41">
        <f>J749-M749</f>
        <v>0</v>
      </c>
      <c r="M749" s="38"/>
      <c r="N749" s="41">
        <f>J749-O749</f>
        <v>0</v>
      </c>
      <c r="O749" s="38">
        <v>0</v>
      </c>
      <c r="P749" s="27">
        <f t="shared" si="91"/>
        <v>0</v>
      </c>
      <c r="Q749" s="27">
        <f t="shared" si="91"/>
        <v>0</v>
      </c>
      <c r="R749" s="27" t="e">
        <f>Q749/U749</f>
        <v>#DIV/0!</v>
      </c>
      <c r="S749" s="38" t="e">
        <f>Q749/U749</f>
        <v>#DIV/0!</v>
      </c>
      <c r="T749" s="38" t="e">
        <f>S749*AR749</f>
        <v>#DIV/0!</v>
      </c>
      <c r="U749" s="38">
        <f t="shared" si="89"/>
        <v>0</v>
      </c>
      <c r="V749" s="38">
        <v>0</v>
      </c>
      <c r="W749" s="38">
        <v>0</v>
      </c>
      <c r="X749" s="38">
        <v>0</v>
      </c>
      <c r="Y749" s="38"/>
      <c r="Z749" s="38" t="e">
        <f t="shared" si="86"/>
        <v>#DIV/0!</v>
      </c>
      <c r="AA749" s="38"/>
      <c r="AB749" s="38" t="e">
        <f t="shared" si="87"/>
        <v>#DIV/0!</v>
      </c>
      <c r="AC749" s="38" t="e">
        <f>U749/AR749</f>
        <v>#DIV/0!</v>
      </c>
      <c r="AD749" s="38" t="e">
        <f t="shared" si="90"/>
        <v>#DIV/0!</v>
      </c>
      <c r="AE749" s="33"/>
      <c r="AF749" s="33"/>
      <c r="AG749" s="33"/>
      <c r="AH749" s="33"/>
      <c r="AI749" s="33"/>
      <c r="AJ749" s="42"/>
      <c r="AK749" s="37"/>
      <c r="AL749" s="37"/>
      <c r="AM749" s="37"/>
      <c r="AN749" s="37"/>
      <c r="AO749" s="43"/>
      <c r="AP749" s="35"/>
      <c r="AQ749" s="35"/>
      <c r="AR749" s="44"/>
      <c r="AS749" s="37"/>
    </row>
    <row r="750" spans="1:45" ht="15.75" customHeight="1" x14ac:dyDescent="0.25">
      <c r="A750" s="46"/>
      <c r="B750" s="33"/>
      <c r="C750" s="35"/>
      <c r="D750" s="36"/>
      <c r="E750" s="37"/>
      <c r="F750" s="33"/>
      <c r="G750" s="35"/>
      <c r="H750" s="37"/>
      <c r="I750" s="37"/>
      <c r="J750" s="38">
        <v>0</v>
      </c>
      <c r="K750" s="40" t="e">
        <f>((J750-M750)/J750)*100</f>
        <v>#DIV/0!</v>
      </c>
      <c r="L750" s="41">
        <f>J750-M750</f>
        <v>0</v>
      </c>
      <c r="M750" s="38"/>
      <c r="N750" s="41">
        <f>J750-O750</f>
        <v>0</v>
      </c>
      <c r="O750" s="38">
        <v>0</v>
      </c>
      <c r="P750" s="27">
        <f t="shared" si="91"/>
        <v>0</v>
      </c>
      <c r="Q750" s="27">
        <f t="shared" si="91"/>
        <v>0</v>
      </c>
      <c r="R750" s="27" t="e">
        <f>Q750/U750</f>
        <v>#DIV/0!</v>
      </c>
      <c r="S750" s="38" t="e">
        <f>Q750/U750</f>
        <v>#DIV/0!</v>
      </c>
      <c r="T750" s="38" t="e">
        <f>S750*AR750</f>
        <v>#DIV/0!</v>
      </c>
      <c r="U750" s="38">
        <f t="shared" si="89"/>
        <v>0</v>
      </c>
      <c r="V750" s="38">
        <v>0</v>
      </c>
      <c r="W750" s="38">
        <v>0</v>
      </c>
      <c r="X750" s="38">
        <v>0</v>
      </c>
      <c r="Y750" s="38"/>
      <c r="Z750" s="38" t="e">
        <f t="shared" si="86"/>
        <v>#DIV/0!</v>
      </c>
      <c r="AA750" s="38"/>
      <c r="AB750" s="38" t="e">
        <f t="shared" si="87"/>
        <v>#DIV/0!</v>
      </c>
      <c r="AC750" s="38" t="e">
        <f>U750/AR750</f>
        <v>#DIV/0!</v>
      </c>
      <c r="AD750" s="38" t="e">
        <f t="shared" si="90"/>
        <v>#DIV/0!</v>
      </c>
      <c r="AE750" s="33"/>
      <c r="AF750" s="33"/>
      <c r="AG750" s="33"/>
      <c r="AH750" s="33"/>
      <c r="AI750" s="33"/>
      <c r="AJ750" s="42"/>
      <c r="AK750" s="37"/>
      <c r="AL750" s="37"/>
      <c r="AM750" s="37"/>
      <c r="AN750" s="37"/>
      <c r="AO750" s="43"/>
      <c r="AP750" s="35"/>
      <c r="AQ750" s="35"/>
      <c r="AR750" s="44"/>
      <c r="AS750" s="37"/>
    </row>
    <row r="751" spans="1:45" ht="15.75" customHeight="1" x14ac:dyDescent="0.25">
      <c r="A751" s="46"/>
      <c r="B751" s="33"/>
      <c r="C751" s="35"/>
      <c r="D751" s="36"/>
      <c r="E751" s="37"/>
      <c r="F751" s="33"/>
      <c r="G751" s="35"/>
      <c r="H751" s="37"/>
      <c r="I751" s="37"/>
      <c r="J751" s="38">
        <v>0</v>
      </c>
      <c r="K751" s="40" t="e">
        <f>((J751-M751)/J751)*100</f>
        <v>#DIV/0!</v>
      </c>
      <c r="L751" s="41">
        <f>J751-M751</f>
        <v>0</v>
      </c>
      <c r="M751" s="38"/>
      <c r="N751" s="41">
        <f>J751-O751</f>
        <v>0</v>
      </c>
      <c r="O751" s="38">
        <v>0</v>
      </c>
      <c r="P751" s="27">
        <f t="shared" si="91"/>
        <v>0</v>
      </c>
      <c r="Q751" s="27">
        <f t="shared" si="91"/>
        <v>0</v>
      </c>
      <c r="R751" s="27" t="e">
        <f>Q751/U751</f>
        <v>#DIV/0!</v>
      </c>
      <c r="S751" s="38" t="e">
        <f>Q751/U751</f>
        <v>#DIV/0!</v>
      </c>
      <c r="T751" s="38" t="e">
        <f>S751*AR751</f>
        <v>#DIV/0!</v>
      </c>
      <c r="U751" s="38">
        <f t="shared" si="89"/>
        <v>0</v>
      </c>
      <c r="V751" s="38">
        <v>0</v>
      </c>
      <c r="W751" s="38">
        <v>0</v>
      </c>
      <c r="X751" s="38">
        <v>0</v>
      </c>
      <c r="Y751" s="38"/>
      <c r="Z751" s="38" t="e">
        <f t="shared" si="86"/>
        <v>#DIV/0!</v>
      </c>
      <c r="AA751" s="38"/>
      <c r="AB751" s="38" t="e">
        <f t="shared" si="87"/>
        <v>#DIV/0!</v>
      </c>
      <c r="AC751" s="38" t="e">
        <f>U751/AR751</f>
        <v>#DIV/0!</v>
      </c>
      <c r="AD751" s="38" t="e">
        <f t="shared" si="90"/>
        <v>#DIV/0!</v>
      </c>
      <c r="AE751" s="33"/>
      <c r="AF751" s="33"/>
      <c r="AG751" s="33"/>
      <c r="AH751" s="33"/>
      <c r="AI751" s="33"/>
      <c r="AJ751" s="42"/>
      <c r="AK751" s="37"/>
      <c r="AL751" s="37"/>
      <c r="AM751" s="37"/>
      <c r="AN751" s="37"/>
      <c r="AO751" s="43"/>
      <c r="AP751" s="35"/>
      <c r="AQ751" s="35"/>
      <c r="AR751" s="44"/>
      <c r="AS751" s="37"/>
    </row>
    <row r="752" spans="1:45" ht="15.75" customHeight="1" x14ac:dyDescent="0.25">
      <c r="A752" s="46"/>
      <c r="B752" s="33"/>
      <c r="C752" s="35"/>
      <c r="D752" s="36"/>
      <c r="E752" s="37"/>
      <c r="F752" s="33"/>
      <c r="G752" s="35"/>
      <c r="H752" s="37"/>
      <c r="I752" s="37"/>
      <c r="J752" s="38">
        <v>0</v>
      </c>
      <c r="K752" s="40" t="e">
        <f>((J752-M752)/J752)*100</f>
        <v>#DIV/0!</v>
      </c>
      <c r="L752" s="41">
        <f>J752-M752</f>
        <v>0</v>
      </c>
      <c r="M752" s="38"/>
      <c r="N752" s="41">
        <f>J752-O752</f>
        <v>0</v>
      </c>
      <c r="O752" s="38">
        <v>0</v>
      </c>
      <c r="P752" s="27">
        <f t="shared" si="91"/>
        <v>0</v>
      </c>
      <c r="Q752" s="27">
        <f t="shared" si="91"/>
        <v>0</v>
      </c>
      <c r="R752" s="27" t="e">
        <f>Q752/U752</f>
        <v>#DIV/0!</v>
      </c>
      <c r="S752" s="38" t="e">
        <f>Q752/U752</f>
        <v>#DIV/0!</v>
      </c>
      <c r="T752" s="38" t="e">
        <f>S752*AR752</f>
        <v>#DIV/0!</v>
      </c>
      <c r="U752" s="38">
        <f t="shared" si="89"/>
        <v>0</v>
      </c>
      <c r="V752" s="38">
        <v>0</v>
      </c>
      <c r="W752" s="38">
        <v>0</v>
      </c>
      <c r="X752" s="38">
        <v>0</v>
      </c>
      <c r="Y752" s="38"/>
      <c r="Z752" s="38" t="e">
        <f t="shared" si="86"/>
        <v>#DIV/0!</v>
      </c>
      <c r="AA752" s="38"/>
      <c r="AB752" s="38" t="e">
        <f t="shared" si="87"/>
        <v>#DIV/0!</v>
      </c>
      <c r="AC752" s="38" t="e">
        <f>U752/AR752</f>
        <v>#DIV/0!</v>
      </c>
      <c r="AD752" s="38" t="e">
        <f t="shared" si="90"/>
        <v>#DIV/0!</v>
      </c>
      <c r="AE752" s="33"/>
      <c r="AF752" s="33"/>
      <c r="AG752" s="33"/>
      <c r="AH752" s="33"/>
      <c r="AI752" s="33"/>
      <c r="AJ752" s="42"/>
      <c r="AK752" s="37"/>
      <c r="AL752" s="37"/>
      <c r="AM752" s="37"/>
      <c r="AN752" s="37"/>
      <c r="AO752" s="43"/>
      <c r="AP752" s="35"/>
      <c r="AQ752" s="35"/>
      <c r="AR752" s="44"/>
      <c r="AS752" s="37"/>
    </row>
    <row r="753" spans="1:45" ht="15.75" customHeight="1" x14ac:dyDescent="0.25">
      <c r="A753" s="46"/>
      <c r="B753" s="33"/>
      <c r="C753" s="35"/>
      <c r="D753" s="36"/>
      <c r="E753" s="37"/>
      <c r="F753" s="33"/>
      <c r="G753" s="35"/>
      <c r="H753" s="37"/>
      <c r="I753" s="37"/>
      <c r="J753" s="38">
        <v>0</v>
      </c>
      <c r="K753" s="40" t="e">
        <f>((J753-M753)/J753)*100</f>
        <v>#DIV/0!</v>
      </c>
      <c r="L753" s="41">
        <f>J753-M753</f>
        <v>0</v>
      </c>
      <c r="M753" s="38"/>
      <c r="N753" s="41">
        <f>J753-O753</f>
        <v>0</v>
      </c>
      <c r="O753" s="38">
        <v>0</v>
      </c>
      <c r="P753" s="27">
        <f t="shared" si="91"/>
        <v>0</v>
      </c>
      <c r="Q753" s="27">
        <f t="shared" si="91"/>
        <v>0</v>
      </c>
      <c r="R753" s="27" t="e">
        <f>Q753/U753</f>
        <v>#DIV/0!</v>
      </c>
      <c r="S753" s="38" t="e">
        <f>Q753/U753</f>
        <v>#DIV/0!</v>
      </c>
      <c r="T753" s="38" t="e">
        <f>S753*AR753</f>
        <v>#DIV/0!</v>
      </c>
      <c r="U753" s="38">
        <f t="shared" si="89"/>
        <v>0</v>
      </c>
      <c r="V753" s="38">
        <v>0</v>
      </c>
      <c r="W753" s="38">
        <v>0</v>
      </c>
      <c r="X753" s="38">
        <v>0</v>
      </c>
      <c r="Y753" s="38"/>
      <c r="Z753" s="38" t="e">
        <f t="shared" si="86"/>
        <v>#DIV/0!</v>
      </c>
      <c r="AA753" s="38"/>
      <c r="AB753" s="38" t="e">
        <f t="shared" si="87"/>
        <v>#DIV/0!</v>
      </c>
      <c r="AC753" s="38" t="e">
        <f>U753/AR753</f>
        <v>#DIV/0!</v>
      </c>
      <c r="AD753" s="38" t="e">
        <f t="shared" si="90"/>
        <v>#DIV/0!</v>
      </c>
      <c r="AE753" s="33"/>
      <c r="AF753" s="33"/>
      <c r="AG753" s="33"/>
      <c r="AH753" s="33"/>
      <c r="AI753" s="33"/>
      <c r="AJ753" s="42"/>
      <c r="AK753" s="37"/>
      <c r="AL753" s="37"/>
      <c r="AM753" s="37"/>
      <c r="AN753" s="37"/>
      <c r="AO753" s="43"/>
      <c r="AP753" s="35"/>
      <c r="AQ753" s="35"/>
      <c r="AR753" s="44"/>
      <c r="AS753" s="37"/>
    </row>
    <row r="754" spans="1:45" ht="15.75" customHeight="1" x14ac:dyDescent="0.25">
      <c r="A754" s="46"/>
      <c r="B754" s="33"/>
      <c r="C754" s="35"/>
      <c r="D754" s="36"/>
      <c r="E754" s="37"/>
      <c r="F754" s="33"/>
      <c r="G754" s="35"/>
      <c r="H754" s="37"/>
      <c r="I754" s="37"/>
      <c r="J754" s="38">
        <v>0</v>
      </c>
      <c r="K754" s="40" t="e">
        <f>((J754-M754)/J754)*100</f>
        <v>#DIV/0!</v>
      </c>
      <c r="L754" s="41">
        <f>J754-M754</f>
        <v>0</v>
      </c>
      <c r="M754" s="38"/>
      <c r="N754" s="41">
        <f>J754-O754</f>
        <v>0</v>
      </c>
      <c r="O754" s="38">
        <v>0</v>
      </c>
      <c r="P754" s="27">
        <f t="shared" si="91"/>
        <v>0</v>
      </c>
      <c r="Q754" s="27">
        <f t="shared" si="91"/>
        <v>0</v>
      </c>
      <c r="R754" s="27" t="e">
        <f>Q754/U754</f>
        <v>#DIV/0!</v>
      </c>
      <c r="S754" s="38" t="e">
        <f>Q754/U754</f>
        <v>#DIV/0!</v>
      </c>
      <c r="T754" s="38" t="e">
        <f>S754*AR754</f>
        <v>#DIV/0!</v>
      </c>
      <c r="U754" s="38">
        <f t="shared" si="89"/>
        <v>0</v>
      </c>
      <c r="V754" s="38">
        <v>0</v>
      </c>
      <c r="W754" s="38">
        <v>0</v>
      </c>
      <c r="X754" s="38">
        <v>0</v>
      </c>
      <c r="Y754" s="38"/>
      <c r="Z754" s="38" t="e">
        <f t="shared" si="86"/>
        <v>#DIV/0!</v>
      </c>
      <c r="AA754" s="38"/>
      <c r="AB754" s="38" t="e">
        <f t="shared" si="87"/>
        <v>#DIV/0!</v>
      </c>
      <c r="AC754" s="38" t="e">
        <f>U754/AR754</f>
        <v>#DIV/0!</v>
      </c>
      <c r="AD754" s="38" t="e">
        <f t="shared" si="90"/>
        <v>#DIV/0!</v>
      </c>
      <c r="AE754" s="33"/>
      <c r="AF754" s="33"/>
      <c r="AG754" s="33"/>
      <c r="AH754" s="33"/>
      <c r="AI754" s="33"/>
      <c r="AJ754" s="42"/>
      <c r="AK754" s="37"/>
      <c r="AL754" s="37"/>
      <c r="AM754" s="37"/>
      <c r="AN754" s="37"/>
      <c r="AO754" s="43"/>
      <c r="AP754" s="35"/>
      <c r="AQ754" s="35"/>
      <c r="AR754" s="44"/>
      <c r="AS754" s="37"/>
    </row>
    <row r="755" spans="1:45" ht="15.75" customHeight="1" x14ac:dyDescent="0.25">
      <c r="A755" s="46"/>
      <c r="B755" s="33"/>
      <c r="C755" s="35"/>
      <c r="D755" s="36"/>
      <c r="E755" s="37"/>
      <c r="F755" s="33"/>
      <c r="G755" s="35"/>
      <c r="H755" s="37"/>
      <c r="I755" s="37"/>
      <c r="J755" s="38">
        <v>0</v>
      </c>
      <c r="K755" s="40" t="e">
        <f>((J755-M755)/J755)*100</f>
        <v>#DIV/0!</v>
      </c>
      <c r="L755" s="41">
        <f>J755-M755</f>
        <v>0</v>
      </c>
      <c r="M755" s="38"/>
      <c r="N755" s="41">
        <f>J755-O755</f>
        <v>0</v>
      </c>
      <c r="O755" s="38">
        <v>0</v>
      </c>
      <c r="P755" s="27">
        <f t="shared" si="91"/>
        <v>0</v>
      </c>
      <c r="Q755" s="27">
        <f t="shared" si="91"/>
        <v>0</v>
      </c>
      <c r="R755" s="27" t="e">
        <f>Q755/U755</f>
        <v>#DIV/0!</v>
      </c>
      <c r="S755" s="38" t="e">
        <f>Q755/U755</f>
        <v>#DIV/0!</v>
      </c>
      <c r="T755" s="38" t="e">
        <f>S755*AR755</f>
        <v>#DIV/0!</v>
      </c>
      <c r="U755" s="38">
        <f t="shared" si="89"/>
        <v>0</v>
      </c>
      <c r="V755" s="38">
        <v>0</v>
      </c>
      <c r="W755" s="38">
        <v>0</v>
      </c>
      <c r="X755" s="38">
        <v>0</v>
      </c>
      <c r="Y755" s="38"/>
      <c r="Z755" s="38" t="e">
        <f t="shared" si="86"/>
        <v>#DIV/0!</v>
      </c>
      <c r="AA755" s="38"/>
      <c r="AB755" s="38" t="e">
        <f t="shared" si="87"/>
        <v>#DIV/0!</v>
      </c>
      <c r="AC755" s="38" t="e">
        <f>U755/AR755</f>
        <v>#DIV/0!</v>
      </c>
      <c r="AD755" s="38" t="e">
        <f t="shared" si="90"/>
        <v>#DIV/0!</v>
      </c>
      <c r="AE755" s="33"/>
      <c r="AF755" s="33"/>
      <c r="AG755" s="33"/>
      <c r="AH755" s="33"/>
      <c r="AI755" s="33"/>
      <c r="AJ755" s="42"/>
      <c r="AK755" s="37"/>
      <c r="AL755" s="37"/>
      <c r="AM755" s="37"/>
      <c r="AN755" s="37"/>
      <c r="AO755" s="43"/>
      <c r="AP755" s="35"/>
      <c r="AQ755" s="35"/>
      <c r="AR755" s="44"/>
      <c r="AS755" s="37"/>
    </row>
    <row r="756" spans="1:45" ht="15.75" customHeight="1" x14ac:dyDescent="0.25">
      <c r="A756" s="46"/>
      <c r="B756" s="33"/>
      <c r="C756" s="35"/>
      <c r="D756" s="36"/>
      <c r="E756" s="37"/>
      <c r="F756" s="33"/>
      <c r="G756" s="35"/>
      <c r="H756" s="37"/>
      <c r="I756" s="37"/>
      <c r="J756" s="38">
        <v>0</v>
      </c>
      <c r="K756" s="40" t="e">
        <f>((J756-M756)/J756)*100</f>
        <v>#DIV/0!</v>
      </c>
      <c r="L756" s="41">
        <f>J756-M756</f>
        <v>0</v>
      </c>
      <c r="M756" s="38"/>
      <c r="N756" s="41">
        <f>J756-O756</f>
        <v>0</v>
      </c>
      <c r="O756" s="38">
        <v>0</v>
      </c>
      <c r="P756" s="27">
        <f t="shared" si="91"/>
        <v>0</v>
      </c>
      <c r="Q756" s="27">
        <f t="shared" si="91"/>
        <v>0</v>
      </c>
      <c r="R756" s="27" t="e">
        <f>Q756/U756</f>
        <v>#DIV/0!</v>
      </c>
      <c r="S756" s="38" t="e">
        <f>Q756/U756</f>
        <v>#DIV/0!</v>
      </c>
      <c r="T756" s="38" t="e">
        <f>S756*AR756</f>
        <v>#DIV/0!</v>
      </c>
      <c r="U756" s="38">
        <f t="shared" si="89"/>
        <v>0</v>
      </c>
      <c r="V756" s="38">
        <v>0</v>
      </c>
      <c r="W756" s="38">
        <v>0</v>
      </c>
      <c r="X756" s="38">
        <v>0</v>
      </c>
      <c r="Y756" s="38"/>
      <c r="Z756" s="38" t="e">
        <f t="shared" si="86"/>
        <v>#DIV/0!</v>
      </c>
      <c r="AA756" s="38"/>
      <c r="AB756" s="38" t="e">
        <f t="shared" si="87"/>
        <v>#DIV/0!</v>
      </c>
      <c r="AC756" s="38" t="e">
        <f>U756/AR756</f>
        <v>#DIV/0!</v>
      </c>
      <c r="AD756" s="38" t="e">
        <f t="shared" si="90"/>
        <v>#DIV/0!</v>
      </c>
      <c r="AE756" s="33"/>
      <c r="AF756" s="33"/>
      <c r="AG756" s="33"/>
      <c r="AH756" s="33"/>
      <c r="AI756" s="33"/>
      <c r="AJ756" s="42"/>
      <c r="AK756" s="37"/>
      <c r="AL756" s="37"/>
      <c r="AM756" s="37"/>
      <c r="AN756" s="37"/>
      <c r="AO756" s="43"/>
      <c r="AP756" s="35"/>
      <c r="AQ756" s="35"/>
      <c r="AR756" s="44"/>
      <c r="AS756" s="37"/>
    </row>
    <row r="757" spans="1:45" ht="15.75" customHeight="1" x14ac:dyDescent="0.25">
      <c r="A757" s="46"/>
      <c r="B757" s="33"/>
      <c r="C757" s="35"/>
      <c r="D757" s="36"/>
      <c r="E757" s="37"/>
      <c r="F757" s="33"/>
      <c r="G757" s="35"/>
      <c r="H757" s="37"/>
      <c r="I757" s="37"/>
      <c r="J757" s="38">
        <v>0</v>
      </c>
      <c r="K757" s="40" t="e">
        <f>((J757-M757)/J757)*100</f>
        <v>#DIV/0!</v>
      </c>
      <c r="L757" s="41">
        <f>J757-M757</f>
        <v>0</v>
      </c>
      <c r="M757" s="38"/>
      <c r="N757" s="41">
        <f>J757-O757</f>
        <v>0</v>
      </c>
      <c r="O757" s="38">
        <v>0</v>
      </c>
      <c r="P757" s="27">
        <f t="shared" si="91"/>
        <v>0</v>
      </c>
      <c r="Q757" s="27">
        <f t="shared" si="91"/>
        <v>0</v>
      </c>
      <c r="R757" s="27" t="e">
        <f>Q757/U757</f>
        <v>#DIV/0!</v>
      </c>
      <c r="S757" s="38" t="e">
        <f>Q757/U757</f>
        <v>#DIV/0!</v>
      </c>
      <c r="T757" s="38" t="e">
        <f>S757*AR757</f>
        <v>#DIV/0!</v>
      </c>
      <c r="U757" s="38">
        <f t="shared" si="89"/>
        <v>0</v>
      </c>
      <c r="V757" s="38">
        <v>0</v>
      </c>
      <c r="W757" s="38">
        <v>0</v>
      </c>
      <c r="X757" s="38">
        <v>0</v>
      </c>
      <c r="Y757" s="38"/>
      <c r="Z757" s="38" t="e">
        <f t="shared" si="86"/>
        <v>#DIV/0!</v>
      </c>
      <c r="AA757" s="38"/>
      <c r="AB757" s="38" t="e">
        <f t="shared" si="87"/>
        <v>#DIV/0!</v>
      </c>
      <c r="AC757" s="38" t="e">
        <f>U757/AR757</f>
        <v>#DIV/0!</v>
      </c>
      <c r="AD757" s="38" t="e">
        <f t="shared" si="90"/>
        <v>#DIV/0!</v>
      </c>
      <c r="AE757" s="33"/>
      <c r="AF757" s="33"/>
      <c r="AG757" s="33"/>
      <c r="AH757" s="33"/>
      <c r="AI757" s="33"/>
      <c r="AJ757" s="42"/>
      <c r="AK757" s="37"/>
      <c r="AL757" s="37"/>
      <c r="AM757" s="37"/>
      <c r="AN757" s="37"/>
      <c r="AO757" s="43"/>
      <c r="AP757" s="35"/>
      <c r="AQ757" s="35"/>
      <c r="AR757" s="44"/>
      <c r="AS757" s="37"/>
    </row>
    <row r="758" spans="1:45" ht="15.75" customHeight="1" x14ac:dyDescent="0.25">
      <c r="A758" s="46"/>
      <c r="B758" s="33"/>
      <c r="C758" s="35"/>
      <c r="D758" s="36"/>
      <c r="E758" s="37"/>
      <c r="F758" s="33"/>
      <c r="G758" s="35"/>
      <c r="H758" s="37"/>
      <c r="I758" s="37"/>
      <c r="J758" s="38">
        <v>0</v>
      </c>
      <c r="K758" s="40" t="e">
        <f>((J758-M758)/J758)*100</f>
        <v>#DIV/0!</v>
      </c>
      <c r="L758" s="41">
        <f>J758-M758</f>
        <v>0</v>
      </c>
      <c r="M758" s="38"/>
      <c r="N758" s="41">
        <f>J758-O758</f>
        <v>0</v>
      </c>
      <c r="O758" s="38">
        <v>0</v>
      </c>
      <c r="P758" s="27">
        <f t="shared" si="91"/>
        <v>0</v>
      </c>
      <c r="Q758" s="27">
        <f t="shared" si="91"/>
        <v>0</v>
      </c>
      <c r="R758" s="27" t="e">
        <f>Q758/U758</f>
        <v>#DIV/0!</v>
      </c>
      <c r="S758" s="38" t="e">
        <f>Q758/U758</f>
        <v>#DIV/0!</v>
      </c>
      <c r="T758" s="38" t="e">
        <f>S758*AR758</f>
        <v>#DIV/0!</v>
      </c>
      <c r="U758" s="38">
        <f t="shared" si="89"/>
        <v>0</v>
      </c>
      <c r="V758" s="38">
        <v>0</v>
      </c>
      <c r="W758" s="38">
        <v>0</v>
      </c>
      <c r="X758" s="38">
        <v>0</v>
      </c>
      <c r="Y758" s="38"/>
      <c r="Z758" s="38" t="e">
        <f t="shared" si="86"/>
        <v>#DIV/0!</v>
      </c>
      <c r="AA758" s="38"/>
      <c r="AB758" s="38" t="e">
        <f t="shared" si="87"/>
        <v>#DIV/0!</v>
      </c>
      <c r="AC758" s="38" t="e">
        <f>U758/AR758</f>
        <v>#DIV/0!</v>
      </c>
      <c r="AD758" s="38" t="e">
        <f t="shared" si="90"/>
        <v>#DIV/0!</v>
      </c>
      <c r="AE758" s="33"/>
      <c r="AF758" s="33"/>
      <c r="AG758" s="33"/>
      <c r="AH758" s="33"/>
      <c r="AI758" s="33"/>
      <c r="AJ758" s="42"/>
      <c r="AK758" s="37"/>
      <c r="AL758" s="37"/>
      <c r="AM758" s="37"/>
      <c r="AN758" s="37"/>
      <c r="AO758" s="43"/>
      <c r="AP758" s="35"/>
      <c r="AQ758" s="35"/>
      <c r="AR758" s="44"/>
      <c r="AS758" s="37"/>
    </row>
    <row r="759" spans="1:45" ht="15.75" customHeight="1" x14ac:dyDescent="0.25">
      <c r="A759" s="46"/>
      <c r="B759" s="33"/>
      <c r="C759" s="35"/>
      <c r="D759" s="36"/>
      <c r="E759" s="37"/>
      <c r="F759" s="33"/>
      <c r="G759" s="35"/>
      <c r="H759" s="37"/>
      <c r="I759" s="37"/>
      <c r="J759" s="38">
        <v>0</v>
      </c>
      <c r="K759" s="40" t="e">
        <f>((J759-M759)/J759)*100</f>
        <v>#DIV/0!</v>
      </c>
      <c r="L759" s="41">
        <f>J759-M759</f>
        <v>0</v>
      </c>
      <c r="M759" s="38"/>
      <c r="N759" s="41">
        <f>J759-O759</f>
        <v>0</v>
      </c>
      <c r="O759" s="38">
        <v>0</v>
      </c>
      <c r="P759" s="27">
        <f t="shared" si="91"/>
        <v>0</v>
      </c>
      <c r="Q759" s="27">
        <f t="shared" si="91"/>
        <v>0</v>
      </c>
      <c r="R759" s="27" t="e">
        <f>Q759/U759</f>
        <v>#DIV/0!</v>
      </c>
      <c r="S759" s="38" t="e">
        <f>Q759/U759</f>
        <v>#DIV/0!</v>
      </c>
      <c r="T759" s="38" t="e">
        <f>S759*AR759</f>
        <v>#DIV/0!</v>
      </c>
      <c r="U759" s="38">
        <f t="shared" si="89"/>
        <v>0</v>
      </c>
      <c r="V759" s="38">
        <v>0</v>
      </c>
      <c r="W759" s="38">
        <v>0</v>
      </c>
      <c r="X759" s="38">
        <v>0</v>
      </c>
      <c r="Y759" s="38"/>
      <c r="Z759" s="38" t="e">
        <f t="shared" si="86"/>
        <v>#DIV/0!</v>
      </c>
      <c r="AA759" s="38"/>
      <c r="AB759" s="38" t="e">
        <f t="shared" si="87"/>
        <v>#DIV/0!</v>
      </c>
      <c r="AC759" s="38" t="e">
        <f>U759/AR759</f>
        <v>#DIV/0!</v>
      </c>
      <c r="AD759" s="38" t="e">
        <f t="shared" si="90"/>
        <v>#DIV/0!</v>
      </c>
      <c r="AE759" s="33"/>
      <c r="AF759" s="33"/>
      <c r="AG759" s="33"/>
      <c r="AH759" s="33"/>
      <c r="AI759" s="33"/>
      <c r="AJ759" s="42"/>
      <c r="AK759" s="37"/>
      <c r="AL759" s="37"/>
      <c r="AM759" s="37"/>
      <c r="AN759" s="37"/>
      <c r="AO759" s="43"/>
      <c r="AP759" s="35"/>
      <c r="AQ759" s="35"/>
      <c r="AR759" s="44"/>
      <c r="AS759" s="37"/>
    </row>
    <row r="760" spans="1:45" ht="15.75" customHeight="1" x14ac:dyDescent="0.25">
      <c r="A760" s="46"/>
      <c r="B760" s="33"/>
      <c r="C760" s="35"/>
      <c r="D760" s="36"/>
      <c r="E760" s="37"/>
      <c r="F760" s="33"/>
      <c r="G760" s="35"/>
      <c r="H760" s="37"/>
      <c r="I760" s="37"/>
      <c r="J760" s="38">
        <v>0</v>
      </c>
      <c r="K760" s="40" t="e">
        <f>((J760-M760)/J760)*100</f>
        <v>#DIV/0!</v>
      </c>
      <c r="L760" s="41">
        <f>J760-M760</f>
        <v>0</v>
      </c>
      <c r="M760" s="38"/>
      <c r="N760" s="41">
        <f>J760-O760</f>
        <v>0</v>
      </c>
      <c r="O760" s="38">
        <v>0</v>
      </c>
      <c r="P760" s="27">
        <f t="shared" si="91"/>
        <v>0</v>
      </c>
      <c r="Q760" s="27">
        <f t="shared" si="91"/>
        <v>0</v>
      </c>
      <c r="R760" s="27" t="e">
        <f>Q760/U760</f>
        <v>#DIV/0!</v>
      </c>
      <c r="S760" s="38" t="e">
        <f>Q760/U760</f>
        <v>#DIV/0!</v>
      </c>
      <c r="T760" s="38" t="e">
        <f>S760*AR760</f>
        <v>#DIV/0!</v>
      </c>
      <c r="U760" s="38">
        <f t="shared" si="89"/>
        <v>0</v>
      </c>
      <c r="V760" s="38">
        <v>0</v>
      </c>
      <c r="W760" s="38">
        <v>0</v>
      </c>
      <c r="X760" s="38">
        <v>0</v>
      </c>
      <c r="Y760" s="38"/>
      <c r="Z760" s="38" t="e">
        <f t="shared" si="86"/>
        <v>#DIV/0!</v>
      </c>
      <c r="AA760" s="38"/>
      <c r="AB760" s="38" t="e">
        <f t="shared" si="87"/>
        <v>#DIV/0!</v>
      </c>
      <c r="AC760" s="38" t="e">
        <f>U760/AR760</f>
        <v>#DIV/0!</v>
      </c>
      <c r="AD760" s="38" t="e">
        <f t="shared" si="90"/>
        <v>#DIV/0!</v>
      </c>
      <c r="AE760" s="33"/>
      <c r="AF760" s="33"/>
      <c r="AG760" s="33"/>
      <c r="AH760" s="33"/>
      <c r="AI760" s="33"/>
      <c r="AJ760" s="42"/>
      <c r="AK760" s="37"/>
      <c r="AL760" s="37"/>
      <c r="AM760" s="37"/>
      <c r="AN760" s="37"/>
      <c r="AO760" s="43"/>
      <c r="AP760" s="35"/>
      <c r="AQ760" s="35"/>
      <c r="AR760" s="44"/>
      <c r="AS760" s="37"/>
    </row>
    <row r="761" spans="1:45" ht="15.75" customHeight="1" x14ac:dyDescent="0.25">
      <c r="A761" s="46"/>
      <c r="B761" s="33"/>
      <c r="C761" s="35"/>
      <c r="D761" s="36"/>
      <c r="E761" s="37"/>
      <c r="F761" s="33"/>
      <c r="G761" s="35"/>
      <c r="H761" s="37"/>
      <c r="I761" s="37"/>
      <c r="J761" s="38">
        <v>0</v>
      </c>
      <c r="K761" s="40" t="e">
        <f>((J761-M761)/J761)*100</f>
        <v>#DIV/0!</v>
      </c>
      <c r="L761" s="41">
        <f>J761-M761</f>
        <v>0</v>
      </c>
      <c r="M761" s="38"/>
      <c r="N761" s="41">
        <f>J761-O761</f>
        <v>0</v>
      </c>
      <c r="O761" s="38">
        <v>0</v>
      </c>
      <c r="P761" s="27">
        <f t="shared" si="91"/>
        <v>0</v>
      </c>
      <c r="Q761" s="27">
        <f t="shared" si="91"/>
        <v>0</v>
      </c>
      <c r="R761" s="27" t="e">
        <f>Q761/U761</f>
        <v>#DIV/0!</v>
      </c>
      <c r="S761" s="38" t="e">
        <f>Q761/U761</f>
        <v>#DIV/0!</v>
      </c>
      <c r="T761" s="38" t="e">
        <f>S761*AR761</f>
        <v>#DIV/0!</v>
      </c>
      <c r="U761" s="38">
        <f t="shared" si="89"/>
        <v>0</v>
      </c>
      <c r="V761" s="38">
        <v>0</v>
      </c>
      <c r="W761" s="38">
        <v>0</v>
      </c>
      <c r="X761" s="38">
        <v>0</v>
      </c>
      <c r="Y761" s="38"/>
      <c r="Z761" s="38" t="e">
        <f t="shared" si="86"/>
        <v>#DIV/0!</v>
      </c>
      <c r="AA761" s="38"/>
      <c r="AB761" s="38" t="e">
        <f t="shared" si="87"/>
        <v>#DIV/0!</v>
      </c>
      <c r="AC761" s="38" t="e">
        <f>U761/AR761</f>
        <v>#DIV/0!</v>
      </c>
      <c r="AD761" s="38" t="e">
        <f t="shared" si="90"/>
        <v>#DIV/0!</v>
      </c>
      <c r="AE761" s="33"/>
      <c r="AF761" s="33"/>
      <c r="AG761" s="33"/>
      <c r="AH761" s="33"/>
      <c r="AI761" s="33"/>
      <c r="AJ761" s="42"/>
      <c r="AK761" s="37"/>
      <c r="AL761" s="37"/>
      <c r="AM761" s="37"/>
      <c r="AN761" s="37"/>
      <c r="AO761" s="43"/>
      <c r="AP761" s="35"/>
      <c r="AQ761" s="35"/>
      <c r="AR761" s="44"/>
      <c r="AS761" s="37"/>
    </row>
    <row r="762" spans="1:45" ht="15.75" customHeight="1" x14ac:dyDescent="0.25">
      <c r="A762" s="46"/>
      <c r="B762" s="33"/>
      <c r="C762" s="35"/>
      <c r="D762" s="36"/>
      <c r="E762" s="37"/>
      <c r="F762" s="33"/>
      <c r="G762" s="35"/>
      <c r="H762" s="37"/>
      <c r="I762" s="37"/>
      <c r="J762" s="38">
        <v>0</v>
      </c>
      <c r="K762" s="40" t="e">
        <f>((J762-M762)/J762)*100</f>
        <v>#DIV/0!</v>
      </c>
      <c r="L762" s="41">
        <f>J762-M762</f>
        <v>0</v>
      </c>
      <c r="M762" s="38"/>
      <c r="N762" s="41">
        <f>J762-O762</f>
        <v>0</v>
      </c>
      <c r="O762" s="38">
        <v>0</v>
      </c>
      <c r="P762" s="27">
        <f t="shared" si="91"/>
        <v>0</v>
      </c>
      <c r="Q762" s="27">
        <f t="shared" si="91"/>
        <v>0</v>
      </c>
      <c r="R762" s="27" t="e">
        <f>Q762/U762</f>
        <v>#DIV/0!</v>
      </c>
      <c r="S762" s="38" t="e">
        <f>Q762/U762</f>
        <v>#DIV/0!</v>
      </c>
      <c r="T762" s="38" t="e">
        <f>S762*AR762</f>
        <v>#DIV/0!</v>
      </c>
      <c r="U762" s="38">
        <f t="shared" si="89"/>
        <v>0</v>
      </c>
      <c r="V762" s="38">
        <v>0</v>
      </c>
      <c r="W762" s="38">
        <v>0</v>
      </c>
      <c r="X762" s="38">
        <v>0</v>
      </c>
      <c r="Y762" s="38"/>
      <c r="Z762" s="38" t="e">
        <f t="shared" si="86"/>
        <v>#DIV/0!</v>
      </c>
      <c r="AA762" s="38"/>
      <c r="AB762" s="38" t="e">
        <f t="shared" si="87"/>
        <v>#DIV/0!</v>
      </c>
      <c r="AC762" s="38" t="e">
        <f>U762/AR762</f>
        <v>#DIV/0!</v>
      </c>
      <c r="AD762" s="38" t="e">
        <f t="shared" si="90"/>
        <v>#DIV/0!</v>
      </c>
      <c r="AE762" s="33"/>
      <c r="AF762" s="33"/>
      <c r="AG762" s="33"/>
      <c r="AH762" s="33"/>
      <c r="AI762" s="33"/>
      <c r="AJ762" s="42"/>
      <c r="AK762" s="37"/>
      <c r="AL762" s="37"/>
      <c r="AM762" s="37"/>
      <c r="AN762" s="37"/>
      <c r="AO762" s="43"/>
      <c r="AP762" s="35"/>
      <c r="AQ762" s="35"/>
      <c r="AR762" s="44"/>
      <c r="AS762" s="37"/>
    </row>
    <row r="763" spans="1:45" ht="15.75" customHeight="1" x14ac:dyDescent="0.25">
      <c r="A763" s="46"/>
      <c r="B763" s="33"/>
      <c r="C763" s="35"/>
      <c r="D763" s="36"/>
      <c r="E763" s="37"/>
      <c r="F763" s="33"/>
      <c r="G763" s="35"/>
      <c r="H763" s="37"/>
      <c r="I763" s="37"/>
      <c r="J763" s="38">
        <v>0</v>
      </c>
      <c r="K763" s="40" t="e">
        <f>((J763-M763)/J763)*100</f>
        <v>#DIV/0!</v>
      </c>
      <c r="L763" s="41">
        <f>J763-M763</f>
        <v>0</v>
      </c>
      <c r="M763" s="38"/>
      <c r="N763" s="41">
        <f>J763-O763</f>
        <v>0</v>
      </c>
      <c r="O763" s="38">
        <v>0</v>
      </c>
      <c r="P763" s="27">
        <f t="shared" si="91"/>
        <v>0</v>
      </c>
      <c r="Q763" s="27">
        <f t="shared" si="91"/>
        <v>0</v>
      </c>
      <c r="R763" s="27" t="e">
        <f>Q763/U763</f>
        <v>#DIV/0!</v>
      </c>
      <c r="S763" s="38" t="e">
        <f>Q763/U763</f>
        <v>#DIV/0!</v>
      </c>
      <c r="T763" s="38" t="e">
        <f>S763*AR763</f>
        <v>#DIV/0!</v>
      </c>
      <c r="U763" s="38">
        <f t="shared" si="89"/>
        <v>0</v>
      </c>
      <c r="V763" s="38">
        <v>0</v>
      </c>
      <c r="W763" s="38">
        <v>0</v>
      </c>
      <c r="X763" s="38">
        <v>0</v>
      </c>
      <c r="Y763" s="38"/>
      <c r="Z763" s="38" t="e">
        <f t="shared" si="86"/>
        <v>#DIV/0!</v>
      </c>
      <c r="AA763" s="38"/>
      <c r="AB763" s="38" t="e">
        <f t="shared" si="87"/>
        <v>#DIV/0!</v>
      </c>
      <c r="AC763" s="38" t="e">
        <f>U763/AR763</f>
        <v>#DIV/0!</v>
      </c>
      <c r="AD763" s="38" t="e">
        <f t="shared" si="90"/>
        <v>#DIV/0!</v>
      </c>
      <c r="AE763" s="33"/>
      <c r="AF763" s="33"/>
      <c r="AG763" s="33"/>
      <c r="AH763" s="33"/>
      <c r="AI763" s="33"/>
      <c r="AJ763" s="42"/>
      <c r="AK763" s="37"/>
      <c r="AL763" s="37"/>
      <c r="AM763" s="37"/>
      <c r="AN763" s="37"/>
      <c r="AO763" s="43"/>
      <c r="AP763" s="35"/>
      <c r="AQ763" s="35"/>
      <c r="AR763" s="44"/>
      <c r="AS763" s="37"/>
    </row>
    <row r="764" spans="1:45" ht="15.75" customHeight="1" x14ac:dyDescent="0.25">
      <c r="A764" s="46"/>
      <c r="B764" s="33"/>
      <c r="C764" s="35"/>
      <c r="D764" s="36"/>
      <c r="E764" s="37"/>
      <c r="F764" s="33"/>
      <c r="G764" s="35"/>
      <c r="H764" s="37"/>
      <c r="I764" s="37"/>
      <c r="J764" s="38">
        <v>0</v>
      </c>
      <c r="K764" s="40" t="e">
        <f>((J764-M764)/J764)*100</f>
        <v>#DIV/0!</v>
      </c>
      <c r="L764" s="41">
        <f>J764-M764</f>
        <v>0</v>
      </c>
      <c r="M764" s="38"/>
      <c r="N764" s="41">
        <f>J764-O764</f>
        <v>0</v>
      </c>
      <c r="O764" s="38">
        <v>0</v>
      </c>
      <c r="P764" s="27">
        <f t="shared" si="91"/>
        <v>0</v>
      </c>
      <c r="Q764" s="27">
        <f t="shared" si="91"/>
        <v>0</v>
      </c>
      <c r="R764" s="27" t="e">
        <f>Q764/U764</f>
        <v>#DIV/0!</v>
      </c>
      <c r="S764" s="38" t="e">
        <f>Q764/U764</f>
        <v>#DIV/0!</v>
      </c>
      <c r="T764" s="38" t="e">
        <f>S764*AR764</f>
        <v>#DIV/0!</v>
      </c>
      <c r="U764" s="38">
        <f t="shared" si="89"/>
        <v>0</v>
      </c>
      <c r="V764" s="38">
        <v>0</v>
      </c>
      <c r="W764" s="38">
        <v>0</v>
      </c>
      <c r="X764" s="38">
        <v>0</v>
      </c>
      <c r="Y764" s="38"/>
      <c r="Z764" s="38" t="e">
        <f t="shared" si="86"/>
        <v>#DIV/0!</v>
      </c>
      <c r="AA764" s="38"/>
      <c r="AB764" s="38" t="e">
        <f t="shared" si="87"/>
        <v>#DIV/0!</v>
      </c>
      <c r="AC764" s="38" t="e">
        <f>U764/AR764</f>
        <v>#DIV/0!</v>
      </c>
      <c r="AD764" s="38" t="e">
        <f t="shared" si="90"/>
        <v>#DIV/0!</v>
      </c>
      <c r="AE764" s="33"/>
      <c r="AF764" s="33"/>
      <c r="AG764" s="33"/>
      <c r="AH764" s="33"/>
      <c r="AI764" s="33"/>
      <c r="AJ764" s="42"/>
      <c r="AK764" s="37"/>
      <c r="AL764" s="37"/>
      <c r="AM764" s="37"/>
      <c r="AN764" s="37"/>
      <c r="AO764" s="43"/>
      <c r="AP764" s="35"/>
      <c r="AQ764" s="35"/>
      <c r="AR764" s="44"/>
      <c r="AS764" s="37"/>
    </row>
    <row r="765" spans="1:45" ht="15.75" customHeight="1" x14ac:dyDescent="0.25">
      <c r="A765" s="46"/>
      <c r="B765" s="33"/>
      <c r="C765" s="35"/>
      <c r="D765" s="36"/>
      <c r="E765" s="37"/>
      <c r="F765" s="33"/>
      <c r="G765" s="35"/>
      <c r="H765" s="37"/>
      <c r="I765" s="37"/>
      <c r="J765" s="38">
        <v>0</v>
      </c>
      <c r="K765" s="40" t="e">
        <f>((J765-M765)/J765)*100</f>
        <v>#DIV/0!</v>
      </c>
      <c r="L765" s="41">
        <f>J765-M765</f>
        <v>0</v>
      </c>
      <c r="M765" s="38"/>
      <c r="N765" s="41">
        <f>J765-O765</f>
        <v>0</v>
      </c>
      <c r="O765" s="38">
        <v>0</v>
      </c>
      <c r="P765" s="27">
        <f t="shared" si="91"/>
        <v>0</v>
      </c>
      <c r="Q765" s="27">
        <f t="shared" si="91"/>
        <v>0</v>
      </c>
      <c r="R765" s="27" t="e">
        <f>Q765/U765</f>
        <v>#DIV/0!</v>
      </c>
      <c r="S765" s="38" t="e">
        <f>Q765/U765</f>
        <v>#DIV/0!</v>
      </c>
      <c r="T765" s="38" t="e">
        <f>S765*AR765</f>
        <v>#DIV/0!</v>
      </c>
      <c r="U765" s="38">
        <f t="shared" si="89"/>
        <v>0</v>
      </c>
      <c r="V765" s="38">
        <v>0</v>
      </c>
      <c r="W765" s="38">
        <v>0</v>
      </c>
      <c r="X765" s="38">
        <v>0</v>
      </c>
      <c r="Y765" s="38"/>
      <c r="Z765" s="38" t="e">
        <f t="shared" si="86"/>
        <v>#DIV/0!</v>
      </c>
      <c r="AA765" s="38"/>
      <c r="AB765" s="38" t="e">
        <f t="shared" si="87"/>
        <v>#DIV/0!</v>
      </c>
      <c r="AC765" s="38" t="e">
        <f>U765/AR765</f>
        <v>#DIV/0!</v>
      </c>
      <c r="AD765" s="38" t="e">
        <f t="shared" si="90"/>
        <v>#DIV/0!</v>
      </c>
      <c r="AE765" s="33"/>
      <c r="AF765" s="33"/>
      <c r="AG765" s="33"/>
      <c r="AH765" s="33"/>
      <c r="AI765" s="33"/>
      <c r="AJ765" s="42"/>
      <c r="AK765" s="37"/>
      <c r="AL765" s="37"/>
      <c r="AM765" s="37"/>
      <c r="AN765" s="37"/>
      <c r="AO765" s="43"/>
      <c r="AP765" s="35"/>
      <c r="AQ765" s="35"/>
      <c r="AR765" s="44"/>
      <c r="AS765" s="37"/>
    </row>
    <row r="766" spans="1:45" ht="15.75" customHeight="1" x14ac:dyDescent="0.25">
      <c r="A766" s="46"/>
      <c r="B766" s="33"/>
      <c r="C766" s="35"/>
      <c r="D766" s="36"/>
      <c r="E766" s="37"/>
      <c r="F766" s="33"/>
      <c r="G766" s="35"/>
      <c r="H766" s="37"/>
      <c r="I766" s="37"/>
      <c r="J766" s="38">
        <v>0</v>
      </c>
      <c r="K766" s="40" t="e">
        <f>((J766-M766)/J766)*100</f>
        <v>#DIV/0!</v>
      </c>
      <c r="L766" s="41">
        <f>J766-M766</f>
        <v>0</v>
      </c>
      <c r="M766" s="38"/>
      <c r="N766" s="41">
        <f>J766-O766</f>
        <v>0</v>
      </c>
      <c r="O766" s="38">
        <v>0</v>
      </c>
      <c r="P766" s="27">
        <f t="shared" si="91"/>
        <v>0</v>
      </c>
      <c r="Q766" s="27">
        <f t="shared" si="91"/>
        <v>0</v>
      </c>
      <c r="R766" s="27" t="e">
        <f>Q766/U766</f>
        <v>#DIV/0!</v>
      </c>
      <c r="S766" s="38" t="e">
        <f>Q766/U766</f>
        <v>#DIV/0!</v>
      </c>
      <c r="T766" s="38" t="e">
        <f>S766*AR766</f>
        <v>#DIV/0!</v>
      </c>
      <c r="U766" s="38">
        <f t="shared" si="89"/>
        <v>0</v>
      </c>
      <c r="V766" s="38">
        <v>0</v>
      </c>
      <c r="W766" s="38">
        <v>0</v>
      </c>
      <c r="X766" s="38">
        <v>0</v>
      </c>
      <c r="Y766" s="38"/>
      <c r="Z766" s="38" t="e">
        <f t="shared" si="86"/>
        <v>#DIV/0!</v>
      </c>
      <c r="AA766" s="38"/>
      <c r="AB766" s="38" t="e">
        <f t="shared" si="87"/>
        <v>#DIV/0!</v>
      </c>
      <c r="AC766" s="38" t="e">
        <f>U766/AR766</f>
        <v>#DIV/0!</v>
      </c>
      <c r="AD766" s="38" t="e">
        <f t="shared" si="90"/>
        <v>#DIV/0!</v>
      </c>
      <c r="AE766" s="33"/>
      <c r="AF766" s="33"/>
      <c r="AG766" s="33"/>
      <c r="AH766" s="33"/>
      <c r="AI766" s="33"/>
      <c r="AJ766" s="42"/>
      <c r="AK766" s="37"/>
      <c r="AL766" s="37"/>
      <c r="AM766" s="37"/>
      <c r="AN766" s="37"/>
      <c r="AO766" s="43"/>
      <c r="AP766" s="35"/>
      <c r="AQ766" s="35"/>
      <c r="AR766" s="44"/>
      <c r="AS766" s="37"/>
    </row>
    <row r="767" spans="1:45" ht="15.75" customHeight="1" x14ac:dyDescent="0.25">
      <c r="A767" s="46"/>
      <c r="B767" s="33"/>
      <c r="C767" s="35"/>
      <c r="D767" s="36"/>
      <c r="E767" s="37"/>
      <c r="F767" s="33"/>
      <c r="G767" s="35"/>
      <c r="H767" s="37"/>
      <c r="I767" s="37"/>
      <c r="J767" s="38">
        <v>0</v>
      </c>
      <c r="K767" s="40" t="e">
        <f>((J767-M767)/J767)*100</f>
        <v>#DIV/0!</v>
      </c>
      <c r="L767" s="41">
        <f>J767-M767</f>
        <v>0</v>
      </c>
      <c r="M767" s="38"/>
      <c r="N767" s="41">
        <f>J767-O767</f>
        <v>0</v>
      </c>
      <c r="O767" s="38">
        <v>0</v>
      </c>
      <c r="P767" s="27">
        <f t="shared" si="91"/>
        <v>0</v>
      </c>
      <c r="Q767" s="27">
        <f t="shared" si="91"/>
        <v>0</v>
      </c>
      <c r="R767" s="27" t="e">
        <f>Q767/U767</f>
        <v>#DIV/0!</v>
      </c>
      <c r="S767" s="38" t="e">
        <f>Q767/U767</f>
        <v>#DIV/0!</v>
      </c>
      <c r="T767" s="38" t="e">
        <f>S767*AR767</f>
        <v>#DIV/0!</v>
      </c>
      <c r="U767" s="38">
        <f t="shared" si="89"/>
        <v>0</v>
      </c>
      <c r="V767" s="38">
        <v>0</v>
      </c>
      <c r="W767" s="38">
        <v>0</v>
      </c>
      <c r="X767" s="38">
        <v>0</v>
      </c>
      <c r="Y767" s="38"/>
      <c r="Z767" s="38" t="e">
        <f t="shared" si="86"/>
        <v>#DIV/0!</v>
      </c>
      <c r="AA767" s="38"/>
      <c r="AB767" s="38" t="e">
        <f t="shared" si="87"/>
        <v>#DIV/0!</v>
      </c>
      <c r="AC767" s="38" t="e">
        <f>U767/AR767</f>
        <v>#DIV/0!</v>
      </c>
      <c r="AD767" s="38" t="e">
        <f t="shared" si="90"/>
        <v>#DIV/0!</v>
      </c>
      <c r="AE767" s="33"/>
      <c r="AF767" s="33"/>
      <c r="AG767" s="33"/>
      <c r="AH767" s="33"/>
      <c r="AI767" s="33"/>
      <c r="AJ767" s="42"/>
      <c r="AK767" s="37"/>
      <c r="AL767" s="37"/>
      <c r="AM767" s="37"/>
      <c r="AN767" s="37"/>
      <c r="AO767" s="43"/>
      <c r="AP767" s="35"/>
      <c r="AQ767" s="35"/>
      <c r="AR767" s="44"/>
      <c r="AS767" s="37"/>
    </row>
    <row r="768" spans="1:45" ht="15.75" customHeight="1" x14ac:dyDescent="0.25">
      <c r="A768" s="46"/>
      <c r="B768" s="33"/>
      <c r="C768" s="35"/>
      <c r="D768" s="36"/>
      <c r="E768" s="37"/>
      <c r="F768" s="33"/>
      <c r="G768" s="35"/>
      <c r="H768" s="37"/>
      <c r="I768" s="37"/>
      <c r="J768" s="38">
        <v>0</v>
      </c>
      <c r="K768" s="40" t="e">
        <f>((J768-M768)/J768)*100</f>
        <v>#DIV/0!</v>
      </c>
      <c r="L768" s="41">
        <f>J768-M768</f>
        <v>0</v>
      </c>
      <c r="M768" s="38"/>
      <c r="N768" s="41">
        <f>J768-O768</f>
        <v>0</v>
      </c>
      <c r="O768" s="38">
        <v>0</v>
      </c>
      <c r="P768" s="27">
        <f t="shared" si="91"/>
        <v>0</v>
      </c>
      <c r="Q768" s="27">
        <f t="shared" si="91"/>
        <v>0</v>
      </c>
      <c r="R768" s="27" t="e">
        <f>Q768/U768</f>
        <v>#DIV/0!</v>
      </c>
      <c r="S768" s="38" t="e">
        <f>Q768/U768</f>
        <v>#DIV/0!</v>
      </c>
      <c r="T768" s="38" t="e">
        <f>S768*AR768</f>
        <v>#DIV/0!</v>
      </c>
      <c r="U768" s="38">
        <f t="shared" si="89"/>
        <v>0</v>
      </c>
      <c r="V768" s="38">
        <v>0</v>
      </c>
      <c r="W768" s="38">
        <v>0</v>
      </c>
      <c r="X768" s="38">
        <v>0</v>
      </c>
      <c r="Y768" s="38"/>
      <c r="Z768" s="38" t="e">
        <f t="shared" si="86"/>
        <v>#DIV/0!</v>
      </c>
      <c r="AA768" s="38"/>
      <c r="AB768" s="38" t="e">
        <f t="shared" si="87"/>
        <v>#DIV/0!</v>
      </c>
      <c r="AC768" s="38" t="e">
        <f>U768/AR768</f>
        <v>#DIV/0!</v>
      </c>
      <c r="AD768" s="38" t="e">
        <f t="shared" si="90"/>
        <v>#DIV/0!</v>
      </c>
      <c r="AE768" s="33"/>
      <c r="AF768" s="33"/>
      <c r="AG768" s="33"/>
      <c r="AH768" s="33"/>
      <c r="AI768" s="33"/>
      <c r="AJ768" s="42"/>
      <c r="AK768" s="37"/>
      <c r="AL768" s="37"/>
      <c r="AM768" s="37"/>
      <c r="AN768" s="37"/>
      <c r="AO768" s="43"/>
      <c r="AP768" s="35"/>
      <c r="AQ768" s="35"/>
      <c r="AR768" s="44"/>
      <c r="AS768" s="37"/>
    </row>
    <row r="769" spans="1:45" ht="15.75" customHeight="1" x14ac:dyDescent="0.25">
      <c r="A769" s="46"/>
      <c r="B769" s="33"/>
      <c r="C769" s="35"/>
      <c r="D769" s="36"/>
      <c r="E769" s="37"/>
      <c r="F769" s="33"/>
      <c r="G769" s="35"/>
      <c r="H769" s="37"/>
      <c r="I769" s="37"/>
      <c r="J769" s="38">
        <v>0</v>
      </c>
      <c r="K769" s="40" t="e">
        <f>((J769-M769)/J769)*100</f>
        <v>#DIV/0!</v>
      </c>
      <c r="L769" s="41">
        <f>J769-M769</f>
        <v>0</v>
      </c>
      <c r="M769" s="38"/>
      <c r="N769" s="41">
        <f>J769-O769</f>
        <v>0</v>
      </c>
      <c r="O769" s="38">
        <v>0</v>
      </c>
      <c r="P769" s="27">
        <f t="shared" si="91"/>
        <v>0</v>
      </c>
      <c r="Q769" s="27">
        <f t="shared" si="91"/>
        <v>0</v>
      </c>
      <c r="R769" s="27" t="e">
        <f>Q769/U769</f>
        <v>#DIV/0!</v>
      </c>
      <c r="S769" s="38" t="e">
        <f>Q769/U769</f>
        <v>#DIV/0!</v>
      </c>
      <c r="T769" s="38" t="e">
        <f>S769*AR769</f>
        <v>#DIV/0!</v>
      </c>
      <c r="U769" s="38">
        <f t="shared" si="89"/>
        <v>0</v>
      </c>
      <c r="V769" s="38">
        <v>0</v>
      </c>
      <c r="W769" s="38">
        <v>0</v>
      </c>
      <c r="X769" s="38">
        <v>0</v>
      </c>
      <c r="Y769" s="38"/>
      <c r="Z769" s="38" t="e">
        <f t="shared" si="86"/>
        <v>#DIV/0!</v>
      </c>
      <c r="AA769" s="38"/>
      <c r="AB769" s="38" t="e">
        <f t="shared" si="87"/>
        <v>#DIV/0!</v>
      </c>
      <c r="AC769" s="38" t="e">
        <f>U769/AR769</f>
        <v>#DIV/0!</v>
      </c>
      <c r="AD769" s="38" t="e">
        <f t="shared" si="90"/>
        <v>#DIV/0!</v>
      </c>
      <c r="AE769" s="33"/>
      <c r="AF769" s="33"/>
      <c r="AG769" s="33"/>
      <c r="AH769" s="33"/>
      <c r="AI769" s="33"/>
      <c r="AJ769" s="42"/>
      <c r="AK769" s="37"/>
      <c r="AL769" s="37"/>
      <c r="AM769" s="37"/>
      <c r="AN769" s="37"/>
      <c r="AO769" s="43"/>
      <c r="AP769" s="35"/>
      <c r="AQ769" s="35"/>
      <c r="AR769" s="44"/>
      <c r="AS769" s="37"/>
    </row>
    <row r="770" spans="1:45" ht="15.75" customHeight="1" x14ac:dyDescent="0.25">
      <c r="A770" s="46"/>
      <c r="B770" s="33"/>
      <c r="C770" s="35"/>
      <c r="D770" s="36"/>
      <c r="E770" s="37"/>
      <c r="F770" s="33"/>
      <c r="G770" s="35"/>
      <c r="H770" s="37"/>
      <c r="I770" s="37"/>
      <c r="J770" s="38">
        <v>0</v>
      </c>
      <c r="K770" s="40" t="e">
        <f>((J770-M770)/J770)*100</f>
        <v>#DIV/0!</v>
      </c>
      <c r="L770" s="41">
        <f>J770-M770</f>
        <v>0</v>
      </c>
      <c r="M770" s="38"/>
      <c r="N770" s="41">
        <f>J770-O770</f>
        <v>0</v>
      </c>
      <c r="O770" s="38">
        <v>0</v>
      </c>
      <c r="P770" s="27">
        <f t="shared" si="91"/>
        <v>0</v>
      </c>
      <c r="Q770" s="27">
        <f t="shared" si="91"/>
        <v>0</v>
      </c>
      <c r="R770" s="27" t="e">
        <f>Q770/U770</f>
        <v>#DIV/0!</v>
      </c>
      <c r="S770" s="38" t="e">
        <f>Q770/U770</f>
        <v>#DIV/0!</v>
      </c>
      <c r="T770" s="38" t="e">
        <f>S770*AR770</f>
        <v>#DIV/0!</v>
      </c>
      <c r="U770" s="38">
        <f t="shared" si="89"/>
        <v>0</v>
      </c>
      <c r="V770" s="38">
        <v>0</v>
      </c>
      <c r="W770" s="38">
        <v>0</v>
      </c>
      <c r="X770" s="38">
        <v>0</v>
      </c>
      <c r="Y770" s="38"/>
      <c r="Z770" s="38" t="e">
        <f t="shared" si="86"/>
        <v>#DIV/0!</v>
      </c>
      <c r="AA770" s="38"/>
      <c r="AB770" s="38" t="e">
        <f t="shared" si="87"/>
        <v>#DIV/0!</v>
      </c>
      <c r="AC770" s="38" t="e">
        <f>U770/AR770</f>
        <v>#DIV/0!</v>
      </c>
      <c r="AD770" s="38" t="e">
        <f t="shared" si="90"/>
        <v>#DIV/0!</v>
      </c>
      <c r="AE770" s="33"/>
      <c r="AF770" s="33"/>
      <c r="AG770" s="33"/>
      <c r="AH770" s="33"/>
      <c r="AI770" s="33"/>
      <c r="AJ770" s="42"/>
      <c r="AK770" s="37"/>
      <c r="AL770" s="37"/>
      <c r="AM770" s="37"/>
      <c r="AN770" s="37"/>
      <c r="AO770" s="43"/>
      <c r="AP770" s="35"/>
      <c r="AQ770" s="35"/>
      <c r="AR770" s="44"/>
      <c r="AS770" s="37"/>
    </row>
    <row r="771" spans="1:45" ht="15.75" customHeight="1" x14ac:dyDescent="0.25">
      <c r="A771" s="46"/>
      <c r="B771" s="33"/>
      <c r="C771" s="35"/>
      <c r="D771" s="36"/>
      <c r="E771" s="37"/>
      <c r="F771" s="33"/>
      <c r="G771" s="35"/>
      <c r="H771" s="37"/>
      <c r="I771" s="37"/>
      <c r="J771" s="38">
        <v>0</v>
      </c>
      <c r="K771" s="40" t="e">
        <f>((J771-M771)/J771)*100</f>
        <v>#DIV/0!</v>
      </c>
      <c r="L771" s="41">
        <f>J771-M771</f>
        <v>0</v>
      </c>
      <c r="M771" s="38"/>
      <c r="N771" s="41">
        <f>J771-O771</f>
        <v>0</v>
      </c>
      <c r="O771" s="38">
        <v>0</v>
      </c>
      <c r="P771" s="27">
        <f t="shared" si="91"/>
        <v>0</v>
      </c>
      <c r="Q771" s="27">
        <f t="shared" si="91"/>
        <v>0</v>
      </c>
      <c r="R771" s="27" t="e">
        <f>Q771/U771</f>
        <v>#DIV/0!</v>
      </c>
      <c r="S771" s="38" t="e">
        <f>Q771/U771</f>
        <v>#DIV/0!</v>
      </c>
      <c r="T771" s="38" t="e">
        <f>S771*AR771</f>
        <v>#DIV/0!</v>
      </c>
      <c r="U771" s="38">
        <f t="shared" si="89"/>
        <v>0</v>
      </c>
      <c r="V771" s="38">
        <v>0</v>
      </c>
      <c r="W771" s="38">
        <v>0</v>
      </c>
      <c r="X771" s="38">
        <v>0</v>
      </c>
      <c r="Y771" s="38"/>
      <c r="Z771" s="38" t="e">
        <f t="shared" si="86"/>
        <v>#DIV/0!</v>
      </c>
      <c r="AA771" s="38"/>
      <c r="AB771" s="38" t="e">
        <f t="shared" si="87"/>
        <v>#DIV/0!</v>
      </c>
      <c r="AC771" s="38" t="e">
        <f>U771/AR771</f>
        <v>#DIV/0!</v>
      </c>
      <c r="AD771" s="38" t="e">
        <f t="shared" si="90"/>
        <v>#DIV/0!</v>
      </c>
      <c r="AE771" s="33"/>
      <c r="AF771" s="33"/>
      <c r="AG771" s="33"/>
      <c r="AH771" s="33"/>
      <c r="AI771" s="33"/>
      <c r="AJ771" s="42"/>
      <c r="AK771" s="37"/>
      <c r="AL771" s="37"/>
      <c r="AM771" s="37"/>
      <c r="AN771" s="37"/>
      <c r="AO771" s="43"/>
      <c r="AP771" s="35"/>
      <c r="AQ771" s="35"/>
      <c r="AR771" s="44"/>
      <c r="AS771" s="37"/>
    </row>
    <row r="772" spans="1:45" ht="15.75" customHeight="1" x14ac:dyDescent="0.25">
      <c r="A772" s="46"/>
      <c r="B772" s="33"/>
      <c r="C772" s="35"/>
      <c r="D772" s="36"/>
      <c r="E772" s="37"/>
      <c r="F772" s="33"/>
      <c r="G772" s="35"/>
      <c r="H772" s="37"/>
      <c r="I772" s="37"/>
      <c r="J772" s="38">
        <v>0</v>
      </c>
      <c r="K772" s="40" t="e">
        <f>((J772-M772)/J772)*100</f>
        <v>#DIV/0!</v>
      </c>
      <c r="L772" s="41">
        <f>J772-M772</f>
        <v>0</v>
      </c>
      <c r="M772" s="38"/>
      <c r="N772" s="41">
        <f>J772-O772</f>
        <v>0</v>
      </c>
      <c r="O772" s="38">
        <v>0</v>
      </c>
      <c r="P772" s="27">
        <f t="shared" si="91"/>
        <v>0</v>
      </c>
      <c r="Q772" s="27">
        <f t="shared" si="91"/>
        <v>0</v>
      </c>
      <c r="R772" s="27" t="e">
        <f>Q772/U772</f>
        <v>#DIV/0!</v>
      </c>
      <c r="S772" s="38" t="e">
        <f>Q772/U772</f>
        <v>#DIV/0!</v>
      </c>
      <c r="T772" s="38" t="e">
        <f>S772*AR772</f>
        <v>#DIV/0!</v>
      </c>
      <c r="U772" s="38">
        <f t="shared" si="89"/>
        <v>0</v>
      </c>
      <c r="V772" s="38">
        <v>0</v>
      </c>
      <c r="W772" s="38">
        <v>0</v>
      </c>
      <c r="X772" s="38">
        <v>0</v>
      </c>
      <c r="Y772" s="38"/>
      <c r="Z772" s="38" t="e">
        <f t="shared" si="86"/>
        <v>#DIV/0!</v>
      </c>
      <c r="AA772" s="38"/>
      <c r="AB772" s="38" t="e">
        <f t="shared" si="87"/>
        <v>#DIV/0!</v>
      </c>
      <c r="AC772" s="38" t="e">
        <f>U772/AR772</f>
        <v>#DIV/0!</v>
      </c>
      <c r="AD772" s="38" t="e">
        <f t="shared" si="90"/>
        <v>#DIV/0!</v>
      </c>
      <c r="AE772" s="33"/>
      <c r="AF772" s="33"/>
      <c r="AG772" s="33"/>
      <c r="AH772" s="33"/>
      <c r="AI772" s="33"/>
      <c r="AJ772" s="42"/>
      <c r="AK772" s="37"/>
      <c r="AL772" s="37"/>
      <c r="AM772" s="37"/>
      <c r="AN772" s="37"/>
      <c r="AO772" s="43"/>
      <c r="AP772" s="35"/>
      <c r="AQ772" s="35"/>
      <c r="AR772" s="44"/>
      <c r="AS772" s="37"/>
    </row>
    <row r="773" spans="1:45" ht="15.75" customHeight="1" x14ac:dyDescent="0.25">
      <c r="A773" s="46"/>
      <c r="B773" s="33"/>
      <c r="C773" s="35"/>
      <c r="D773" s="36"/>
      <c r="E773" s="37"/>
      <c r="F773" s="33"/>
      <c r="G773" s="35"/>
      <c r="H773" s="37"/>
      <c r="I773" s="37"/>
      <c r="J773" s="38">
        <v>0</v>
      </c>
      <c r="K773" s="40" t="e">
        <f>((J773-M773)/J773)*100</f>
        <v>#DIV/0!</v>
      </c>
      <c r="L773" s="41">
        <f>J773-M773</f>
        <v>0</v>
      </c>
      <c r="M773" s="38"/>
      <c r="N773" s="41">
        <f>J773-O773</f>
        <v>0</v>
      </c>
      <c r="O773" s="38">
        <v>0</v>
      </c>
      <c r="P773" s="27">
        <f t="shared" si="91"/>
        <v>0</v>
      </c>
      <c r="Q773" s="27">
        <f t="shared" si="91"/>
        <v>0</v>
      </c>
      <c r="R773" s="27" t="e">
        <f>Q773/U773</f>
        <v>#DIV/0!</v>
      </c>
      <c r="S773" s="38" t="e">
        <f>Q773/U773</f>
        <v>#DIV/0!</v>
      </c>
      <c r="T773" s="38" t="e">
        <f>S773*AR773</f>
        <v>#DIV/0!</v>
      </c>
      <c r="U773" s="38">
        <f t="shared" si="89"/>
        <v>0</v>
      </c>
      <c r="V773" s="38">
        <v>0</v>
      </c>
      <c r="W773" s="38">
        <v>0</v>
      </c>
      <c r="X773" s="38">
        <v>0</v>
      </c>
      <c r="Y773" s="38"/>
      <c r="Z773" s="38" t="e">
        <f t="shared" si="86"/>
        <v>#DIV/0!</v>
      </c>
      <c r="AA773" s="38"/>
      <c r="AB773" s="38" t="e">
        <f t="shared" si="87"/>
        <v>#DIV/0!</v>
      </c>
      <c r="AC773" s="38" t="e">
        <f>U773/AR773</f>
        <v>#DIV/0!</v>
      </c>
      <c r="AD773" s="38" t="e">
        <f t="shared" si="90"/>
        <v>#DIV/0!</v>
      </c>
      <c r="AE773" s="33"/>
      <c r="AF773" s="33"/>
      <c r="AG773" s="33"/>
      <c r="AH773" s="33"/>
      <c r="AI773" s="33"/>
      <c r="AJ773" s="42"/>
      <c r="AK773" s="37"/>
      <c r="AL773" s="37"/>
      <c r="AM773" s="37"/>
      <c r="AN773" s="37"/>
      <c r="AO773" s="43"/>
      <c r="AP773" s="35"/>
      <c r="AQ773" s="35"/>
      <c r="AR773" s="44"/>
      <c r="AS773" s="37"/>
    </row>
    <row r="774" spans="1:45" ht="15.75" customHeight="1" x14ac:dyDescent="0.25">
      <c r="A774" s="46"/>
      <c r="B774" s="33"/>
      <c r="C774" s="35"/>
      <c r="D774" s="36"/>
      <c r="E774" s="37"/>
      <c r="F774" s="33"/>
      <c r="G774" s="35"/>
      <c r="H774" s="37"/>
      <c r="I774" s="37"/>
      <c r="J774" s="38">
        <v>0</v>
      </c>
      <c r="K774" s="40" t="e">
        <f>((J774-M774)/J774)*100</f>
        <v>#DIV/0!</v>
      </c>
      <c r="L774" s="41">
        <f>J774-M774</f>
        <v>0</v>
      </c>
      <c r="M774" s="38"/>
      <c r="N774" s="41">
        <f>J774-O774</f>
        <v>0</v>
      </c>
      <c r="O774" s="38">
        <v>0</v>
      </c>
      <c r="P774" s="27">
        <f t="shared" si="91"/>
        <v>0</v>
      </c>
      <c r="Q774" s="27">
        <f t="shared" si="91"/>
        <v>0</v>
      </c>
      <c r="R774" s="27" t="e">
        <f>Q774/U774</f>
        <v>#DIV/0!</v>
      </c>
      <c r="S774" s="38" t="e">
        <f>Q774/U774</f>
        <v>#DIV/0!</v>
      </c>
      <c r="T774" s="38" t="e">
        <f>S774*AR774</f>
        <v>#DIV/0!</v>
      </c>
      <c r="U774" s="38">
        <f t="shared" si="89"/>
        <v>0</v>
      </c>
      <c r="V774" s="38">
        <v>0</v>
      </c>
      <c r="W774" s="38">
        <v>0</v>
      </c>
      <c r="X774" s="38">
        <v>0</v>
      </c>
      <c r="Y774" s="38"/>
      <c r="Z774" s="38" t="e">
        <f t="shared" si="86"/>
        <v>#DIV/0!</v>
      </c>
      <c r="AA774" s="38"/>
      <c r="AB774" s="38" t="e">
        <f t="shared" si="87"/>
        <v>#DIV/0!</v>
      </c>
      <c r="AC774" s="38" t="e">
        <f>U774/AR774</f>
        <v>#DIV/0!</v>
      </c>
      <c r="AD774" s="38" t="e">
        <f t="shared" si="90"/>
        <v>#DIV/0!</v>
      </c>
      <c r="AE774" s="33"/>
      <c r="AF774" s="33"/>
      <c r="AG774" s="33"/>
      <c r="AH774" s="33"/>
      <c r="AI774" s="33"/>
      <c r="AJ774" s="42"/>
      <c r="AK774" s="37"/>
      <c r="AL774" s="37"/>
      <c r="AM774" s="37"/>
      <c r="AN774" s="37"/>
      <c r="AO774" s="43"/>
      <c r="AP774" s="35"/>
      <c r="AQ774" s="35"/>
      <c r="AR774" s="44"/>
      <c r="AS774" s="37"/>
    </row>
    <row r="775" spans="1:45" ht="15.75" customHeight="1" x14ac:dyDescent="0.25">
      <c r="A775" s="46"/>
      <c r="B775" s="33"/>
      <c r="C775" s="35"/>
      <c r="D775" s="36"/>
      <c r="E775" s="37"/>
      <c r="F775" s="33"/>
      <c r="G775" s="35"/>
      <c r="H775" s="37"/>
      <c r="I775" s="37"/>
      <c r="J775" s="38">
        <v>0</v>
      </c>
      <c r="K775" s="40" t="e">
        <f>((J775-M775)/J775)*100</f>
        <v>#DIV/0!</v>
      </c>
      <c r="L775" s="41">
        <f>J775-M775</f>
        <v>0</v>
      </c>
      <c r="M775" s="38"/>
      <c r="N775" s="41">
        <f>J775-O775</f>
        <v>0</v>
      </c>
      <c r="O775" s="38">
        <v>0</v>
      </c>
      <c r="P775" s="27">
        <f t="shared" si="91"/>
        <v>0</v>
      </c>
      <c r="Q775" s="27">
        <f t="shared" si="91"/>
        <v>0</v>
      </c>
      <c r="R775" s="27" t="e">
        <f>Q775/U775</f>
        <v>#DIV/0!</v>
      </c>
      <c r="S775" s="38" t="e">
        <f>Q775/U775</f>
        <v>#DIV/0!</v>
      </c>
      <c r="T775" s="38" t="e">
        <f>S775*AR775</f>
        <v>#DIV/0!</v>
      </c>
      <c r="U775" s="38">
        <f t="shared" si="89"/>
        <v>0</v>
      </c>
      <c r="V775" s="38">
        <v>0</v>
      </c>
      <c r="W775" s="38">
        <v>0</v>
      </c>
      <c r="X775" s="38">
        <v>0</v>
      </c>
      <c r="Y775" s="38"/>
      <c r="Z775" s="38" t="e">
        <f t="shared" si="86"/>
        <v>#DIV/0!</v>
      </c>
      <c r="AA775" s="38"/>
      <c r="AB775" s="38" t="e">
        <f t="shared" si="87"/>
        <v>#DIV/0!</v>
      </c>
      <c r="AC775" s="38" t="e">
        <f>U775/AR775</f>
        <v>#DIV/0!</v>
      </c>
      <c r="AD775" s="38" t="e">
        <f t="shared" si="90"/>
        <v>#DIV/0!</v>
      </c>
      <c r="AE775" s="33"/>
      <c r="AF775" s="33"/>
      <c r="AG775" s="33"/>
      <c r="AH775" s="33"/>
      <c r="AI775" s="33"/>
      <c r="AJ775" s="42"/>
      <c r="AK775" s="37"/>
      <c r="AL775" s="37"/>
      <c r="AM775" s="37"/>
      <c r="AN775" s="37"/>
      <c r="AO775" s="43"/>
      <c r="AP775" s="35"/>
      <c r="AQ775" s="35"/>
      <c r="AR775" s="44"/>
      <c r="AS775" s="37"/>
    </row>
    <row r="776" spans="1:45" ht="15.75" customHeight="1" x14ac:dyDescent="0.25">
      <c r="A776" s="46"/>
      <c r="B776" s="33"/>
      <c r="C776" s="35"/>
      <c r="D776" s="36"/>
      <c r="E776" s="37"/>
      <c r="F776" s="33"/>
      <c r="G776" s="35"/>
      <c r="H776" s="37"/>
      <c r="I776" s="37"/>
      <c r="J776" s="38">
        <v>0</v>
      </c>
      <c r="K776" s="40" t="e">
        <f>((J776-M776)/J776)*100</f>
        <v>#DIV/0!</v>
      </c>
      <c r="L776" s="41">
        <f>J776-M776</f>
        <v>0</v>
      </c>
      <c r="M776" s="38"/>
      <c r="N776" s="41">
        <f>J776-O776</f>
        <v>0</v>
      </c>
      <c r="O776" s="38">
        <v>0</v>
      </c>
      <c r="P776" s="27">
        <f t="shared" si="91"/>
        <v>0</v>
      </c>
      <c r="Q776" s="27">
        <f t="shared" si="91"/>
        <v>0</v>
      </c>
      <c r="R776" s="27" t="e">
        <f>Q776/U776</f>
        <v>#DIV/0!</v>
      </c>
      <c r="S776" s="38" t="e">
        <f>Q776/U776</f>
        <v>#DIV/0!</v>
      </c>
      <c r="T776" s="38" t="e">
        <f>S776*AR776</f>
        <v>#DIV/0!</v>
      </c>
      <c r="U776" s="38">
        <f t="shared" si="89"/>
        <v>0</v>
      </c>
      <c r="V776" s="38">
        <v>0</v>
      </c>
      <c r="W776" s="38">
        <v>0</v>
      </c>
      <c r="X776" s="38">
        <v>0</v>
      </c>
      <c r="Y776" s="38"/>
      <c r="Z776" s="38" t="e">
        <f t="shared" si="86"/>
        <v>#DIV/0!</v>
      </c>
      <c r="AA776" s="38"/>
      <c r="AB776" s="38" t="e">
        <f t="shared" si="87"/>
        <v>#DIV/0!</v>
      </c>
      <c r="AC776" s="38" t="e">
        <f>U776/AR776</f>
        <v>#DIV/0!</v>
      </c>
      <c r="AD776" s="38" t="e">
        <f t="shared" si="90"/>
        <v>#DIV/0!</v>
      </c>
      <c r="AE776" s="33"/>
      <c r="AF776" s="33"/>
      <c r="AG776" s="33"/>
      <c r="AH776" s="33"/>
      <c r="AI776" s="33"/>
      <c r="AJ776" s="42"/>
      <c r="AK776" s="37"/>
      <c r="AL776" s="37"/>
      <c r="AM776" s="37"/>
      <c r="AN776" s="37"/>
      <c r="AO776" s="43"/>
      <c r="AP776" s="35"/>
      <c r="AQ776" s="35"/>
      <c r="AR776" s="44"/>
      <c r="AS776" s="37"/>
    </row>
    <row r="777" spans="1:45" ht="15.75" customHeight="1" x14ac:dyDescent="0.25">
      <c r="A777" s="46"/>
      <c r="B777" s="33"/>
      <c r="C777" s="35"/>
      <c r="D777" s="36"/>
      <c r="E777" s="37"/>
      <c r="F777" s="33"/>
      <c r="G777" s="35"/>
      <c r="H777" s="37"/>
      <c r="I777" s="37"/>
      <c r="J777" s="38">
        <v>0</v>
      </c>
      <c r="K777" s="40" t="e">
        <f>((J777-M777)/J777)*100</f>
        <v>#DIV/0!</v>
      </c>
      <c r="L777" s="41">
        <f>J777-M777</f>
        <v>0</v>
      </c>
      <c r="M777" s="38"/>
      <c r="N777" s="41">
        <f>J777-O777</f>
        <v>0</v>
      </c>
      <c r="O777" s="38">
        <v>0</v>
      </c>
      <c r="P777" s="27">
        <f t="shared" si="91"/>
        <v>0</v>
      </c>
      <c r="Q777" s="27">
        <f t="shared" si="91"/>
        <v>0</v>
      </c>
      <c r="R777" s="27" t="e">
        <f>Q777/U777</f>
        <v>#DIV/0!</v>
      </c>
      <c r="S777" s="38" t="e">
        <f>Q777/U777</f>
        <v>#DIV/0!</v>
      </c>
      <c r="T777" s="38" t="e">
        <f>S777*AR777</f>
        <v>#DIV/0!</v>
      </c>
      <c r="U777" s="38">
        <f t="shared" si="89"/>
        <v>0</v>
      </c>
      <c r="V777" s="38">
        <v>0</v>
      </c>
      <c r="W777" s="38">
        <v>0</v>
      </c>
      <c r="X777" s="38">
        <v>0</v>
      </c>
      <c r="Y777" s="38"/>
      <c r="Z777" s="38" t="e">
        <f t="shared" si="86"/>
        <v>#DIV/0!</v>
      </c>
      <c r="AA777" s="38"/>
      <c r="AB777" s="38" t="e">
        <f t="shared" si="87"/>
        <v>#DIV/0!</v>
      </c>
      <c r="AC777" s="38" t="e">
        <f>U777/AR777</f>
        <v>#DIV/0!</v>
      </c>
      <c r="AD777" s="38" t="e">
        <f t="shared" si="90"/>
        <v>#DIV/0!</v>
      </c>
      <c r="AE777" s="33"/>
      <c r="AF777" s="33"/>
      <c r="AG777" s="33"/>
      <c r="AH777" s="33"/>
      <c r="AI777" s="33"/>
      <c r="AJ777" s="42"/>
      <c r="AK777" s="37"/>
      <c r="AL777" s="37"/>
      <c r="AM777" s="37"/>
      <c r="AN777" s="37"/>
      <c r="AO777" s="43"/>
      <c r="AP777" s="35"/>
      <c r="AQ777" s="35"/>
      <c r="AR777" s="44"/>
      <c r="AS777" s="37"/>
    </row>
    <row r="778" spans="1:45" ht="15.75" customHeight="1" x14ac:dyDescent="0.25">
      <c r="A778" s="46"/>
      <c r="B778" s="33"/>
      <c r="C778" s="35"/>
      <c r="D778" s="36"/>
      <c r="E778" s="37"/>
      <c r="F778" s="33"/>
      <c r="G778" s="35"/>
      <c r="H778" s="37"/>
      <c r="I778" s="37"/>
      <c r="J778" s="38">
        <v>0</v>
      </c>
      <c r="K778" s="40" t="e">
        <f>((J778-M778)/J778)*100</f>
        <v>#DIV/0!</v>
      </c>
      <c r="L778" s="41">
        <f>J778-M778</f>
        <v>0</v>
      </c>
      <c r="M778" s="38"/>
      <c r="N778" s="41">
        <f>J778-O778</f>
        <v>0</v>
      </c>
      <c r="O778" s="38">
        <v>0</v>
      </c>
      <c r="P778" s="27">
        <f t="shared" si="91"/>
        <v>0</v>
      </c>
      <c r="Q778" s="27">
        <f t="shared" si="91"/>
        <v>0</v>
      </c>
      <c r="R778" s="27" t="e">
        <f>Q778/U778</f>
        <v>#DIV/0!</v>
      </c>
      <c r="S778" s="38" t="e">
        <f>Q778/U778</f>
        <v>#DIV/0!</v>
      </c>
      <c r="T778" s="38" t="e">
        <f>S778*AR778</f>
        <v>#DIV/0!</v>
      </c>
      <c r="U778" s="38">
        <f t="shared" si="89"/>
        <v>0</v>
      </c>
      <c r="V778" s="38">
        <v>0</v>
      </c>
      <c r="W778" s="38">
        <v>0</v>
      </c>
      <c r="X778" s="38">
        <v>0</v>
      </c>
      <c r="Y778" s="38"/>
      <c r="Z778" s="38" t="e">
        <f t="shared" si="86"/>
        <v>#DIV/0!</v>
      </c>
      <c r="AA778" s="38"/>
      <c r="AB778" s="38" t="e">
        <f t="shared" si="87"/>
        <v>#DIV/0!</v>
      </c>
      <c r="AC778" s="38" t="e">
        <f>U778/AR778</f>
        <v>#DIV/0!</v>
      </c>
      <c r="AD778" s="38" t="e">
        <f t="shared" si="90"/>
        <v>#DIV/0!</v>
      </c>
      <c r="AE778" s="33"/>
      <c r="AF778" s="33"/>
      <c r="AG778" s="33"/>
      <c r="AH778" s="33"/>
      <c r="AI778" s="33"/>
      <c r="AJ778" s="42"/>
      <c r="AK778" s="37"/>
      <c r="AL778" s="37"/>
      <c r="AM778" s="37"/>
      <c r="AN778" s="37"/>
      <c r="AO778" s="43"/>
      <c r="AP778" s="35"/>
      <c r="AQ778" s="35"/>
      <c r="AR778" s="44"/>
      <c r="AS778" s="37"/>
    </row>
    <row r="779" spans="1:45" ht="15.75" customHeight="1" x14ac:dyDescent="0.25">
      <c r="A779" s="46"/>
      <c r="B779" s="33"/>
      <c r="C779" s="35"/>
      <c r="D779" s="36"/>
      <c r="E779" s="37"/>
      <c r="F779" s="33"/>
      <c r="G779" s="35"/>
      <c r="H779" s="37"/>
      <c r="I779" s="37"/>
      <c r="J779" s="38">
        <v>0</v>
      </c>
      <c r="K779" s="40" t="e">
        <f>((J779-M779)/J779)*100</f>
        <v>#DIV/0!</v>
      </c>
      <c r="L779" s="41">
        <f>J779-M779</f>
        <v>0</v>
      </c>
      <c r="M779" s="38"/>
      <c r="N779" s="41">
        <f>J779-O779</f>
        <v>0</v>
      </c>
      <c r="O779" s="38">
        <v>0</v>
      </c>
      <c r="P779" s="27">
        <f t="shared" si="91"/>
        <v>0</v>
      </c>
      <c r="Q779" s="27">
        <f t="shared" si="91"/>
        <v>0</v>
      </c>
      <c r="R779" s="27" t="e">
        <f>Q779/U779</f>
        <v>#DIV/0!</v>
      </c>
      <c r="S779" s="38" t="e">
        <f>Q779/U779</f>
        <v>#DIV/0!</v>
      </c>
      <c r="T779" s="38" t="e">
        <f>S779*AR779</f>
        <v>#DIV/0!</v>
      </c>
      <c r="U779" s="38">
        <f t="shared" si="89"/>
        <v>0</v>
      </c>
      <c r="V779" s="38">
        <v>0</v>
      </c>
      <c r="W779" s="38">
        <v>0</v>
      </c>
      <c r="X779" s="38">
        <v>0</v>
      </c>
      <c r="Y779" s="38"/>
      <c r="Z779" s="38" t="e">
        <f t="shared" si="86"/>
        <v>#DIV/0!</v>
      </c>
      <c r="AA779" s="38"/>
      <c r="AB779" s="38" t="e">
        <f t="shared" si="87"/>
        <v>#DIV/0!</v>
      </c>
      <c r="AC779" s="38" t="e">
        <f>U779/AR779</f>
        <v>#DIV/0!</v>
      </c>
      <c r="AD779" s="38" t="e">
        <f t="shared" si="90"/>
        <v>#DIV/0!</v>
      </c>
      <c r="AE779" s="33"/>
      <c r="AF779" s="33"/>
      <c r="AG779" s="33"/>
      <c r="AH779" s="33"/>
      <c r="AI779" s="33"/>
      <c r="AJ779" s="42"/>
      <c r="AK779" s="37"/>
      <c r="AL779" s="37"/>
      <c r="AM779" s="37"/>
      <c r="AN779" s="37"/>
      <c r="AO779" s="43"/>
      <c r="AP779" s="35"/>
      <c r="AQ779" s="35"/>
      <c r="AR779" s="44"/>
      <c r="AS779" s="37"/>
    </row>
    <row r="780" spans="1:45" ht="15.75" customHeight="1" x14ac:dyDescent="0.25">
      <c r="A780" s="46"/>
      <c r="B780" s="33"/>
      <c r="C780" s="35"/>
      <c r="D780" s="36"/>
      <c r="E780" s="37"/>
      <c r="F780" s="33"/>
      <c r="G780" s="35"/>
      <c r="H780" s="37"/>
      <c r="I780" s="37"/>
      <c r="J780" s="38">
        <v>0</v>
      </c>
      <c r="K780" s="40" t="e">
        <f>((J780-M780)/J780)*100</f>
        <v>#DIV/0!</v>
      </c>
      <c r="L780" s="41">
        <f>J780-M780</f>
        <v>0</v>
      </c>
      <c r="M780" s="38"/>
      <c r="N780" s="41">
        <f>J780-O780</f>
        <v>0</v>
      </c>
      <c r="O780" s="38">
        <v>0</v>
      </c>
      <c r="P780" s="27">
        <f t="shared" si="91"/>
        <v>0</v>
      </c>
      <c r="Q780" s="27">
        <f t="shared" si="91"/>
        <v>0</v>
      </c>
      <c r="R780" s="27" t="e">
        <f>Q780/U780</f>
        <v>#DIV/0!</v>
      </c>
      <c r="S780" s="38" t="e">
        <f>Q780/U780</f>
        <v>#DIV/0!</v>
      </c>
      <c r="T780" s="38" t="e">
        <f>S780*AR780</f>
        <v>#DIV/0!</v>
      </c>
      <c r="U780" s="38">
        <f t="shared" si="89"/>
        <v>0</v>
      </c>
      <c r="V780" s="38">
        <v>0</v>
      </c>
      <c r="W780" s="38">
        <v>0</v>
      </c>
      <c r="X780" s="38">
        <v>0</v>
      </c>
      <c r="Y780" s="38"/>
      <c r="Z780" s="38" t="e">
        <f t="shared" ref="Z780:Z803" si="92">Y780*S780</f>
        <v>#DIV/0!</v>
      </c>
      <c r="AA780" s="38"/>
      <c r="AB780" s="38" t="e">
        <f t="shared" ref="AB780:AB803" si="93">AA780*S780</f>
        <v>#DIV/0!</v>
      </c>
      <c r="AC780" s="38" t="e">
        <f>U780/AR780</f>
        <v>#DIV/0!</v>
      </c>
      <c r="AD780" s="38" t="e">
        <f t="shared" si="90"/>
        <v>#DIV/0!</v>
      </c>
      <c r="AE780" s="33"/>
      <c r="AF780" s="33"/>
      <c r="AG780" s="33"/>
      <c r="AH780" s="33"/>
      <c r="AI780" s="33"/>
      <c r="AJ780" s="42"/>
      <c r="AK780" s="37"/>
      <c r="AL780" s="37"/>
      <c r="AM780" s="37"/>
      <c r="AN780" s="37"/>
      <c r="AO780" s="43"/>
      <c r="AP780" s="35"/>
      <c r="AQ780" s="35"/>
      <c r="AR780" s="44"/>
      <c r="AS780" s="37"/>
    </row>
    <row r="781" spans="1:45" ht="15.75" customHeight="1" x14ac:dyDescent="0.25">
      <c r="A781" s="46"/>
      <c r="B781" s="33"/>
      <c r="C781" s="35"/>
      <c r="D781" s="36"/>
      <c r="E781" s="37"/>
      <c r="F781" s="33"/>
      <c r="G781" s="35"/>
      <c r="H781" s="37"/>
      <c r="I781" s="37"/>
      <c r="J781" s="38">
        <v>0</v>
      </c>
      <c r="K781" s="40" t="e">
        <f>((J781-M781)/J781)*100</f>
        <v>#DIV/0!</v>
      </c>
      <c r="L781" s="41">
        <f>J781-M781</f>
        <v>0</v>
      </c>
      <c r="M781" s="38"/>
      <c r="N781" s="41">
        <f>J781-O781</f>
        <v>0</v>
      </c>
      <c r="O781" s="38">
        <v>0</v>
      </c>
      <c r="P781" s="27">
        <f t="shared" si="91"/>
        <v>0</v>
      </c>
      <c r="Q781" s="27">
        <f t="shared" si="91"/>
        <v>0</v>
      </c>
      <c r="R781" s="27" t="e">
        <f>Q781/U781</f>
        <v>#DIV/0!</v>
      </c>
      <c r="S781" s="38" t="e">
        <f>Q781/U781</f>
        <v>#DIV/0!</v>
      </c>
      <c r="T781" s="38" t="e">
        <f>S781*AR781</f>
        <v>#DIV/0!</v>
      </c>
      <c r="U781" s="38">
        <f t="shared" si="89"/>
        <v>0</v>
      </c>
      <c r="V781" s="38">
        <v>0</v>
      </c>
      <c r="W781" s="38">
        <v>0</v>
      </c>
      <c r="X781" s="38">
        <v>0</v>
      </c>
      <c r="Y781" s="38"/>
      <c r="Z781" s="38" t="e">
        <f t="shared" si="92"/>
        <v>#DIV/0!</v>
      </c>
      <c r="AA781" s="38"/>
      <c r="AB781" s="38" t="e">
        <f t="shared" si="93"/>
        <v>#DIV/0!</v>
      </c>
      <c r="AC781" s="38" t="e">
        <f>U781/AR781</f>
        <v>#DIV/0!</v>
      </c>
      <c r="AD781" s="38" t="e">
        <f t="shared" si="90"/>
        <v>#DIV/0!</v>
      </c>
      <c r="AE781" s="33"/>
      <c r="AF781" s="33"/>
      <c r="AG781" s="33"/>
      <c r="AH781" s="33"/>
      <c r="AI781" s="33"/>
      <c r="AJ781" s="42"/>
      <c r="AK781" s="37"/>
      <c r="AL781" s="37"/>
      <c r="AM781" s="37"/>
      <c r="AN781" s="37"/>
      <c r="AO781" s="43"/>
      <c r="AP781" s="35"/>
      <c r="AQ781" s="35"/>
      <c r="AR781" s="44"/>
      <c r="AS781" s="37"/>
    </row>
    <row r="782" spans="1:45" ht="15.75" customHeight="1" x14ac:dyDescent="0.25">
      <c r="A782" s="46"/>
      <c r="B782" s="33"/>
      <c r="C782" s="35"/>
      <c r="D782" s="36"/>
      <c r="E782" s="37"/>
      <c r="F782" s="33"/>
      <c r="G782" s="35"/>
      <c r="H782" s="37"/>
      <c r="I782" s="37"/>
      <c r="J782" s="38">
        <v>0</v>
      </c>
      <c r="K782" s="40" t="e">
        <f>((J782-M782)/J782)*100</f>
        <v>#DIV/0!</v>
      </c>
      <c r="L782" s="41">
        <f>J782-M782</f>
        <v>0</v>
      </c>
      <c r="M782" s="38"/>
      <c r="N782" s="41">
        <f>J782-O782</f>
        <v>0</v>
      </c>
      <c r="O782" s="38">
        <v>0</v>
      </c>
      <c r="P782" s="27">
        <f t="shared" si="91"/>
        <v>0</v>
      </c>
      <c r="Q782" s="27">
        <f t="shared" si="91"/>
        <v>0</v>
      </c>
      <c r="R782" s="27" t="e">
        <f>Q782/U782</f>
        <v>#DIV/0!</v>
      </c>
      <c r="S782" s="38" t="e">
        <f>Q782/U782</f>
        <v>#DIV/0!</v>
      </c>
      <c r="T782" s="38" t="e">
        <f>S782*AR782</f>
        <v>#DIV/0!</v>
      </c>
      <c r="U782" s="38">
        <f t="shared" si="89"/>
        <v>0</v>
      </c>
      <c r="V782" s="38">
        <v>0</v>
      </c>
      <c r="W782" s="38">
        <v>0</v>
      </c>
      <c r="X782" s="38">
        <v>0</v>
      </c>
      <c r="Y782" s="38"/>
      <c r="Z782" s="38" t="e">
        <f t="shared" si="92"/>
        <v>#DIV/0!</v>
      </c>
      <c r="AA782" s="38"/>
      <c r="AB782" s="38" t="e">
        <f t="shared" si="93"/>
        <v>#DIV/0!</v>
      </c>
      <c r="AC782" s="38" t="e">
        <f>U782/AR782</f>
        <v>#DIV/0!</v>
      </c>
      <c r="AD782" s="38" t="e">
        <f t="shared" si="90"/>
        <v>#DIV/0!</v>
      </c>
      <c r="AE782" s="33"/>
      <c r="AF782" s="33"/>
      <c r="AG782" s="33"/>
      <c r="AH782" s="33"/>
      <c r="AI782" s="33"/>
      <c r="AJ782" s="42"/>
      <c r="AK782" s="37"/>
      <c r="AL782" s="37"/>
      <c r="AM782" s="37"/>
      <c r="AN782" s="37"/>
      <c r="AO782" s="43"/>
      <c r="AP782" s="35"/>
      <c r="AQ782" s="35"/>
      <c r="AR782" s="44"/>
      <c r="AS782" s="37"/>
    </row>
    <row r="783" spans="1:45" ht="15.75" customHeight="1" x14ac:dyDescent="0.25">
      <c r="A783" s="46"/>
      <c r="B783" s="33"/>
      <c r="C783" s="35"/>
      <c r="D783" s="36"/>
      <c r="E783" s="37"/>
      <c r="F783" s="33"/>
      <c r="G783" s="35"/>
      <c r="H783" s="37"/>
      <c r="I783" s="37"/>
      <c r="J783" s="38">
        <v>0</v>
      </c>
      <c r="K783" s="40" t="e">
        <f>((J783-M783)/J783)*100</f>
        <v>#DIV/0!</v>
      </c>
      <c r="L783" s="41">
        <f>J783-M783</f>
        <v>0</v>
      </c>
      <c r="M783" s="38"/>
      <c r="N783" s="41">
        <f>J783-O783</f>
        <v>0</v>
      </c>
      <c r="O783" s="38">
        <v>0</v>
      </c>
      <c r="P783" s="27">
        <f t="shared" si="91"/>
        <v>0</v>
      </c>
      <c r="Q783" s="27">
        <f t="shared" si="91"/>
        <v>0</v>
      </c>
      <c r="R783" s="27" t="e">
        <f>Q783/U783</f>
        <v>#DIV/0!</v>
      </c>
      <c r="S783" s="38" t="e">
        <f>Q783/U783</f>
        <v>#DIV/0!</v>
      </c>
      <c r="T783" s="38" t="e">
        <f>S783*AR783</f>
        <v>#DIV/0!</v>
      </c>
      <c r="U783" s="38">
        <f t="shared" si="89"/>
        <v>0</v>
      </c>
      <c r="V783" s="38">
        <v>0</v>
      </c>
      <c r="W783" s="38">
        <v>0</v>
      </c>
      <c r="X783" s="38">
        <v>0</v>
      </c>
      <c r="Y783" s="38"/>
      <c r="Z783" s="38" t="e">
        <f t="shared" si="92"/>
        <v>#DIV/0!</v>
      </c>
      <c r="AA783" s="38"/>
      <c r="AB783" s="38" t="e">
        <f t="shared" si="93"/>
        <v>#DIV/0!</v>
      </c>
      <c r="AC783" s="38" t="e">
        <f>U783/AR783</f>
        <v>#DIV/0!</v>
      </c>
      <c r="AD783" s="38" t="e">
        <f t="shared" si="90"/>
        <v>#DIV/0!</v>
      </c>
      <c r="AE783" s="33"/>
      <c r="AF783" s="33"/>
      <c r="AG783" s="33"/>
      <c r="AH783" s="33"/>
      <c r="AI783" s="33"/>
      <c r="AJ783" s="42"/>
      <c r="AK783" s="37"/>
      <c r="AL783" s="37"/>
      <c r="AM783" s="37"/>
      <c r="AN783" s="37"/>
      <c r="AO783" s="43"/>
      <c r="AP783" s="35"/>
      <c r="AQ783" s="35"/>
      <c r="AR783" s="44"/>
      <c r="AS783" s="37"/>
    </row>
    <row r="784" spans="1:45" ht="15.75" customHeight="1" x14ac:dyDescent="0.25">
      <c r="A784" s="46"/>
      <c r="B784" s="33"/>
      <c r="C784" s="35"/>
      <c r="D784" s="36"/>
      <c r="E784" s="37"/>
      <c r="F784" s="33"/>
      <c r="G784" s="35"/>
      <c r="H784" s="37"/>
      <c r="I784" s="37"/>
      <c r="J784" s="38">
        <v>0</v>
      </c>
      <c r="K784" s="40" t="e">
        <f>((J784-M784)/J784)*100</f>
        <v>#DIV/0!</v>
      </c>
      <c r="L784" s="41">
        <f>J784-M784</f>
        <v>0</v>
      </c>
      <c r="M784" s="38"/>
      <c r="N784" s="41">
        <f>J784-O784</f>
        <v>0</v>
      </c>
      <c r="O784" s="38">
        <v>0</v>
      </c>
      <c r="P784" s="27">
        <f t="shared" si="91"/>
        <v>0</v>
      </c>
      <c r="Q784" s="27">
        <f t="shared" si="91"/>
        <v>0</v>
      </c>
      <c r="R784" s="27" t="e">
        <f>Q784/U784</f>
        <v>#DIV/0!</v>
      </c>
      <c r="S784" s="38" t="e">
        <f>Q784/U784</f>
        <v>#DIV/0!</v>
      </c>
      <c r="T784" s="38" t="e">
        <f>S784*AR784</f>
        <v>#DIV/0!</v>
      </c>
      <c r="U784" s="38">
        <f t="shared" si="89"/>
        <v>0</v>
      </c>
      <c r="V784" s="38">
        <v>0</v>
      </c>
      <c r="W784" s="38">
        <v>0</v>
      </c>
      <c r="X784" s="38">
        <v>0</v>
      </c>
      <c r="Y784" s="38"/>
      <c r="Z784" s="38" t="e">
        <f t="shared" si="92"/>
        <v>#DIV/0!</v>
      </c>
      <c r="AA784" s="38"/>
      <c r="AB784" s="38" t="e">
        <f t="shared" si="93"/>
        <v>#DIV/0!</v>
      </c>
      <c r="AC784" s="38" t="e">
        <f>U784/AR784</f>
        <v>#DIV/0!</v>
      </c>
      <c r="AD784" s="38" t="e">
        <f t="shared" si="90"/>
        <v>#DIV/0!</v>
      </c>
      <c r="AE784" s="33"/>
      <c r="AF784" s="33"/>
      <c r="AG784" s="33"/>
      <c r="AH784" s="33"/>
      <c r="AI784" s="33"/>
      <c r="AJ784" s="42"/>
      <c r="AK784" s="37"/>
      <c r="AL784" s="37"/>
      <c r="AM784" s="37"/>
      <c r="AN784" s="37"/>
      <c r="AO784" s="43"/>
      <c r="AP784" s="35"/>
      <c r="AQ784" s="35"/>
      <c r="AR784" s="44"/>
      <c r="AS784" s="37"/>
    </row>
    <row r="785" spans="1:45" ht="15.75" customHeight="1" x14ac:dyDescent="0.25">
      <c r="A785" s="46"/>
      <c r="B785" s="33"/>
      <c r="C785" s="35"/>
      <c r="D785" s="36"/>
      <c r="E785" s="37"/>
      <c r="F785" s="33"/>
      <c r="G785" s="35"/>
      <c r="H785" s="37"/>
      <c r="I785" s="37"/>
      <c r="J785" s="38">
        <v>0</v>
      </c>
      <c r="K785" s="40" t="e">
        <f>((J785-M785)/J785)*100</f>
        <v>#DIV/0!</v>
      </c>
      <c r="L785" s="41">
        <f>J785-M785</f>
        <v>0</v>
      </c>
      <c r="M785" s="38"/>
      <c r="N785" s="41">
        <f>J785-O785</f>
        <v>0</v>
      </c>
      <c r="O785" s="38">
        <v>0</v>
      </c>
      <c r="P785" s="27">
        <f t="shared" si="91"/>
        <v>0</v>
      </c>
      <c r="Q785" s="27">
        <f t="shared" si="91"/>
        <v>0</v>
      </c>
      <c r="R785" s="27" t="e">
        <f>Q785/U785</f>
        <v>#DIV/0!</v>
      </c>
      <c r="S785" s="38" t="e">
        <f>Q785/U785</f>
        <v>#DIV/0!</v>
      </c>
      <c r="T785" s="38" t="e">
        <f>S785*AR785</f>
        <v>#DIV/0!</v>
      </c>
      <c r="U785" s="38">
        <f t="shared" si="89"/>
        <v>0</v>
      </c>
      <c r="V785" s="38">
        <v>0</v>
      </c>
      <c r="W785" s="38">
        <v>0</v>
      </c>
      <c r="X785" s="38">
        <v>0</v>
      </c>
      <c r="Y785" s="38"/>
      <c r="Z785" s="38" t="e">
        <f t="shared" si="92"/>
        <v>#DIV/0!</v>
      </c>
      <c r="AA785" s="38"/>
      <c r="AB785" s="38" t="e">
        <f t="shared" si="93"/>
        <v>#DIV/0!</v>
      </c>
      <c r="AC785" s="38" t="e">
        <f>U785/AR785</f>
        <v>#DIV/0!</v>
      </c>
      <c r="AD785" s="38" t="e">
        <f t="shared" si="90"/>
        <v>#DIV/0!</v>
      </c>
      <c r="AE785" s="33"/>
      <c r="AF785" s="33"/>
      <c r="AG785" s="33"/>
      <c r="AH785" s="33"/>
      <c r="AI785" s="33"/>
      <c r="AJ785" s="42"/>
      <c r="AK785" s="37"/>
      <c r="AL785" s="37"/>
      <c r="AM785" s="37"/>
      <c r="AN785" s="37"/>
      <c r="AO785" s="43"/>
      <c r="AP785" s="35"/>
      <c r="AQ785" s="35"/>
      <c r="AR785" s="44"/>
      <c r="AS785" s="37"/>
    </row>
    <row r="786" spans="1:45" ht="15.75" customHeight="1" x14ac:dyDescent="0.25">
      <c r="A786" s="46"/>
      <c r="B786" s="33"/>
      <c r="C786" s="35"/>
      <c r="D786" s="36"/>
      <c r="E786" s="37"/>
      <c r="F786" s="33"/>
      <c r="G786" s="35"/>
      <c r="H786" s="37"/>
      <c r="I786" s="37"/>
      <c r="J786" s="38">
        <v>0</v>
      </c>
      <c r="K786" s="40" t="e">
        <f>((J786-M786)/J786)*100</f>
        <v>#DIV/0!</v>
      </c>
      <c r="L786" s="41">
        <f>J786-M786</f>
        <v>0</v>
      </c>
      <c r="M786" s="38"/>
      <c r="N786" s="41">
        <f>J786-O786</f>
        <v>0</v>
      </c>
      <c r="O786" s="38">
        <v>0</v>
      </c>
      <c r="P786" s="27">
        <f t="shared" si="91"/>
        <v>0</v>
      </c>
      <c r="Q786" s="27">
        <f t="shared" si="91"/>
        <v>0</v>
      </c>
      <c r="R786" s="27" t="e">
        <f>Q786/U786</f>
        <v>#DIV/0!</v>
      </c>
      <c r="S786" s="38" t="e">
        <f>Q786/U786</f>
        <v>#DIV/0!</v>
      </c>
      <c r="T786" s="38" t="e">
        <f>S786*AR786</f>
        <v>#DIV/0!</v>
      </c>
      <c r="U786" s="38">
        <f t="shared" si="89"/>
        <v>0</v>
      </c>
      <c r="V786" s="38">
        <v>0</v>
      </c>
      <c r="W786" s="38">
        <v>0</v>
      </c>
      <c r="X786" s="38">
        <v>0</v>
      </c>
      <c r="Y786" s="38"/>
      <c r="Z786" s="38" t="e">
        <f t="shared" si="92"/>
        <v>#DIV/0!</v>
      </c>
      <c r="AA786" s="38"/>
      <c r="AB786" s="38" t="e">
        <f t="shared" si="93"/>
        <v>#DIV/0!</v>
      </c>
      <c r="AC786" s="38" t="e">
        <f>U786/AR786</f>
        <v>#DIV/0!</v>
      </c>
      <c r="AD786" s="38" t="e">
        <f t="shared" si="90"/>
        <v>#DIV/0!</v>
      </c>
      <c r="AE786" s="33"/>
      <c r="AF786" s="33"/>
      <c r="AG786" s="33"/>
      <c r="AH786" s="33"/>
      <c r="AI786" s="33"/>
      <c r="AJ786" s="42"/>
      <c r="AK786" s="37"/>
      <c r="AL786" s="37"/>
      <c r="AM786" s="37"/>
      <c r="AN786" s="37"/>
      <c r="AO786" s="43"/>
      <c r="AP786" s="35"/>
      <c r="AQ786" s="35"/>
      <c r="AR786" s="44"/>
      <c r="AS786" s="37"/>
    </row>
    <row r="787" spans="1:45" ht="15.75" customHeight="1" x14ac:dyDescent="0.25">
      <c r="A787" s="46"/>
      <c r="B787" s="33"/>
      <c r="C787" s="35"/>
      <c r="D787" s="36"/>
      <c r="E787" s="37"/>
      <c r="F787" s="33"/>
      <c r="G787" s="35"/>
      <c r="H787" s="37"/>
      <c r="I787" s="37"/>
      <c r="J787" s="38">
        <v>0</v>
      </c>
      <c r="K787" s="40" t="e">
        <f>((J787-M787)/J787)*100</f>
        <v>#DIV/0!</v>
      </c>
      <c r="L787" s="41">
        <f>J787-M787</f>
        <v>0</v>
      </c>
      <c r="M787" s="38"/>
      <c r="N787" s="41">
        <f>J787-O787</f>
        <v>0</v>
      </c>
      <c r="O787" s="38">
        <v>0</v>
      </c>
      <c r="P787" s="27">
        <f t="shared" si="91"/>
        <v>0</v>
      </c>
      <c r="Q787" s="27">
        <f t="shared" si="91"/>
        <v>0</v>
      </c>
      <c r="R787" s="27" t="e">
        <f>Q787/U787</f>
        <v>#DIV/0!</v>
      </c>
      <c r="S787" s="38" t="e">
        <f>Q787/U787</f>
        <v>#DIV/0!</v>
      </c>
      <c r="T787" s="38" t="e">
        <f>S787*AR787</f>
        <v>#DIV/0!</v>
      </c>
      <c r="U787" s="38">
        <f t="shared" si="89"/>
        <v>0</v>
      </c>
      <c r="V787" s="38">
        <v>0</v>
      </c>
      <c r="W787" s="38">
        <v>0</v>
      </c>
      <c r="X787" s="38">
        <v>0</v>
      </c>
      <c r="Y787" s="38"/>
      <c r="Z787" s="38" t="e">
        <f t="shared" si="92"/>
        <v>#DIV/0!</v>
      </c>
      <c r="AA787" s="38"/>
      <c r="AB787" s="38" t="e">
        <f t="shared" si="93"/>
        <v>#DIV/0!</v>
      </c>
      <c r="AC787" s="38" t="e">
        <f>U787/AR787</f>
        <v>#DIV/0!</v>
      </c>
      <c r="AD787" s="38" t="e">
        <f t="shared" si="90"/>
        <v>#DIV/0!</v>
      </c>
      <c r="AE787" s="33"/>
      <c r="AF787" s="33"/>
      <c r="AG787" s="33"/>
      <c r="AH787" s="33"/>
      <c r="AI787" s="33"/>
      <c r="AJ787" s="42"/>
      <c r="AK787" s="37"/>
      <c r="AL787" s="37"/>
      <c r="AM787" s="37"/>
      <c r="AN787" s="37"/>
      <c r="AO787" s="43"/>
      <c r="AP787" s="35"/>
      <c r="AQ787" s="35"/>
      <c r="AR787" s="44"/>
      <c r="AS787" s="37"/>
    </row>
    <row r="788" spans="1:45" ht="15.75" customHeight="1" x14ac:dyDescent="0.25">
      <c r="A788" s="46"/>
      <c r="B788" s="33"/>
      <c r="C788" s="35"/>
      <c r="D788" s="36"/>
      <c r="E788" s="37"/>
      <c r="F788" s="33"/>
      <c r="G788" s="35"/>
      <c r="H788" s="37"/>
      <c r="I788" s="37"/>
      <c r="J788" s="38">
        <v>0</v>
      </c>
      <c r="K788" s="40" t="e">
        <f>((J788-M788)/J788)*100</f>
        <v>#DIV/0!</v>
      </c>
      <c r="L788" s="41">
        <f>J788-M788</f>
        <v>0</v>
      </c>
      <c r="M788" s="38"/>
      <c r="N788" s="41">
        <f>J788-O788</f>
        <v>0</v>
      </c>
      <c r="O788" s="38">
        <v>0</v>
      </c>
      <c r="P788" s="27">
        <f t="shared" si="91"/>
        <v>0</v>
      </c>
      <c r="Q788" s="27">
        <f t="shared" si="91"/>
        <v>0</v>
      </c>
      <c r="R788" s="27" t="e">
        <f>Q788/U788</f>
        <v>#DIV/0!</v>
      </c>
      <c r="S788" s="38" t="e">
        <f>Q788/U788</f>
        <v>#DIV/0!</v>
      </c>
      <c r="T788" s="38" t="e">
        <f>S788*AR788</f>
        <v>#DIV/0!</v>
      </c>
      <c r="U788" s="38">
        <f t="shared" si="89"/>
        <v>0</v>
      </c>
      <c r="V788" s="38">
        <v>0</v>
      </c>
      <c r="W788" s="38">
        <v>0</v>
      </c>
      <c r="X788" s="38">
        <v>0</v>
      </c>
      <c r="Y788" s="38"/>
      <c r="Z788" s="38" t="e">
        <f t="shared" si="92"/>
        <v>#DIV/0!</v>
      </c>
      <c r="AA788" s="38"/>
      <c r="AB788" s="38" t="e">
        <f t="shared" si="93"/>
        <v>#DIV/0!</v>
      </c>
      <c r="AC788" s="38" t="e">
        <f>U788/AR788</f>
        <v>#DIV/0!</v>
      </c>
      <c r="AD788" s="38" t="e">
        <f t="shared" si="90"/>
        <v>#DIV/0!</v>
      </c>
      <c r="AE788" s="33"/>
      <c r="AF788" s="33"/>
      <c r="AG788" s="33"/>
      <c r="AH788" s="33"/>
      <c r="AI788" s="33"/>
      <c r="AJ788" s="42"/>
      <c r="AK788" s="37"/>
      <c r="AL788" s="37"/>
      <c r="AM788" s="37"/>
      <c r="AN788" s="37"/>
      <c r="AO788" s="43"/>
      <c r="AP788" s="35"/>
      <c r="AQ788" s="35"/>
      <c r="AR788" s="44"/>
      <c r="AS788" s="37"/>
    </row>
    <row r="789" spans="1:45" ht="15.75" customHeight="1" x14ac:dyDescent="0.25">
      <c r="A789" s="46"/>
      <c r="B789" s="33"/>
      <c r="C789" s="35"/>
      <c r="D789" s="36"/>
      <c r="E789" s="37"/>
      <c r="F789" s="33"/>
      <c r="G789" s="35"/>
      <c r="H789" s="37"/>
      <c r="I789" s="37"/>
      <c r="J789" s="38">
        <v>0</v>
      </c>
      <c r="K789" s="40" t="e">
        <f>((J789-M789)/J789)*100</f>
        <v>#DIV/0!</v>
      </c>
      <c r="L789" s="41">
        <f>J789-M789</f>
        <v>0</v>
      </c>
      <c r="M789" s="38"/>
      <c r="N789" s="41">
        <f>J789-O789</f>
        <v>0</v>
      </c>
      <c r="O789" s="38">
        <v>0</v>
      </c>
      <c r="P789" s="27">
        <f t="shared" si="91"/>
        <v>0</v>
      </c>
      <c r="Q789" s="27">
        <f t="shared" si="91"/>
        <v>0</v>
      </c>
      <c r="R789" s="27" t="e">
        <f>Q789/U789</f>
        <v>#DIV/0!</v>
      </c>
      <c r="S789" s="38" t="e">
        <f>Q789/U789</f>
        <v>#DIV/0!</v>
      </c>
      <c r="T789" s="38" t="e">
        <f>S789*AR789</f>
        <v>#DIV/0!</v>
      </c>
      <c r="U789" s="38">
        <f t="shared" si="89"/>
        <v>0</v>
      </c>
      <c r="V789" s="38">
        <v>0</v>
      </c>
      <c r="W789" s="38">
        <v>0</v>
      </c>
      <c r="X789" s="38">
        <v>0</v>
      </c>
      <c r="Y789" s="38"/>
      <c r="Z789" s="38" t="e">
        <f t="shared" si="92"/>
        <v>#DIV/0!</v>
      </c>
      <c r="AA789" s="38"/>
      <c r="AB789" s="38" t="e">
        <f t="shared" si="93"/>
        <v>#DIV/0!</v>
      </c>
      <c r="AC789" s="38" t="e">
        <f>U789/AR789</f>
        <v>#DIV/0!</v>
      </c>
      <c r="AD789" s="38" t="e">
        <f t="shared" si="90"/>
        <v>#DIV/0!</v>
      </c>
      <c r="AE789" s="33"/>
      <c r="AF789" s="33"/>
      <c r="AG789" s="33"/>
      <c r="AH789" s="33"/>
      <c r="AI789" s="33"/>
      <c r="AJ789" s="42"/>
      <c r="AK789" s="37"/>
      <c r="AL789" s="37"/>
      <c r="AM789" s="37"/>
      <c r="AN789" s="37"/>
      <c r="AO789" s="43"/>
      <c r="AP789" s="35"/>
      <c r="AQ789" s="35"/>
      <c r="AR789" s="44"/>
      <c r="AS789" s="37"/>
    </row>
    <row r="790" spans="1:45" ht="15.75" customHeight="1" x14ac:dyDescent="0.25">
      <c r="A790" s="46"/>
      <c r="B790" s="33"/>
      <c r="C790" s="35"/>
      <c r="D790" s="36"/>
      <c r="E790" s="37"/>
      <c r="F790" s="33"/>
      <c r="G790" s="35"/>
      <c r="H790" s="37"/>
      <c r="I790" s="37"/>
      <c r="J790" s="38">
        <v>0</v>
      </c>
      <c r="K790" s="40" t="e">
        <f>((J790-M790)/J790)*100</f>
        <v>#DIV/0!</v>
      </c>
      <c r="L790" s="41">
        <f>J790-M790</f>
        <v>0</v>
      </c>
      <c r="M790" s="38"/>
      <c r="N790" s="41">
        <f>J790-O790</f>
        <v>0</v>
      </c>
      <c r="O790" s="38">
        <v>0</v>
      </c>
      <c r="P790" s="27">
        <f t="shared" si="91"/>
        <v>0</v>
      </c>
      <c r="Q790" s="27">
        <f t="shared" si="91"/>
        <v>0</v>
      </c>
      <c r="R790" s="27" t="e">
        <f>Q790/U790</f>
        <v>#DIV/0!</v>
      </c>
      <c r="S790" s="38" t="e">
        <f>Q790/U790</f>
        <v>#DIV/0!</v>
      </c>
      <c r="T790" s="38" t="e">
        <f>S790*AR790</f>
        <v>#DIV/0!</v>
      </c>
      <c r="U790" s="38">
        <f t="shared" si="89"/>
        <v>0</v>
      </c>
      <c r="V790" s="38">
        <v>0</v>
      </c>
      <c r="W790" s="38">
        <v>0</v>
      </c>
      <c r="X790" s="38">
        <v>0</v>
      </c>
      <c r="Y790" s="38"/>
      <c r="Z790" s="38" t="e">
        <f t="shared" si="92"/>
        <v>#DIV/0!</v>
      </c>
      <c r="AA790" s="38"/>
      <c r="AB790" s="38" t="e">
        <f t="shared" si="93"/>
        <v>#DIV/0!</v>
      </c>
      <c r="AC790" s="38" t="e">
        <f>U790/AR790</f>
        <v>#DIV/0!</v>
      </c>
      <c r="AD790" s="38" t="e">
        <f t="shared" si="90"/>
        <v>#DIV/0!</v>
      </c>
      <c r="AE790" s="33"/>
      <c r="AF790" s="33"/>
      <c r="AG790" s="33"/>
      <c r="AH790" s="33"/>
      <c r="AI790" s="33"/>
      <c r="AJ790" s="42"/>
      <c r="AK790" s="37"/>
      <c r="AL790" s="37"/>
      <c r="AM790" s="37"/>
      <c r="AN790" s="37"/>
      <c r="AO790" s="43"/>
      <c r="AP790" s="35"/>
      <c r="AQ790" s="35"/>
      <c r="AR790" s="44"/>
      <c r="AS790" s="37"/>
    </row>
    <row r="791" spans="1:45" ht="15.75" customHeight="1" x14ac:dyDescent="0.25">
      <c r="A791" s="46"/>
      <c r="B791" s="33"/>
      <c r="C791" s="35"/>
      <c r="D791" s="36"/>
      <c r="E791" s="37"/>
      <c r="F791" s="33"/>
      <c r="G791" s="35"/>
      <c r="H791" s="37"/>
      <c r="I791" s="37"/>
      <c r="J791" s="38">
        <v>0</v>
      </c>
      <c r="K791" s="40" t="e">
        <f>((J791-M791)/J791)*100</f>
        <v>#DIV/0!</v>
      </c>
      <c r="L791" s="41">
        <f>J791-M791</f>
        <v>0</v>
      </c>
      <c r="M791" s="38"/>
      <c r="N791" s="41">
        <f>J791-O791</f>
        <v>0</v>
      </c>
      <c r="O791" s="38">
        <v>0</v>
      </c>
      <c r="P791" s="27">
        <f t="shared" si="91"/>
        <v>0</v>
      </c>
      <c r="Q791" s="27">
        <f t="shared" si="91"/>
        <v>0</v>
      </c>
      <c r="R791" s="27" t="e">
        <f>Q791/U791</f>
        <v>#DIV/0!</v>
      </c>
      <c r="S791" s="38" t="e">
        <f>Q791/U791</f>
        <v>#DIV/0!</v>
      </c>
      <c r="T791" s="38" t="e">
        <f>S791*AR791</f>
        <v>#DIV/0!</v>
      </c>
      <c r="U791" s="38">
        <f t="shared" si="89"/>
        <v>0</v>
      </c>
      <c r="V791" s="38">
        <v>0</v>
      </c>
      <c r="W791" s="38">
        <v>0</v>
      </c>
      <c r="X791" s="38">
        <v>0</v>
      </c>
      <c r="Y791" s="38"/>
      <c r="Z791" s="38" t="e">
        <f t="shared" si="92"/>
        <v>#DIV/0!</v>
      </c>
      <c r="AA791" s="38"/>
      <c r="AB791" s="38" t="e">
        <f t="shared" si="93"/>
        <v>#DIV/0!</v>
      </c>
      <c r="AC791" s="38" t="e">
        <f>U791/AR791</f>
        <v>#DIV/0!</v>
      </c>
      <c r="AD791" s="38" t="e">
        <f t="shared" si="90"/>
        <v>#DIV/0!</v>
      </c>
      <c r="AE791" s="33"/>
      <c r="AF791" s="33"/>
      <c r="AG791" s="33"/>
      <c r="AH791" s="33"/>
      <c r="AI791" s="33"/>
      <c r="AJ791" s="42"/>
      <c r="AK791" s="37"/>
      <c r="AL791" s="37"/>
      <c r="AM791" s="37"/>
      <c r="AN791" s="37"/>
      <c r="AO791" s="43"/>
      <c r="AP791" s="35"/>
      <c r="AQ791" s="35"/>
      <c r="AR791" s="44"/>
      <c r="AS791" s="37"/>
    </row>
    <row r="792" spans="1:45" ht="15.75" customHeight="1" x14ac:dyDescent="0.25">
      <c r="A792" s="46"/>
      <c r="B792" s="33"/>
      <c r="C792" s="35"/>
      <c r="D792" s="36"/>
      <c r="E792" s="37"/>
      <c r="F792" s="33"/>
      <c r="G792" s="35"/>
      <c r="H792" s="37"/>
      <c r="I792" s="37"/>
      <c r="J792" s="38">
        <v>0</v>
      </c>
      <c r="K792" s="40" t="e">
        <f>((J792-M792)/J792)*100</f>
        <v>#DIV/0!</v>
      </c>
      <c r="L792" s="41">
        <f>J792-M792</f>
        <v>0</v>
      </c>
      <c r="M792" s="38"/>
      <c r="N792" s="41">
        <f>J792-O792</f>
        <v>0</v>
      </c>
      <c r="O792" s="38">
        <v>0</v>
      </c>
      <c r="P792" s="27">
        <f t="shared" si="91"/>
        <v>0</v>
      </c>
      <c r="Q792" s="27">
        <f t="shared" si="91"/>
        <v>0</v>
      </c>
      <c r="R792" s="27" t="e">
        <f>Q792/U792</f>
        <v>#DIV/0!</v>
      </c>
      <c r="S792" s="38" t="e">
        <f>Q792/U792</f>
        <v>#DIV/0!</v>
      </c>
      <c r="T792" s="38" t="e">
        <f>S792*AR792</f>
        <v>#DIV/0!</v>
      </c>
      <c r="U792" s="38">
        <f t="shared" si="89"/>
        <v>0</v>
      </c>
      <c r="V792" s="38">
        <v>0</v>
      </c>
      <c r="W792" s="38">
        <v>0</v>
      </c>
      <c r="X792" s="38">
        <v>0</v>
      </c>
      <c r="Y792" s="38"/>
      <c r="Z792" s="38" t="e">
        <f t="shared" si="92"/>
        <v>#DIV/0!</v>
      </c>
      <c r="AA792" s="38"/>
      <c r="AB792" s="38" t="e">
        <f t="shared" si="93"/>
        <v>#DIV/0!</v>
      </c>
      <c r="AC792" s="38" t="e">
        <f>U792/AR792</f>
        <v>#DIV/0!</v>
      </c>
      <c r="AD792" s="38" t="e">
        <f t="shared" si="90"/>
        <v>#DIV/0!</v>
      </c>
      <c r="AE792" s="33"/>
      <c r="AF792" s="33"/>
      <c r="AG792" s="33"/>
      <c r="AH792" s="33"/>
      <c r="AI792" s="33"/>
      <c r="AJ792" s="42"/>
      <c r="AK792" s="37"/>
      <c r="AL792" s="37"/>
      <c r="AM792" s="37"/>
      <c r="AN792" s="37"/>
      <c r="AO792" s="43"/>
      <c r="AP792" s="35"/>
      <c r="AQ792" s="35"/>
      <c r="AR792" s="44"/>
      <c r="AS792" s="37"/>
    </row>
    <row r="793" spans="1:45" ht="15.75" customHeight="1" x14ac:dyDescent="0.25">
      <c r="A793" s="46"/>
      <c r="B793" s="33"/>
      <c r="C793" s="35"/>
      <c r="D793" s="36"/>
      <c r="E793" s="37"/>
      <c r="F793" s="33"/>
      <c r="G793" s="35"/>
      <c r="H793" s="37"/>
      <c r="I793" s="37"/>
      <c r="J793" s="38">
        <v>0</v>
      </c>
      <c r="K793" s="40" t="e">
        <f>((J793-M793)/J793)*100</f>
        <v>#DIV/0!</v>
      </c>
      <c r="L793" s="41">
        <f>J793-M793</f>
        <v>0</v>
      </c>
      <c r="M793" s="38"/>
      <c r="N793" s="41">
        <f>J793-O793</f>
        <v>0</v>
      </c>
      <c r="O793" s="38">
        <v>0</v>
      </c>
      <c r="P793" s="27">
        <f t="shared" si="91"/>
        <v>0</v>
      </c>
      <c r="Q793" s="27">
        <f t="shared" si="91"/>
        <v>0</v>
      </c>
      <c r="R793" s="27" t="e">
        <f>Q793/U793</f>
        <v>#DIV/0!</v>
      </c>
      <c r="S793" s="38" t="e">
        <f>Q793/U793</f>
        <v>#DIV/0!</v>
      </c>
      <c r="T793" s="38" t="e">
        <f>S793*AR793</f>
        <v>#DIV/0!</v>
      </c>
      <c r="U793" s="38">
        <f t="shared" si="89"/>
        <v>0</v>
      </c>
      <c r="V793" s="38">
        <v>0</v>
      </c>
      <c r="W793" s="38">
        <v>0</v>
      </c>
      <c r="X793" s="38">
        <v>0</v>
      </c>
      <c r="Y793" s="38"/>
      <c r="Z793" s="38" t="e">
        <f t="shared" si="92"/>
        <v>#DIV/0!</v>
      </c>
      <c r="AA793" s="38"/>
      <c r="AB793" s="38" t="e">
        <f t="shared" si="93"/>
        <v>#DIV/0!</v>
      </c>
      <c r="AC793" s="38" t="e">
        <f>U793/AR793</f>
        <v>#DIV/0!</v>
      </c>
      <c r="AD793" s="38" t="e">
        <f t="shared" si="90"/>
        <v>#DIV/0!</v>
      </c>
      <c r="AE793" s="33"/>
      <c r="AF793" s="33"/>
      <c r="AG793" s="33"/>
      <c r="AH793" s="33"/>
      <c r="AI793" s="33"/>
      <c r="AJ793" s="42"/>
      <c r="AK793" s="37"/>
      <c r="AL793" s="37"/>
      <c r="AM793" s="37"/>
      <c r="AN793" s="37"/>
      <c r="AO793" s="43"/>
      <c r="AP793" s="35"/>
      <c r="AQ793" s="35"/>
      <c r="AR793" s="44"/>
      <c r="AS793" s="37"/>
    </row>
    <row r="794" spans="1:45" ht="15.75" customHeight="1" x14ac:dyDescent="0.25">
      <c r="A794" s="46"/>
      <c r="B794" s="33"/>
      <c r="C794" s="35"/>
      <c r="D794" s="36"/>
      <c r="E794" s="37"/>
      <c r="F794" s="33"/>
      <c r="G794" s="35"/>
      <c r="H794" s="37"/>
      <c r="I794" s="37"/>
      <c r="J794" s="38">
        <v>0</v>
      </c>
      <c r="K794" s="40" t="e">
        <f>((J794-M794)/J794)*100</f>
        <v>#DIV/0!</v>
      </c>
      <c r="L794" s="41">
        <f>J794-M794</f>
        <v>0</v>
      </c>
      <c r="M794" s="38"/>
      <c r="N794" s="41">
        <f>J794-O794</f>
        <v>0</v>
      </c>
      <c r="O794" s="38">
        <v>0</v>
      </c>
      <c r="P794" s="27">
        <f t="shared" si="91"/>
        <v>0</v>
      </c>
      <c r="Q794" s="27">
        <f t="shared" si="91"/>
        <v>0</v>
      </c>
      <c r="R794" s="27" t="e">
        <f>Q794/U794</f>
        <v>#DIV/0!</v>
      </c>
      <c r="S794" s="38" t="e">
        <f>Q794/U794</f>
        <v>#DIV/0!</v>
      </c>
      <c r="T794" s="38" t="e">
        <f>S794*AR794</f>
        <v>#DIV/0!</v>
      </c>
      <c r="U794" s="38">
        <f t="shared" ref="U794:U803" si="94">V794+W794+X794</f>
        <v>0</v>
      </c>
      <c r="V794" s="38">
        <v>0</v>
      </c>
      <c r="W794" s="38">
        <v>0</v>
      </c>
      <c r="X794" s="38">
        <v>0</v>
      </c>
      <c r="Y794" s="38"/>
      <c r="Z794" s="38" t="e">
        <f t="shared" si="92"/>
        <v>#DIV/0!</v>
      </c>
      <c r="AA794" s="38"/>
      <c r="AB794" s="38" t="e">
        <f t="shared" si="93"/>
        <v>#DIV/0!</v>
      </c>
      <c r="AC794" s="38" t="e">
        <f>U794/AR794</f>
        <v>#DIV/0!</v>
      </c>
      <c r="AD794" s="38" t="e">
        <f t="shared" si="90"/>
        <v>#DIV/0!</v>
      </c>
      <c r="AE794" s="33"/>
      <c r="AF794" s="33"/>
      <c r="AG794" s="33"/>
      <c r="AH794" s="33"/>
      <c r="AI794" s="33"/>
      <c r="AJ794" s="42"/>
      <c r="AK794" s="37"/>
      <c r="AL794" s="37"/>
      <c r="AM794" s="37"/>
      <c r="AN794" s="37"/>
      <c r="AO794" s="43"/>
      <c r="AP794" s="35"/>
      <c r="AQ794" s="35"/>
      <c r="AR794" s="44"/>
      <c r="AS794" s="37"/>
    </row>
    <row r="795" spans="1:45" ht="15.75" customHeight="1" x14ac:dyDescent="0.25">
      <c r="A795" s="46"/>
      <c r="B795" s="33"/>
      <c r="C795" s="35"/>
      <c r="D795" s="36"/>
      <c r="E795" s="37"/>
      <c r="F795" s="33"/>
      <c r="G795" s="35"/>
      <c r="H795" s="37"/>
      <c r="I795" s="37"/>
      <c r="J795" s="38">
        <v>0</v>
      </c>
      <c r="K795" s="40" t="e">
        <f>((J795-M795)/J795)*100</f>
        <v>#DIV/0!</v>
      </c>
      <c r="L795" s="41">
        <f>J795-M795</f>
        <v>0</v>
      </c>
      <c r="M795" s="38"/>
      <c r="N795" s="41">
        <f>J795-O795</f>
        <v>0</v>
      </c>
      <c r="O795" s="38">
        <v>0</v>
      </c>
      <c r="P795" s="27">
        <f t="shared" si="91"/>
        <v>0</v>
      </c>
      <c r="Q795" s="27">
        <f t="shared" si="91"/>
        <v>0</v>
      </c>
      <c r="R795" s="27" t="e">
        <f>Q795/U795</f>
        <v>#DIV/0!</v>
      </c>
      <c r="S795" s="38" t="e">
        <f>Q795/U795</f>
        <v>#DIV/0!</v>
      </c>
      <c r="T795" s="38" t="e">
        <f>S795*AR795</f>
        <v>#DIV/0!</v>
      </c>
      <c r="U795" s="38">
        <f t="shared" si="94"/>
        <v>0</v>
      </c>
      <c r="V795" s="38">
        <v>0</v>
      </c>
      <c r="W795" s="38">
        <v>0</v>
      </c>
      <c r="X795" s="38">
        <v>0</v>
      </c>
      <c r="Y795" s="38"/>
      <c r="Z795" s="38" t="e">
        <f t="shared" si="92"/>
        <v>#DIV/0!</v>
      </c>
      <c r="AA795" s="38"/>
      <c r="AB795" s="38" t="e">
        <f t="shared" si="93"/>
        <v>#DIV/0!</v>
      </c>
      <c r="AC795" s="38" t="e">
        <f>U795/AR795</f>
        <v>#DIV/0!</v>
      </c>
      <c r="AD795" s="38" t="e">
        <f t="shared" si="90"/>
        <v>#DIV/0!</v>
      </c>
      <c r="AE795" s="33"/>
      <c r="AF795" s="33"/>
      <c r="AG795" s="33"/>
      <c r="AH795" s="33"/>
      <c r="AI795" s="33"/>
      <c r="AJ795" s="42"/>
      <c r="AK795" s="37"/>
      <c r="AL795" s="37"/>
      <c r="AM795" s="37"/>
      <c r="AN795" s="37"/>
      <c r="AO795" s="43"/>
      <c r="AP795" s="35"/>
      <c r="AQ795" s="35"/>
      <c r="AR795" s="44"/>
      <c r="AS795" s="37"/>
    </row>
    <row r="796" spans="1:45" ht="15.75" customHeight="1" x14ac:dyDescent="0.25">
      <c r="A796" s="46"/>
      <c r="B796" s="33"/>
      <c r="C796" s="35"/>
      <c r="D796" s="36"/>
      <c r="E796" s="37"/>
      <c r="F796" s="33"/>
      <c r="G796" s="35"/>
      <c r="H796" s="37"/>
      <c r="I796" s="37"/>
      <c r="J796" s="38">
        <v>0</v>
      </c>
      <c r="K796" s="40" t="e">
        <f>((J796-M796)/J796)*100</f>
        <v>#DIV/0!</v>
      </c>
      <c r="L796" s="41">
        <f>J796-M796</f>
        <v>0</v>
      </c>
      <c r="M796" s="38"/>
      <c r="N796" s="41">
        <f>J796-O796</f>
        <v>0</v>
      </c>
      <c r="O796" s="38">
        <v>0</v>
      </c>
      <c r="P796" s="27">
        <f t="shared" si="91"/>
        <v>0</v>
      </c>
      <c r="Q796" s="27">
        <f t="shared" si="91"/>
        <v>0</v>
      </c>
      <c r="R796" s="27" t="e">
        <f>Q796/U796</f>
        <v>#DIV/0!</v>
      </c>
      <c r="S796" s="38" t="e">
        <f>Q796/U796</f>
        <v>#DIV/0!</v>
      </c>
      <c r="T796" s="38" t="e">
        <f>S796*AR796</f>
        <v>#DIV/0!</v>
      </c>
      <c r="U796" s="38">
        <f t="shared" si="94"/>
        <v>0</v>
      </c>
      <c r="V796" s="38">
        <v>0</v>
      </c>
      <c r="W796" s="38">
        <v>0</v>
      </c>
      <c r="X796" s="38">
        <v>0</v>
      </c>
      <c r="Y796" s="38"/>
      <c r="Z796" s="38" t="e">
        <f t="shared" si="92"/>
        <v>#DIV/0!</v>
      </c>
      <c r="AA796" s="38"/>
      <c r="AB796" s="38" t="e">
        <f t="shared" si="93"/>
        <v>#DIV/0!</v>
      </c>
      <c r="AC796" s="38" t="e">
        <f>U796/AR796</f>
        <v>#DIV/0!</v>
      </c>
      <c r="AD796" s="38" t="e">
        <f t="shared" si="90"/>
        <v>#DIV/0!</v>
      </c>
      <c r="AE796" s="33"/>
      <c r="AF796" s="33"/>
      <c r="AG796" s="33"/>
      <c r="AH796" s="33"/>
      <c r="AI796" s="33"/>
      <c r="AJ796" s="42"/>
      <c r="AK796" s="37"/>
      <c r="AL796" s="37"/>
      <c r="AM796" s="37"/>
      <c r="AN796" s="37"/>
      <c r="AO796" s="43"/>
      <c r="AP796" s="35"/>
      <c r="AQ796" s="35"/>
      <c r="AR796" s="44"/>
      <c r="AS796" s="37"/>
    </row>
    <row r="797" spans="1:45" ht="15.75" customHeight="1" x14ac:dyDescent="0.25">
      <c r="A797" s="46"/>
      <c r="B797" s="33"/>
      <c r="C797" s="35"/>
      <c r="D797" s="36"/>
      <c r="E797" s="37"/>
      <c r="F797" s="33"/>
      <c r="G797" s="35"/>
      <c r="H797" s="37"/>
      <c r="I797" s="37"/>
      <c r="J797" s="38">
        <v>0</v>
      </c>
      <c r="K797" s="40" t="e">
        <f>((J797-M797)/J797)*100</f>
        <v>#DIV/0!</v>
      </c>
      <c r="L797" s="41">
        <f>J797-M797</f>
        <v>0</v>
      </c>
      <c r="M797" s="38"/>
      <c r="N797" s="41">
        <f>J797-O797</f>
        <v>0</v>
      </c>
      <c r="O797" s="38">
        <v>0</v>
      </c>
      <c r="P797" s="27">
        <f t="shared" si="91"/>
        <v>0</v>
      </c>
      <c r="Q797" s="27">
        <f t="shared" si="91"/>
        <v>0</v>
      </c>
      <c r="R797" s="27" t="e">
        <f>Q797/U797</f>
        <v>#DIV/0!</v>
      </c>
      <c r="S797" s="38" t="e">
        <f>Q797/U797</f>
        <v>#DIV/0!</v>
      </c>
      <c r="T797" s="38" t="e">
        <f>S797*AR797</f>
        <v>#DIV/0!</v>
      </c>
      <c r="U797" s="38">
        <f t="shared" si="94"/>
        <v>0</v>
      </c>
      <c r="V797" s="38">
        <v>0</v>
      </c>
      <c r="W797" s="38">
        <v>0</v>
      </c>
      <c r="X797" s="38">
        <v>0</v>
      </c>
      <c r="Y797" s="38"/>
      <c r="Z797" s="38" t="e">
        <f t="shared" si="92"/>
        <v>#DIV/0!</v>
      </c>
      <c r="AA797" s="38"/>
      <c r="AB797" s="38" t="e">
        <f t="shared" si="93"/>
        <v>#DIV/0!</v>
      </c>
      <c r="AC797" s="38" t="e">
        <f>U797/AR797</f>
        <v>#DIV/0!</v>
      </c>
      <c r="AD797" s="38" t="e">
        <f t="shared" si="90"/>
        <v>#DIV/0!</v>
      </c>
      <c r="AE797" s="33"/>
      <c r="AF797" s="33"/>
      <c r="AG797" s="33"/>
      <c r="AH797" s="33"/>
      <c r="AI797" s="33"/>
      <c r="AJ797" s="42"/>
      <c r="AK797" s="37"/>
      <c r="AL797" s="37"/>
      <c r="AM797" s="37"/>
      <c r="AN797" s="37"/>
      <c r="AO797" s="43"/>
      <c r="AP797" s="35"/>
      <c r="AQ797" s="35"/>
      <c r="AR797" s="44"/>
      <c r="AS797" s="37"/>
    </row>
    <row r="798" spans="1:45" ht="15.75" customHeight="1" x14ac:dyDescent="0.25">
      <c r="A798" s="46"/>
      <c r="B798" s="33"/>
      <c r="C798" s="35"/>
      <c r="D798" s="36"/>
      <c r="E798" s="37"/>
      <c r="F798" s="33"/>
      <c r="G798" s="35"/>
      <c r="H798" s="37"/>
      <c r="I798" s="37"/>
      <c r="J798" s="38">
        <v>0</v>
      </c>
      <c r="K798" s="40" t="e">
        <f>((J798-M798)/J798)*100</f>
        <v>#DIV/0!</v>
      </c>
      <c r="L798" s="41">
        <f>J798-M798</f>
        <v>0</v>
      </c>
      <c r="M798" s="38"/>
      <c r="N798" s="41">
        <f>J798-O798</f>
        <v>0</v>
      </c>
      <c r="O798" s="38">
        <v>0</v>
      </c>
      <c r="P798" s="27">
        <f t="shared" si="91"/>
        <v>0</v>
      </c>
      <c r="Q798" s="27">
        <f t="shared" si="91"/>
        <v>0</v>
      </c>
      <c r="R798" s="27" t="e">
        <f>Q798/U798</f>
        <v>#DIV/0!</v>
      </c>
      <c r="S798" s="38" t="e">
        <f>Q798/U798</f>
        <v>#DIV/0!</v>
      </c>
      <c r="T798" s="38" t="e">
        <f>S798*AR798</f>
        <v>#DIV/0!</v>
      </c>
      <c r="U798" s="38">
        <f t="shared" si="94"/>
        <v>0</v>
      </c>
      <c r="V798" s="38">
        <v>0</v>
      </c>
      <c r="W798" s="38">
        <v>0</v>
      </c>
      <c r="X798" s="38">
        <v>0</v>
      </c>
      <c r="Y798" s="38"/>
      <c r="Z798" s="38" t="e">
        <f t="shared" si="92"/>
        <v>#DIV/0!</v>
      </c>
      <c r="AA798" s="38"/>
      <c r="AB798" s="38" t="e">
        <f t="shared" si="93"/>
        <v>#DIV/0!</v>
      </c>
      <c r="AC798" s="38" t="e">
        <f>U798/AR798</f>
        <v>#DIV/0!</v>
      </c>
      <c r="AD798" s="38" t="e">
        <f t="shared" si="90"/>
        <v>#DIV/0!</v>
      </c>
      <c r="AE798" s="33"/>
      <c r="AF798" s="33"/>
      <c r="AG798" s="33"/>
      <c r="AH798" s="33"/>
      <c r="AI798" s="33"/>
      <c r="AJ798" s="42"/>
      <c r="AK798" s="37"/>
      <c r="AL798" s="37"/>
      <c r="AM798" s="37"/>
      <c r="AN798" s="37"/>
      <c r="AO798" s="43"/>
      <c r="AP798" s="35"/>
      <c r="AQ798" s="35"/>
      <c r="AR798" s="44"/>
      <c r="AS798" s="37"/>
    </row>
    <row r="799" spans="1:45" ht="15.75" customHeight="1" x14ac:dyDescent="0.25">
      <c r="A799" s="46"/>
      <c r="B799" s="33"/>
      <c r="C799" s="35"/>
      <c r="D799" s="36"/>
      <c r="E799" s="37"/>
      <c r="F799" s="33"/>
      <c r="G799" s="35"/>
      <c r="H799" s="37"/>
      <c r="I799" s="37"/>
      <c r="J799" s="38">
        <v>0</v>
      </c>
      <c r="K799" s="40" t="e">
        <f>((J799-M799)/J799)*100</f>
        <v>#DIV/0!</v>
      </c>
      <c r="L799" s="41">
        <f>J799-M799</f>
        <v>0</v>
      </c>
      <c r="M799" s="38"/>
      <c r="N799" s="41">
        <f>J799-O799</f>
        <v>0</v>
      </c>
      <c r="O799" s="38">
        <v>0</v>
      </c>
      <c r="P799" s="27">
        <f t="shared" si="91"/>
        <v>0</v>
      </c>
      <c r="Q799" s="27">
        <f t="shared" si="91"/>
        <v>0</v>
      </c>
      <c r="R799" s="27" t="e">
        <f>Q799/U799</f>
        <v>#DIV/0!</v>
      </c>
      <c r="S799" s="38" t="e">
        <f>Q799/U799</f>
        <v>#DIV/0!</v>
      </c>
      <c r="T799" s="38" t="e">
        <f>S799*AR799</f>
        <v>#DIV/0!</v>
      </c>
      <c r="U799" s="38">
        <f t="shared" si="94"/>
        <v>0</v>
      </c>
      <c r="V799" s="38">
        <v>0</v>
      </c>
      <c r="W799" s="38">
        <v>0</v>
      </c>
      <c r="X799" s="38">
        <v>0</v>
      </c>
      <c r="Y799" s="38"/>
      <c r="Z799" s="38" t="e">
        <f t="shared" si="92"/>
        <v>#DIV/0!</v>
      </c>
      <c r="AA799" s="38"/>
      <c r="AB799" s="38" t="e">
        <f t="shared" si="93"/>
        <v>#DIV/0!</v>
      </c>
      <c r="AC799" s="38" t="e">
        <f>U799/AR799</f>
        <v>#DIV/0!</v>
      </c>
      <c r="AD799" s="38" t="e">
        <f t="shared" si="90"/>
        <v>#DIV/0!</v>
      </c>
      <c r="AE799" s="33"/>
      <c r="AF799" s="33"/>
      <c r="AG799" s="33"/>
      <c r="AH799" s="33"/>
      <c r="AI799" s="33"/>
      <c r="AJ799" s="42"/>
      <c r="AK799" s="37"/>
      <c r="AL799" s="37"/>
      <c r="AM799" s="37"/>
      <c r="AN799" s="37"/>
      <c r="AO799" s="43"/>
      <c r="AP799" s="35"/>
      <c r="AQ799" s="35"/>
      <c r="AR799" s="44"/>
      <c r="AS799" s="37"/>
    </row>
    <row r="800" spans="1:45" ht="15.75" customHeight="1" x14ac:dyDescent="0.25">
      <c r="A800" s="46"/>
      <c r="B800" s="33"/>
      <c r="C800" s="35"/>
      <c r="D800" s="36"/>
      <c r="E800" s="37"/>
      <c r="F800" s="33"/>
      <c r="G800" s="35"/>
      <c r="H800" s="37"/>
      <c r="I800" s="37"/>
      <c r="J800" s="38">
        <v>0</v>
      </c>
      <c r="K800" s="40" t="e">
        <f>((J800-M800)/J800)*100</f>
        <v>#DIV/0!</v>
      </c>
      <c r="L800" s="41">
        <f>J800-M800</f>
        <v>0</v>
      </c>
      <c r="M800" s="38"/>
      <c r="N800" s="41">
        <f>J800-O800</f>
        <v>0</v>
      </c>
      <c r="O800" s="38">
        <v>0</v>
      </c>
      <c r="P800" s="27">
        <f t="shared" si="91"/>
        <v>0</v>
      </c>
      <c r="Q800" s="27">
        <f t="shared" si="91"/>
        <v>0</v>
      </c>
      <c r="R800" s="27" t="e">
        <f>Q800/U800</f>
        <v>#DIV/0!</v>
      </c>
      <c r="S800" s="38" t="e">
        <f>Q800/U800</f>
        <v>#DIV/0!</v>
      </c>
      <c r="T800" s="38" t="e">
        <f>S800*AR800</f>
        <v>#DIV/0!</v>
      </c>
      <c r="U800" s="38">
        <f t="shared" si="94"/>
        <v>0</v>
      </c>
      <c r="V800" s="38">
        <v>0</v>
      </c>
      <c r="W800" s="38">
        <v>0</v>
      </c>
      <c r="X800" s="38">
        <v>0</v>
      </c>
      <c r="Y800" s="38"/>
      <c r="Z800" s="38" t="e">
        <f t="shared" si="92"/>
        <v>#DIV/0!</v>
      </c>
      <c r="AA800" s="38"/>
      <c r="AB800" s="38" t="e">
        <f t="shared" si="93"/>
        <v>#DIV/0!</v>
      </c>
      <c r="AC800" s="38" t="e">
        <f>U800/AR800</f>
        <v>#DIV/0!</v>
      </c>
      <c r="AD800" s="38" t="e">
        <f t="shared" si="90"/>
        <v>#DIV/0!</v>
      </c>
      <c r="AE800" s="33"/>
      <c r="AF800" s="33"/>
      <c r="AG800" s="33"/>
      <c r="AH800" s="33"/>
      <c r="AI800" s="33"/>
      <c r="AJ800" s="42"/>
      <c r="AK800" s="37"/>
      <c r="AL800" s="37"/>
      <c r="AM800" s="37"/>
      <c r="AN800" s="37"/>
      <c r="AO800" s="43"/>
      <c r="AP800" s="35"/>
      <c r="AQ800" s="35"/>
      <c r="AR800" s="44"/>
      <c r="AS800" s="37"/>
    </row>
    <row r="801" spans="1:45" ht="15.75" customHeight="1" x14ac:dyDescent="0.25">
      <c r="A801" s="46"/>
      <c r="B801" s="33"/>
      <c r="C801" s="35"/>
      <c r="D801" s="36"/>
      <c r="E801" s="37"/>
      <c r="F801" s="33"/>
      <c r="G801" s="35"/>
      <c r="H801" s="37"/>
      <c r="I801" s="37"/>
      <c r="J801" s="38">
        <v>0</v>
      </c>
      <c r="K801" s="40" t="e">
        <f>((J801-M801)/J801)*100</f>
        <v>#DIV/0!</v>
      </c>
      <c r="L801" s="41">
        <f>J801-M801</f>
        <v>0</v>
      </c>
      <c r="M801" s="38"/>
      <c r="N801" s="41">
        <f>J801-O801</f>
        <v>0</v>
      </c>
      <c r="O801" s="38">
        <v>0</v>
      </c>
      <c r="P801" s="27">
        <f t="shared" si="91"/>
        <v>0</v>
      </c>
      <c r="Q801" s="27">
        <f t="shared" si="91"/>
        <v>0</v>
      </c>
      <c r="R801" s="27" t="e">
        <f>Q801/U801</f>
        <v>#DIV/0!</v>
      </c>
      <c r="S801" s="38" t="e">
        <f>Q801/U801</f>
        <v>#DIV/0!</v>
      </c>
      <c r="T801" s="38" t="e">
        <f>S801*AR801</f>
        <v>#DIV/0!</v>
      </c>
      <c r="U801" s="38">
        <f t="shared" si="94"/>
        <v>0</v>
      </c>
      <c r="V801" s="38">
        <v>0</v>
      </c>
      <c r="W801" s="38">
        <v>0</v>
      </c>
      <c r="X801" s="38">
        <v>0</v>
      </c>
      <c r="Y801" s="38"/>
      <c r="Z801" s="38" t="e">
        <f t="shared" si="92"/>
        <v>#DIV/0!</v>
      </c>
      <c r="AA801" s="38"/>
      <c r="AB801" s="38" t="e">
        <f t="shared" si="93"/>
        <v>#DIV/0!</v>
      </c>
      <c r="AC801" s="38" t="e">
        <f>U801/AR801</f>
        <v>#DIV/0!</v>
      </c>
      <c r="AD801" s="38" t="e">
        <f t="shared" ref="AD801:AD803" si="95">_xlfn.CEILING.MATH(AC801)</f>
        <v>#DIV/0!</v>
      </c>
      <c r="AE801" s="33"/>
      <c r="AF801" s="33"/>
      <c r="AG801" s="33"/>
      <c r="AH801" s="33"/>
      <c r="AI801" s="33"/>
      <c r="AJ801" s="42"/>
      <c r="AK801" s="37"/>
      <c r="AL801" s="37"/>
      <c r="AM801" s="37"/>
      <c r="AN801" s="37"/>
      <c r="AO801" s="43"/>
      <c r="AP801" s="35"/>
      <c r="AQ801" s="35"/>
      <c r="AR801" s="44"/>
      <c r="AS801" s="37"/>
    </row>
    <row r="802" spans="1:45" ht="15.75" customHeight="1" x14ac:dyDescent="0.25">
      <c r="A802" s="46"/>
      <c r="B802" s="33"/>
      <c r="C802" s="35"/>
      <c r="D802" s="36"/>
      <c r="E802" s="37"/>
      <c r="F802" s="33"/>
      <c r="G802" s="35"/>
      <c r="H802" s="37"/>
      <c r="I802" s="37"/>
      <c r="J802" s="38">
        <v>0</v>
      </c>
      <c r="K802" s="40" t="e">
        <f>((J802-M802)/J802)*100</f>
        <v>#DIV/0!</v>
      </c>
      <c r="L802" s="41">
        <f>J802-M802</f>
        <v>0</v>
      </c>
      <c r="M802" s="38"/>
      <c r="N802" s="41">
        <f>J802-O802</f>
        <v>0</v>
      </c>
      <c r="O802" s="38">
        <v>0</v>
      </c>
      <c r="P802" s="27">
        <f t="shared" si="91"/>
        <v>0</v>
      </c>
      <c r="Q802" s="27">
        <f t="shared" si="91"/>
        <v>0</v>
      </c>
      <c r="R802" s="27" t="e">
        <f>Q802/U802</f>
        <v>#DIV/0!</v>
      </c>
      <c r="S802" s="38" t="e">
        <f>Q802/U802</f>
        <v>#DIV/0!</v>
      </c>
      <c r="T802" s="38" t="e">
        <f>S802*AR802</f>
        <v>#DIV/0!</v>
      </c>
      <c r="U802" s="38">
        <f t="shared" si="94"/>
        <v>0</v>
      </c>
      <c r="V802" s="38">
        <v>0</v>
      </c>
      <c r="W802" s="38">
        <v>0</v>
      </c>
      <c r="X802" s="38">
        <v>0</v>
      </c>
      <c r="Y802" s="38"/>
      <c r="Z802" s="38" t="e">
        <f t="shared" si="92"/>
        <v>#DIV/0!</v>
      </c>
      <c r="AA802" s="38"/>
      <c r="AB802" s="38" t="e">
        <f t="shared" si="93"/>
        <v>#DIV/0!</v>
      </c>
      <c r="AC802" s="38" t="e">
        <f>U802/AR802</f>
        <v>#DIV/0!</v>
      </c>
      <c r="AD802" s="38" t="e">
        <f t="shared" si="95"/>
        <v>#DIV/0!</v>
      </c>
      <c r="AE802" s="33"/>
      <c r="AF802" s="33"/>
      <c r="AG802" s="33"/>
      <c r="AH802" s="33"/>
      <c r="AI802" s="33"/>
      <c r="AJ802" s="42"/>
      <c r="AK802" s="37"/>
      <c r="AL802" s="37"/>
      <c r="AM802" s="37"/>
      <c r="AN802" s="37"/>
      <c r="AO802" s="43"/>
      <c r="AP802" s="35"/>
      <c r="AQ802" s="35"/>
      <c r="AR802" s="44"/>
      <c r="AS802" s="37"/>
    </row>
    <row r="803" spans="1:45" ht="15.75" customHeight="1" x14ac:dyDescent="0.25">
      <c r="A803" s="46"/>
      <c r="B803" s="33"/>
      <c r="C803" s="35"/>
      <c r="D803" s="36"/>
      <c r="E803" s="37"/>
      <c r="F803" s="33"/>
      <c r="G803" s="35"/>
      <c r="H803" s="37"/>
      <c r="I803" s="37"/>
      <c r="J803" s="38">
        <v>0</v>
      </c>
      <c r="K803" s="40" t="e">
        <f>((J803-M803)/J803)*100</f>
        <v>#DIV/0!</v>
      </c>
      <c r="L803" s="41">
        <f>J803-M803</f>
        <v>0</v>
      </c>
      <c r="M803" s="38"/>
      <c r="N803" s="41">
        <f>J803-O803</f>
        <v>0</v>
      </c>
      <c r="O803" s="38">
        <v>0</v>
      </c>
      <c r="P803" s="27">
        <f t="shared" ref="P803:Q803" si="96">O803</f>
        <v>0</v>
      </c>
      <c r="Q803" s="27">
        <f t="shared" si="96"/>
        <v>0</v>
      </c>
      <c r="R803" s="27" t="e">
        <f>Q803/U803</f>
        <v>#DIV/0!</v>
      </c>
      <c r="S803" s="38" t="e">
        <f>Q803/U803</f>
        <v>#DIV/0!</v>
      </c>
      <c r="T803" s="38" t="e">
        <f>S803*AR803</f>
        <v>#DIV/0!</v>
      </c>
      <c r="U803" s="38">
        <f t="shared" si="94"/>
        <v>0</v>
      </c>
      <c r="V803" s="38">
        <v>0</v>
      </c>
      <c r="W803" s="38">
        <v>0</v>
      </c>
      <c r="X803" s="38">
        <v>0</v>
      </c>
      <c r="Y803" s="38"/>
      <c r="Z803" s="38" t="e">
        <f t="shared" si="92"/>
        <v>#DIV/0!</v>
      </c>
      <c r="AA803" s="38"/>
      <c r="AB803" s="38" t="e">
        <f t="shared" si="93"/>
        <v>#DIV/0!</v>
      </c>
      <c r="AC803" s="38" t="e">
        <f>U803/AR803</f>
        <v>#DIV/0!</v>
      </c>
      <c r="AD803" s="38" t="e">
        <f t="shared" si="95"/>
        <v>#DIV/0!</v>
      </c>
      <c r="AE803" s="33"/>
      <c r="AF803" s="33"/>
      <c r="AG803" s="33"/>
      <c r="AH803" s="33"/>
      <c r="AI803" s="33"/>
      <c r="AJ803" s="42"/>
      <c r="AK803" s="37"/>
      <c r="AL803" s="37"/>
      <c r="AM803" s="37"/>
      <c r="AN803" s="37"/>
      <c r="AO803" s="43"/>
      <c r="AP803" s="35"/>
      <c r="AQ803" s="35"/>
      <c r="AR803" s="44"/>
      <c r="AS803" s="37"/>
    </row>
    <row r="804" spans="1:45" x14ac:dyDescent="0.25">
      <c r="A804" s="46"/>
    </row>
  </sheetData>
  <autoFilter ref="A2:AS803" xr:uid="{00000000-0009-0000-0000-000002000000}"/>
  <mergeCells count="24">
    <mergeCell ref="AS1:AS2"/>
    <mergeCell ref="AM1:AM2"/>
    <mergeCell ref="AN1:AN2"/>
    <mergeCell ref="AO1:AO2"/>
    <mergeCell ref="AP1:AP2"/>
    <mergeCell ref="AQ1:AQ2"/>
    <mergeCell ref="AR1:AR2"/>
    <mergeCell ref="R1:R2"/>
    <mergeCell ref="S1:S2"/>
    <mergeCell ref="T1:T2"/>
    <mergeCell ref="AK1:AK2"/>
    <mergeCell ref="AL1:AL2"/>
    <mergeCell ref="P1:P2"/>
    <mergeCell ref="Q1:Q2"/>
    <mergeCell ref="J1:J2"/>
    <mergeCell ref="K1:K2"/>
    <mergeCell ref="L1:L2"/>
    <mergeCell ref="M1:M2"/>
    <mergeCell ref="N1:N2"/>
    <mergeCell ref="O1:O2"/>
    <mergeCell ref="C1:C2"/>
    <mergeCell ref="I1:I2"/>
    <mergeCell ref="A1:A2"/>
    <mergeCell ref="B1:B2"/>
  </mergeCells>
  <hyperlinks>
    <hyperlink ref="E29" r:id="rId1" xr:uid="{A4184A71-5960-4428-81BB-5DD1C479224B}"/>
    <hyperlink ref="E38" r:id="rId2" xr:uid="{F57D6F8F-90AE-4139-9D02-0B72C35542D1}"/>
    <hyperlink ref="E49" r:id="rId3" xr:uid="{A7EF40C0-2284-4C1C-AC4C-DDF83A96A2FD}"/>
    <hyperlink ref="E50" r:id="rId4" xr:uid="{963430EF-71A6-45E2-AFAA-18AD86563EAD}"/>
    <hyperlink ref="E51" r:id="rId5" xr:uid="{0AE5F9F6-CF9B-4BE4-8C0C-9130F4BB20E7}"/>
    <hyperlink ref="E52" r:id="rId6" xr:uid="{08F74640-41FF-4B34-B450-EF7F8FFE2053}"/>
    <hyperlink ref="E53" r:id="rId7" xr:uid="{0916AD78-D826-4C91-A4E3-A17CE46C20F7}"/>
    <hyperlink ref="E54" r:id="rId8" xr:uid="{455FC869-96B3-4775-AA1F-D47DEE754B17}"/>
    <hyperlink ref="E55" r:id="rId9" xr:uid="{13B505B5-EA8C-446C-BAD6-3B61E88C320B}"/>
    <hyperlink ref="E56" r:id="rId10" xr:uid="{DAC16D36-17AB-476C-972A-8130053BFFB2}"/>
    <hyperlink ref="E57" r:id="rId11" xr:uid="{CB1FBB2E-E40C-478F-9A23-1DC9F59FE2E1}"/>
    <hyperlink ref="E58" r:id="rId12" xr:uid="{CFDF0DF7-5542-4B7D-9168-2EEB9B92052C}"/>
    <hyperlink ref="E59" r:id="rId13" xr:uid="{DD4494BA-AF97-4329-8708-CA4C53FFB93B}"/>
    <hyperlink ref="E60" r:id="rId14" xr:uid="{C09E2CBB-CB41-4133-89A6-042E778EFFC0}"/>
    <hyperlink ref="E61" r:id="rId15" xr:uid="{F43004B9-255B-4C6D-B4E6-B58D36BCFD00}"/>
    <hyperlink ref="E62" r:id="rId16" xr:uid="{59D72693-3F56-400C-9733-C048D2B63DEA}"/>
    <hyperlink ref="E63" r:id="rId17" xr:uid="{5A1D31D0-2977-48EE-B605-71A4B6B3D1DE}"/>
    <hyperlink ref="E64" r:id="rId18" xr:uid="{C80909D5-A4B9-4FB4-B92A-D218B3212B25}"/>
    <hyperlink ref="E65" r:id="rId19" xr:uid="{9186001F-3499-45C7-8D01-12239A7B137C}"/>
    <hyperlink ref="E66" r:id="rId20" xr:uid="{8336A5CD-C6E4-4840-B7AB-25425BED081A}"/>
    <hyperlink ref="E67" r:id="rId21" xr:uid="{4A24A563-9A6D-4C29-9372-7014F110B34D}"/>
    <hyperlink ref="E68" r:id="rId22" xr:uid="{BAAB3497-331D-492A-B07B-4C2FD6BBDCEB}"/>
    <hyperlink ref="E69" r:id="rId23" xr:uid="{E1918676-C2E5-48B0-A8C2-FEB664ED1D79}"/>
    <hyperlink ref="E70" r:id="rId24" xr:uid="{C9E96B47-0FB5-48E4-A74B-87C81B43A338}"/>
    <hyperlink ref="E71" r:id="rId25" xr:uid="{F68EA51D-4164-4792-ABF3-95E7EF8ADF88}"/>
    <hyperlink ref="E72" r:id="rId26" xr:uid="{36B134AD-A423-49B2-8327-4AEFBF801BD6}"/>
    <hyperlink ref="E73" r:id="rId27" xr:uid="{91D7E254-1032-4DA7-80FE-B8009EEE09B7}"/>
    <hyperlink ref="E74" r:id="rId28" xr:uid="{8596D3E9-75C0-4FAA-86F9-53EF159319E6}"/>
    <hyperlink ref="E75" r:id="rId29" xr:uid="{B12C6E37-A8C4-4E1A-8581-F373B4F1D415}"/>
    <hyperlink ref="E76" r:id="rId30" xr:uid="{5B37458E-17A7-41B3-8829-5B3DD759ACCD}"/>
    <hyperlink ref="E77" r:id="rId31" xr:uid="{DF9690AC-6844-4843-822C-E631131B2C36}"/>
    <hyperlink ref="E78" r:id="rId32" xr:uid="{22F7E03F-35D9-4577-BED2-717FF9B26B6D}"/>
    <hyperlink ref="E79" r:id="rId33" xr:uid="{5A9E460F-A7E9-472E-AD1A-10F2CF7B61DD}"/>
    <hyperlink ref="E80" r:id="rId34" xr:uid="{55DC04A3-6EF3-4F71-90F3-F64A5525C7D8}"/>
    <hyperlink ref="E81" r:id="rId35" xr:uid="{CC2016DF-07A9-41D6-9868-E5A26EFF64E3}"/>
    <hyperlink ref="E82" r:id="rId36" xr:uid="{C16D7644-96E7-4486-9274-CB26E1C4A661}"/>
    <hyperlink ref="E83" r:id="rId37" xr:uid="{7A15E63C-962B-477D-B653-3528B655E8A9}"/>
    <hyperlink ref="E84" r:id="rId38" xr:uid="{F3A57F1F-6059-4E2A-B7C9-FE6FEE759102}"/>
    <hyperlink ref="E85" r:id="rId39" xr:uid="{779E49BF-7A7C-4143-B3D2-1267B7A51F1D}"/>
    <hyperlink ref="E86" r:id="rId40" xr:uid="{0224597A-4CEE-44B1-8970-2FC3921D4E21}"/>
    <hyperlink ref="E87" r:id="rId41" xr:uid="{32B16920-6755-48D4-B151-DC0E8ED8D0F4}"/>
    <hyperlink ref="E88" r:id="rId42" xr:uid="{779C531D-FD54-4109-9A63-18B7F3809DDB}"/>
    <hyperlink ref="E89" r:id="rId43" xr:uid="{DBE590E9-DEB7-4CDB-AF24-5899BD07C433}"/>
    <hyperlink ref="E90" r:id="rId44" xr:uid="{76E21410-7EE0-487C-A2C0-CF531AB53540}"/>
    <hyperlink ref="E91" r:id="rId45" xr:uid="{6911050F-EC39-4D85-AC9E-C2340ED53845}"/>
    <hyperlink ref="E92" r:id="rId46" xr:uid="{771D11F9-35D7-4FFB-AE1B-A6E32F8AF83F}"/>
    <hyperlink ref="E93" r:id="rId47" xr:uid="{50877BE1-95C9-4C5D-BA6B-69B206639BFD}"/>
    <hyperlink ref="E94" r:id="rId48" xr:uid="{11C21CD0-DB11-41C2-9923-3503D5831D81}"/>
    <hyperlink ref="E95" r:id="rId49" xr:uid="{BA09587A-8A18-48D1-AF31-41F7BDFC4E16}"/>
    <hyperlink ref="E96" r:id="rId50" xr:uid="{C57F6D51-C1C9-4266-9CCD-60F4E07FB923}"/>
    <hyperlink ref="E97" r:id="rId51" xr:uid="{52ED7A52-04B9-4F04-9678-E60BB23891A6}"/>
    <hyperlink ref="E98" r:id="rId52" xr:uid="{B2B63DAE-EF49-42A1-B14E-A97DC8E4BA1E}"/>
    <hyperlink ref="E99" r:id="rId53" xr:uid="{E4C5927C-E85B-4F99-8B70-28E142817A88}"/>
    <hyperlink ref="E101" r:id="rId54" xr:uid="{A4E05DA0-C022-4210-914A-876B1EA17ED3}"/>
    <hyperlink ref="E103" r:id="rId55" xr:uid="{2D0A3E90-DDCD-4101-870A-C8086B872710}"/>
    <hyperlink ref="E104" r:id="rId56" xr:uid="{1EDC5970-9C33-4ECE-A873-96933F76A5BD}"/>
    <hyperlink ref="E102" r:id="rId57" xr:uid="{143F3D2D-BA65-4018-855D-7CB55473FF13}"/>
    <hyperlink ref="E105" r:id="rId58" xr:uid="{0667ECED-FA92-4831-AB32-4F401A94144B}"/>
    <hyperlink ref="E106" r:id="rId59" xr:uid="{FF27581B-9975-416A-88F3-345763C1CE0C}"/>
    <hyperlink ref="E107" r:id="rId60" xr:uid="{90CF4BFB-F068-494B-89A9-DACC2E07D2A2}"/>
    <hyperlink ref="E109" r:id="rId61" xr:uid="{AE93FA7E-9821-4092-A09D-4775CE0F60E6}"/>
    <hyperlink ref="E108" r:id="rId62" xr:uid="{EE83AEF2-F1A1-49EB-8FBF-B639148E57B2}"/>
    <hyperlink ref="E110" r:id="rId63" xr:uid="{DB211622-CE6C-414E-83FD-937AB8337876}"/>
    <hyperlink ref="E111" r:id="rId64" xr:uid="{5803AD32-17D1-481D-B7F0-A11261C04324}"/>
    <hyperlink ref="E112" r:id="rId65" xr:uid="{D8B06592-73F4-4419-A2FF-F3F85A3B69E7}"/>
    <hyperlink ref="E113" r:id="rId66" xr:uid="{07CC740A-B597-407A-BB93-0D785114A773}"/>
    <hyperlink ref="E114" r:id="rId67" xr:uid="{33C6A83D-5B6C-42A1-AF5C-EECEB87E3739}"/>
    <hyperlink ref="E115" r:id="rId68" xr:uid="{7883CEC3-E32D-47FC-872F-FB1541EE1566}"/>
    <hyperlink ref="E116" r:id="rId69" xr:uid="{13B94F31-EB36-4E4A-914F-1BE3F152643B}"/>
    <hyperlink ref="E117" r:id="rId70" xr:uid="{2381DC93-272D-415A-9BC4-E3B7B6C44AFF}"/>
    <hyperlink ref="E118" r:id="rId71" xr:uid="{1DD5FF7F-7613-45D0-A6D0-9E8B49ECD09B}"/>
    <hyperlink ref="E119" r:id="rId72" xr:uid="{FC1C5FB1-7D4C-40EC-8109-FA1CA853CCA4}"/>
    <hyperlink ref="E120" r:id="rId73" xr:uid="{0C9B319E-5582-4D93-9789-5E637CA6B9F1}"/>
    <hyperlink ref="E22" r:id="rId74" xr:uid="{62F3A8AD-2CD1-42E8-A8AE-9AF642E8D139}"/>
    <hyperlink ref="E21" r:id="rId75" xr:uid="{93E2EAFB-36D5-4231-A9F7-B52C57B40919}"/>
    <hyperlink ref="E44" r:id="rId76" xr:uid="{DD4DA2F6-CE25-4BD7-B5D0-0A96C2D21EED}"/>
    <hyperlink ref="E121" r:id="rId77" xr:uid="{95A798FC-39E8-4F43-8A08-3B049625D7F7}"/>
    <hyperlink ref="E122" r:id="rId78" xr:uid="{619ADF56-E1DB-4ACC-AA10-B185CB04F928}"/>
    <hyperlink ref="E123" r:id="rId79" xr:uid="{763EDE2E-E7A9-4EA4-99B9-67837D983537}"/>
    <hyperlink ref="E124" r:id="rId80" xr:uid="{9C90F4F9-A228-4865-9D1A-24C109B4C457}"/>
    <hyperlink ref="E23" r:id="rId81" xr:uid="{D5C932BA-7603-4241-93F5-E1ED432905D4}"/>
    <hyperlink ref="E125" r:id="rId82" xr:uid="{5E7B0A14-D612-45E1-88CF-EBA61571F9A4}"/>
    <hyperlink ref="E126" r:id="rId83" xr:uid="{5ED535BE-39D0-4132-B11B-A6426B82CF3D}"/>
    <hyperlink ref="E127" r:id="rId84" xr:uid="{9C058BB7-9EDF-43FC-AD17-C47AE90A5E69}"/>
    <hyperlink ref="E128" r:id="rId85" xr:uid="{FB5CCCC8-7216-44D5-AF15-551F48594C05}"/>
    <hyperlink ref="E129" r:id="rId86" xr:uid="{4DAA3FCD-126C-421F-8C62-A34AC1C71614}"/>
    <hyperlink ref="E130" r:id="rId87" xr:uid="{8BFC47C4-7C8E-474E-9874-98CC94746166}"/>
    <hyperlink ref="E131" r:id="rId88" xr:uid="{499542A4-EB6B-41DE-BF8A-572CF765E394}"/>
    <hyperlink ref="E132" r:id="rId89" xr:uid="{D4961A68-90CB-4250-A1B5-6F3DBC16CE75}"/>
    <hyperlink ref="E133" r:id="rId90" xr:uid="{56080664-7B58-4770-94B3-FF6A6165A8C2}"/>
    <hyperlink ref="E134" r:id="rId91" xr:uid="{EDD48B20-2952-45C2-871C-004762B30D6C}"/>
    <hyperlink ref="E135" r:id="rId92" xr:uid="{F15F24E4-23DA-493F-B0D3-DF31E19BE5CF}"/>
    <hyperlink ref="E136" r:id="rId93" xr:uid="{C5B879DD-4305-4357-A392-FA410F328393}"/>
    <hyperlink ref="E137" r:id="rId94" xr:uid="{B3271E77-5C3F-4856-BB2B-866C2518B37F}"/>
    <hyperlink ref="E138" r:id="rId95" xr:uid="{71E5E6D7-EEBA-4CA8-ACC7-F7C92E58A0EC}"/>
    <hyperlink ref="E139" r:id="rId96" xr:uid="{1FDE09C8-E1FA-45B3-971C-F634832057DA}"/>
    <hyperlink ref="E140" r:id="rId97" xr:uid="{866FAFD8-9D1A-4680-8EAC-5658CCDFE186}"/>
    <hyperlink ref="E141" r:id="rId98" xr:uid="{A77133D3-8E57-4F74-A971-1382146F90DD}"/>
    <hyperlink ref="E142" r:id="rId99" xr:uid="{4D8276E8-BB8C-4B79-BEEE-3D13B49D30FB}"/>
    <hyperlink ref="E143" r:id="rId100" xr:uid="{14A68A8B-212A-4FCA-B7AA-E23B63D7C717}"/>
    <hyperlink ref="E144" r:id="rId101" xr:uid="{5E96DD03-F02D-4E34-A3FB-AA6296C81735}"/>
    <hyperlink ref="E145" r:id="rId102" xr:uid="{72DE5DDC-8D4B-44E6-85BD-47B6CA1AB80B}"/>
    <hyperlink ref="E148" r:id="rId103" xr:uid="{9AB22E6C-E720-496D-AEDB-1C89FDB625E2}"/>
    <hyperlink ref="E147" r:id="rId104" xr:uid="{50678ABC-94DF-4CB4-A3BC-E48025F0417C}"/>
    <hyperlink ref="E146" r:id="rId105" xr:uid="{23F82C0F-7D70-4D4F-B1B7-E2816C69BFBC}"/>
    <hyperlink ref="E149" r:id="rId106" xr:uid="{3790339C-16EF-431A-81D9-9F6C021F66CA}"/>
    <hyperlink ref="E150" r:id="rId107" xr:uid="{3A31B46F-537C-4FA3-9A59-D7BDE52F2845}"/>
    <hyperlink ref="E151" r:id="rId108" xr:uid="{B49644B6-90E2-470E-8EAD-C363CF09FCCC}"/>
    <hyperlink ref="E152" r:id="rId109" xr:uid="{E915FBDA-4A7F-4CD0-B339-BDB9E79031BC}"/>
    <hyperlink ref="E153" r:id="rId110" xr:uid="{8C970E8D-E26D-430A-959B-BFDAC36B3CAB}"/>
    <hyperlink ref="E172" r:id="rId111" xr:uid="{1CCA7945-2BB7-4B82-A8D7-93D1F36A86DE}"/>
    <hyperlink ref="E154" r:id="rId112" xr:uid="{284344F9-E453-4A83-A047-8ECEEDB36C77}"/>
    <hyperlink ref="E155" r:id="rId113" xr:uid="{DC2870CC-730C-4772-B75E-3D8B0228AD38}"/>
    <hyperlink ref="E156" r:id="rId114" xr:uid="{D43F0BAF-AE35-407B-A315-46D6AC699AC6}"/>
    <hyperlink ref="E157" r:id="rId115" xr:uid="{F824187E-61E9-4DD2-9C26-F3CF33C97B12}"/>
    <hyperlink ref="E158" r:id="rId116" xr:uid="{BA40E61B-42D1-45E0-9A91-94628A1B8FD9}"/>
    <hyperlink ref="E159" r:id="rId117" xr:uid="{70163BC6-5766-43D7-B511-F4A732A8BFC5}"/>
    <hyperlink ref="E160" r:id="rId118" xr:uid="{7B782CA2-81A5-41A9-87FA-B7C81F9C4CE4}"/>
    <hyperlink ref="E161" r:id="rId119" xr:uid="{40743293-CEE1-41CF-ABE5-6E9757903635}"/>
    <hyperlink ref="E162" r:id="rId120" xr:uid="{A4E42DF5-C4FB-44A2-A77F-0EA8CC109FB9}"/>
    <hyperlink ref="E163" r:id="rId121" xr:uid="{B6B98EF2-E3A7-4516-8405-6F6144EE67DF}"/>
    <hyperlink ref="E164" r:id="rId122" xr:uid="{F833D1DA-3E1F-4966-ADB1-563543038A69}"/>
    <hyperlink ref="E165" r:id="rId123" xr:uid="{8A643AA9-964D-4FFF-A28D-EDC4824E3594}"/>
    <hyperlink ref="E166" r:id="rId124" xr:uid="{E09D5FBE-92F5-4B9A-B6B0-65EA234490FA}"/>
    <hyperlink ref="E167" r:id="rId125" xr:uid="{27230F73-B1F6-4F1F-945B-42352C81A9DC}"/>
    <hyperlink ref="E168" r:id="rId126" xr:uid="{052D939B-2957-4C07-B860-E40E3AAA77D9}"/>
    <hyperlink ref="E169" r:id="rId127" xr:uid="{2D2022A2-E299-4813-85E3-6FF3000E2D81}"/>
    <hyperlink ref="E170" r:id="rId128" xr:uid="{AFB56383-C119-4EBE-AC67-F5E506930DB5}"/>
    <hyperlink ref="E171" r:id="rId129" xr:uid="{4C9FA53A-4B45-4B6D-8A25-496664C258C1}"/>
    <hyperlink ref="E173" r:id="rId130" xr:uid="{7CAC6AFC-5FC4-4DA0-A084-B2726C04D129}"/>
    <hyperlink ref="E174" r:id="rId131" xr:uid="{BA6532F1-46F1-44CA-B5BE-28ED575D7009}"/>
    <hyperlink ref="E175" r:id="rId132" xr:uid="{6858E736-08B0-4998-A6F8-DF2C0B2E7171}"/>
    <hyperlink ref="E176" r:id="rId133" xr:uid="{172A04E0-E185-41C5-98F2-63E7ABA58143}"/>
    <hyperlink ref="E177" r:id="rId134" xr:uid="{4607061C-350C-4BFC-B246-78908AB61564}"/>
    <hyperlink ref="E178" r:id="rId135" xr:uid="{7CD219BA-7F4F-4089-8545-4617CF617057}"/>
    <hyperlink ref="E179" r:id="rId136" xr:uid="{D7605D39-5CC8-438E-A029-47BE66EF3E19}"/>
    <hyperlink ref="E180" r:id="rId137" xr:uid="{B0B78715-2BD4-41DE-880F-A107E92367E2}"/>
    <hyperlink ref="E181" r:id="rId138" xr:uid="{AB440EF7-B899-49D8-9ECF-90537978375D}"/>
    <hyperlink ref="E182" r:id="rId139" xr:uid="{0EA30DA8-41B3-428D-A6CF-405EA1CE8C0A}"/>
    <hyperlink ref="E183" r:id="rId140" xr:uid="{4DA5EC14-37A3-4677-810C-4EE663D8AF2F}"/>
    <hyperlink ref="E184" r:id="rId141" xr:uid="{3010DAE2-2A33-41D6-9F69-376ED0B968D4}"/>
    <hyperlink ref="E185" r:id="rId142" xr:uid="{83FCA2C8-52B6-4DB9-8C65-DBF2CA0005D8}"/>
    <hyperlink ref="E186" r:id="rId143" xr:uid="{3638A933-8915-4609-9D8E-A39B5FBE2B17}"/>
    <hyperlink ref="E187" r:id="rId144" xr:uid="{690BF568-1B33-4054-8DD0-CD9FDDD88B6F}"/>
    <hyperlink ref="E188" r:id="rId145" xr:uid="{3BB00D9B-AB45-44FA-BBE5-E1CE9A76C6C4}"/>
    <hyperlink ref="E189" r:id="rId146" xr:uid="{A8DCAE2E-A391-4ECB-831D-36527BD00B41}"/>
    <hyperlink ref="E190" r:id="rId147" xr:uid="{04D513BD-60D7-472A-95B0-358879F40A01}"/>
    <hyperlink ref="E191" r:id="rId148" xr:uid="{9C792102-A2C6-4EFD-8633-C49FFB2DB566}"/>
    <hyperlink ref="E192" r:id="rId149" xr:uid="{FAA54F0E-EE6B-4C15-BF88-2548F97C65E6}"/>
    <hyperlink ref="E193" r:id="rId150" xr:uid="{3598500F-CC37-4E85-ABC0-5EB234AB1FCA}"/>
    <hyperlink ref="E194" r:id="rId151" xr:uid="{D79A628B-0983-4944-9EDB-3AD96F1A46DC}"/>
    <hyperlink ref="E195" r:id="rId152" xr:uid="{8CC82AAA-12A7-4D14-8B03-A3E04C861F29}"/>
    <hyperlink ref="E196" r:id="rId153" xr:uid="{DF4202BA-D1E2-431D-90CA-304BD01AB554}"/>
    <hyperlink ref="E197" r:id="rId154" xr:uid="{D255089C-86A9-4F8A-A2BB-64F5B540D86B}"/>
    <hyperlink ref="E198" r:id="rId155" xr:uid="{687C7EA0-5259-4698-998E-B2EE3E430BE5}"/>
    <hyperlink ref="E199" r:id="rId156" xr:uid="{9764E03E-FC8B-4389-8152-E98BFA51D159}"/>
    <hyperlink ref="E200" r:id="rId157" xr:uid="{810990E8-50A7-4308-ACE7-06C4F20D370D}"/>
    <hyperlink ref="E201" r:id="rId158" xr:uid="{FD2DA09C-4497-4F95-AC6F-59AD7CE6E502}"/>
    <hyperlink ref="E202" r:id="rId159" xr:uid="{CF463A34-9DCD-4810-9E0A-BBFC71B53766}"/>
    <hyperlink ref="E203" r:id="rId160" xr:uid="{C3CDCC03-9DE0-4F63-8C50-F5D1BF8A34CA}"/>
    <hyperlink ref="E204" r:id="rId161" xr:uid="{775C380A-8D10-4246-B13A-24E0721A10DD}"/>
    <hyperlink ref="E205" r:id="rId162" xr:uid="{6B5703F2-A846-40FC-941B-B41E09F9028F}"/>
    <hyperlink ref="E206" r:id="rId163" xr:uid="{27337DBE-3C7D-4217-903C-C109FF3AF5A0}"/>
    <hyperlink ref="E207" r:id="rId164" xr:uid="{DE70CBA9-4352-42EC-8D4D-29429AB91C52}"/>
    <hyperlink ref="E208" r:id="rId165" xr:uid="{E7352E35-2C75-40C7-96A2-A3C4E2935EF5}"/>
    <hyperlink ref="E209" r:id="rId166" xr:uid="{F2556491-8997-45AA-AAB1-7F1EDDB6DB08}"/>
    <hyperlink ref="E210" r:id="rId167" xr:uid="{6335611E-93F5-4653-9E6A-21E965518E56}"/>
    <hyperlink ref="E211" r:id="rId168" xr:uid="{1058F1B6-22EB-4DF3-9AF7-5C07D53D6815}"/>
    <hyperlink ref="E212" r:id="rId169" xr:uid="{31A6AB11-5B40-4F55-88A8-44EAE69069BE}"/>
    <hyperlink ref="E213" r:id="rId170" xr:uid="{F73FBB7B-41B4-485F-8D94-F87B987585FF}"/>
    <hyperlink ref="E214" r:id="rId171" xr:uid="{7F70F012-CDA2-4F1D-BBD3-4901140AD128}"/>
    <hyperlink ref="E215" r:id="rId172" xr:uid="{26706AFC-D693-4B97-8551-6E050D7F9F2C}"/>
    <hyperlink ref="E216" r:id="rId173" xr:uid="{6C4414F7-6BB0-4D2F-8B15-4CE289D6CFF6}"/>
    <hyperlink ref="E217" r:id="rId174" xr:uid="{221A9C60-0DC2-4AC7-9A91-1F96CB42CAE4}"/>
    <hyperlink ref="E218" r:id="rId175" xr:uid="{973FBB76-FBA1-4B54-8E88-E63A503C44A9}"/>
    <hyperlink ref="E219" r:id="rId176" xr:uid="{285C32FC-2F1F-4DF8-B5EA-9FBA226CAF96}"/>
    <hyperlink ref="E220" r:id="rId177" xr:uid="{A667A155-FDD2-4A5C-95B9-AC45CA337C41}"/>
    <hyperlink ref="E221" r:id="rId178" xr:uid="{5301FFDD-BFB7-48DC-A3F0-3BA5B301F904}"/>
    <hyperlink ref="E222" r:id="rId179" xr:uid="{C7E44A1B-53B3-4BBD-A2BC-6D8AC1F43EA3}"/>
    <hyperlink ref="E223" r:id="rId180" xr:uid="{18860BB4-2239-46D9-8D4D-115AAD679106}"/>
    <hyperlink ref="E224" r:id="rId181" xr:uid="{482F3551-AE88-4DF8-8825-8D7028FD1582}"/>
    <hyperlink ref="E225" r:id="rId182" xr:uid="{B7C2C8BC-0F7D-4785-9035-926D38D73BE3}"/>
    <hyperlink ref="E226" r:id="rId183" xr:uid="{AF7F8284-8192-46CC-881D-FC107A13E409}"/>
    <hyperlink ref="E227" r:id="rId184" xr:uid="{249A5856-F023-450D-AC74-9A7123D33E62}"/>
    <hyperlink ref="E228" r:id="rId185" xr:uid="{D2961C75-8C71-4288-B7F1-A2D3EDA00C0E}"/>
    <hyperlink ref="E229" r:id="rId186" xr:uid="{EB18666D-87AC-4E7B-911E-647F4A8E8AC1}"/>
    <hyperlink ref="E230" r:id="rId187" xr:uid="{98941CA8-2D75-49CB-B6E7-841B096CE90A}"/>
    <hyperlink ref="E231" r:id="rId188" xr:uid="{6EDE0682-5525-4E3C-AA28-55390BD6E4C7}"/>
    <hyperlink ref="E232" r:id="rId189" xr:uid="{439E29A3-BAE7-496D-A8EB-60854BA49CC0}"/>
    <hyperlink ref="E233" r:id="rId190" xr:uid="{DF266D88-73B2-471D-9B8B-739673047F4D}"/>
    <hyperlink ref="E234" r:id="rId191" xr:uid="{3D9BDA4E-0D49-4D2B-B034-4BCCF522B0B8}"/>
    <hyperlink ref="E236" r:id="rId192" xr:uid="{624EDAF0-265D-4024-B6AB-495914FE8EF0}"/>
    <hyperlink ref="E237" r:id="rId193" xr:uid="{785B6341-6C9A-46B2-99B4-171F58CA1211}"/>
    <hyperlink ref="E238" r:id="rId194" xr:uid="{8C889CAD-3FEE-4E9C-A37B-3F9535F3144B}"/>
    <hyperlink ref="E239" r:id="rId195" xr:uid="{E181C996-E547-4CAE-8E97-707E756344FA}"/>
    <hyperlink ref="E240" r:id="rId196" xr:uid="{BF5348CD-4A02-409B-801A-E0286BBF9E92}"/>
    <hyperlink ref="E241" r:id="rId197" xr:uid="{D7ECDEBF-6DDC-46EE-B3D6-AC4A94CFE657}"/>
    <hyperlink ref="E242" r:id="rId198" xr:uid="{8A25B426-0924-4DB8-81E8-E6420BB57763}"/>
    <hyperlink ref="E243" r:id="rId199" xr:uid="{A5246E4A-35C6-458D-9879-C35265FC2AFA}"/>
    <hyperlink ref="E244" r:id="rId200" xr:uid="{EB02120D-365B-467F-8C0A-4319E030D708}"/>
    <hyperlink ref="E245" r:id="rId201" xr:uid="{1EB0C47A-A8A6-49EB-B92A-B570819E72D4}"/>
    <hyperlink ref="E246" r:id="rId202" xr:uid="{0750E663-1D53-4A61-98C1-1D327E1A697C}"/>
    <hyperlink ref="E247" r:id="rId203" xr:uid="{5126C71D-F460-4AED-8CB8-E4A961B81692}"/>
    <hyperlink ref="E248" r:id="rId204" xr:uid="{A47342D2-FCF7-4380-B23A-76DD27E4E665}"/>
    <hyperlink ref="E249" r:id="rId205" xr:uid="{102C3429-0376-466D-9E20-0D16994620CF}"/>
    <hyperlink ref="E250" r:id="rId206" xr:uid="{46A29F33-634F-4B24-ACDB-A6B735394802}"/>
    <hyperlink ref="E251" r:id="rId207" xr:uid="{352E92F0-803A-4D1C-A071-5A5962DACB92}"/>
    <hyperlink ref="E252" r:id="rId208" xr:uid="{48D66760-5E6C-4312-A44B-37CDED8FE859}"/>
    <hyperlink ref="E253" r:id="rId209" xr:uid="{A375C7D1-A65F-4FE8-B3C1-6D533BF18F5C}"/>
    <hyperlink ref="E254" r:id="rId210" xr:uid="{4DFA1D70-730F-44AC-A5E2-E1CAE7C79C78}"/>
    <hyperlink ref="E255" r:id="rId211" xr:uid="{A8E83393-4733-498C-AC21-A79ACD93650C}"/>
    <hyperlink ref="E256" r:id="rId212" xr:uid="{9228ACDB-F1E6-4772-8DDE-B7BB8BE372E1}"/>
    <hyperlink ref="E257" r:id="rId213" xr:uid="{FDE52B07-FF2A-40EF-A387-94F5D92C2F10}"/>
    <hyperlink ref="E258" r:id="rId214" xr:uid="{3579FC9B-9CB0-4B55-A930-53E38F79971A}"/>
    <hyperlink ref="E259" r:id="rId215" xr:uid="{7003F535-02A8-41AA-8227-E5EE8B381688}"/>
    <hyperlink ref="E260" r:id="rId216" xr:uid="{1EC12928-9C85-43A7-BBCA-2055983C9345}"/>
    <hyperlink ref="E261" r:id="rId217" xr:uid="{C1C0E976-51CB-4292-AC8D-AF0CE84ADFC2}"/>
    <hyperlink ref="E262" r:id="rId218" xr:uid="{931CB060-7DF5-46A8-9119-C39B0CDB1830}"/>
    <hyperlink ref="E263" r:id="rId219" xr:uid="{CD47DEED-4BCF-4A56-84F6-38A3502F963E}"/>
    <hyperlink ref="E264" r:id="rId220" xr:uid="{AC466B2E-8AE4-492E-81F8-1B441540E1A8}"/>
    <hyperlink ref="E265" r:id="rId221" xr:uid="{4170F2F3-3EAB-47AC-821B-9D84FBEDF673}"/>
    <hyperlink ref="E266" r:id="rId222" xr:uid="{56B75765-D10B-48E6-8510-F9A4E5AFFBAB}"/>
    <hyperlink ref="E267" r:id="rId223" xr:uid="{346C17AA-6D26-46A0-88EE-5412C1492E1C}"/>
    <hyperlink ref="E268" r:id="rId224" xr:uid="{30011D0F-0465-4F19-983C-E52B06185A42}"/>
    <hyperlink ref="E269" r:id="rId225" xr:uid="{033C5099-85EC-4882-8C05-FE5203B651D2}"/>
    <hyperlink ref="E290" r:id="rId226" xr:uid="{0DA8DEE7-828C-4548-AD46-26F3FEAA6F00}"/>
    <hyperlink ref="E270" r:id="rId227" xr:uid="{54D6F8BD-05B8-4A0D-ACA9-9B3FEAC1F099}"/>
    <hyperlink ref="E271" r:id="rId228" xr:uid="{799DC500-A5FE-482A-8D48-8BFD8E7754A5}"/>
    <hyperlink ref="E272" r:id="rId229" xr:uid="{79BF4A4A-C94A-48E2-8C8B-66426B8ECFA7}"/>
    <hyperlink ref="E273" r:id="rId230" xr:uid="{6AA1F636-EEA7-42D6-9B30-A8A9780CB511}"/>
    <hyperlink ref="E274" r:id="rId231" xr:uid="{34DF5C3F-3BBD-4938-844E-7A70BC749E24}"/>
    <hyperlink ref="E275" r:id="rId232" xr:uid="{CA5F1154-5CC7-4D44-83F1-38524E97A426}"/>
    <hyperlink ref="E276" r:id="rId233" xr:uid="{1544F178-A439-4858-B6BE-D349039948D5}"/>
    <hyperlink ref="E277" r:id="rId234" xr:uid="{6815E820-C40E-4297-924C-9FD0AE57C56A}"/>
    <hyperlink ref="E278" r:id="rId235" xr:uid="{31D027D3-96D8-45B4-9F60-EAF580164B6F}"/>
    <hyperlink ref="E279" r:id="rId236" xr:uid="{38B7C4B3-0B51-4C7D-8A7A-C633C8C2804C}"/>
    <hyperlink ref="E280" r:id="rId237" xr:uid="{A7478089-1BA4-41C5-8A72-93D7E5C565CC}"/>
    <hyperlink ref="E281" r:id="rId238" xr:uid="{899410B3-8831-49B5-AD0E-378519992F85}"/>
    <hyperlink ref="E282" r:id="rId239" xr:uid="{67E7BD5A-5511-48F5-91B8-193F6E939205}"/>
    <hyperlink ref="E283" r:id="rId240" xr:uid="{0D755BEC-24B4-44AE-B389-FCCD63EB2BFC}"/>
    <hyperlink ref="E284" r:id="rId241" xr:uid="{A9CA2A88-9642-4365-9D88-DEFDD733BB01}"/>
    <hyperlink ref="E285" r:id="rId242" xr:uid="{E2884380-15A8-4EA0-8C1F-FCCA693DC0B1}"/>
    <hyperlink ref="E286" r:id="rId243" xr:uid="{96CF9B98-8B17-404D-86F1-7E0682279636}"/>
    <hyperlink ref="E287" r:id="rId244" xr:uid="{46C577E4-BC62-4028-9BF3-EF91B65399BF}"/>
    <hyperlink ref="E288" r:id="rId245" xr:uid="{34AC6194-FC5B-4540-AFF7-812AB54B25A8}"/>
    <hyperlink ref="E289" r:id="rId246" xr:uid="{4F208615-9F42-48B6-8DA7-B6BE94386897}"/>
    <hyperlink ref="E291" r:id="rId247" xr:uid="{BDD8F003-84DE-407B-8B30-5F67B3CD6857}"/>
    <hyperlink ref="E292" r:id="rId248" xr:uid="{F3687C13-C3EE-4565-A790-21640FB8E8E6}"/>
    <hyperlink ref="E293" r:id="rId249" xr:uid="{6C82EEE1-382E-41CD-B8B3-E8E83E186007}"/>
    <hyperlink ref="E294" r:id="rId250" xr:uid="{49A3D34D-9208-4A1C-9C99-79E56099218D}"/>
    <hyperlink ref="E295" r:id="rId251" xr:uid="{026B4EF1-1198-452F-9EF3-1AD09E58CEA1}"/>
    <hyperlink ref="E296" r:id="rId252" xr:uid="{2835C69F-34CF-442F-81CD-7DF735C25156}"/>
    <hyperlink ref="E297" r:id="rId253" xr:uid="{3725A968-1B9F-472D-B42B-A1A068651CBB}"/>
    <hyperlink ref="E298" r:id="rId254" xr:uid="{537DAB80-1F32-45FF-B441-4D204CB955A0}"/>
    <hyperlink ref="E299" r:id="rId255" xr:uid="{825D5D0C-D92E-459B-9FC2-7EBDD3CD1316}"/>
    <hyperlink ref="E300" r:id="rId256" xr:uid="{2BC09449-5FD1-429D-B1BC-810C583938A5}"/>
    <hyperlink ref="E301" r:id="rId257" xr:uid="{ECC94A08-E5E1-4C30-834F-FF897AC0FEE2}"/>
    <hyperlink ref="E302" r:id="rId258" xr:uid="{E52DAB62-754D-4C04-AF43-389C1239E932}"/>
    <hyperlink ref="E303" r:id="rId259" xr:uid="{0BC11E5E-81B8-4969-BFB8-75D0602F0C4E}"/>
    <hyperlink ref="E304" r:id="rId260" xr:uid="{6CC2AA65-39CD-4BDD-9C57-5666C274382A}"/>
    <hyperlink ref="E305" r:id="rId261" xr:uid="{65FE3738-97E8-4E76-B54C-EACFE3CBF5E8}"/>
    <hyperlink ref="E306" r:id="rId262" xr:uid="{91829226-5948-43D0-A6FD-4FD9C5D35217}"/>
    <hyperlink ref="E307" r:id="rId263" xr:uid="{351A2499-11E5-4F63-8400-5F2275DCA59D}"/>
    <hyperlink ref="E308" r:id="rId264" xr:uid="{ABD34E51-10D5-4632-B3FC-34612E379FBF}"/>
    <hyperlink ref="E309" r:id="rId265" xr:uid="{68E089EB-E475-458B-89BA-5D8B6697788F}"/>
    <hyperlink ref="E310" r:id="rId266" xr:uid="{61C11BB2-7862-40F2-A213-EB455687C4FC}"/>
    <hyperlink ref="E311" r:id="rId267" xr:uid="{B9EE88B6-4B28-46C8-945A-292BFE0D6D2E}"/>
    <hyperlink ref="E312" r:id="rId268" xr:uid="{3EA882C4-564E-463C-8045-B39B61095671}"/>
    <hyperlink ref="E313" r:id="rId269" xr:uid="{76DBAEDA-8BD7-43E6-A7D7-3C2DDF3864C8}"/>
    <hyperlink ref="E314" r:id="rId270" xr:uid="{30941FF6-D132-4345-8540-E6E7A06D1A4F}"/>
    <hyperlink ref="E315" r:id="rId271" xr:uid="{7964ECCA-FFD6-4FA2-B034-205FFD2C962D}"/>
    <hyperlink ref="E316" r:id="rId272" xr:uid="{A64444AE-217D-4C05-A4E6-8901147D4B32}"/>
    <hyperlink ref="E317" r:id="rId273" xr:uid="{7A70A553-6193-4351-9708-7D681F59652E}"/>
    <hyperlink ref="E318" r:id="rId274" xr:uid="{7E6FD97E-DBE0-4634-B416-117219D75EDB}"/>
    <hyperlink ref="E319" r:id="rId275" xr:uid="{699965E5-9C01-401C-B011-6AF43C326D94}"/>
    <hyperlink ref="E320" r:id="rId276" xr:uid="{36238D39-03FD-4D55-AC32-B5E25F39AF52}"/>
    <hyperlink ref="E321" r:id="rId277" xr:uid="{6B2C7014-B934-4B8E-BC4C-9FEA84EDE414}"/>
    <hyperlink ref="E322" r:id="rId278" xr:uid="{4E73428E-6277-451C-9EBB-5344C94F5DB8}"/>
    <hyperlink ref="E323" r:id="rId279" xr:uid="{B3E68191-ADC8-4BF0-88D3-6C5283DB742C}"/>
    <hyperlink ref="E324" r:id="rId280" xr:uid="{E4282920-9B28-4E55-A480-926A5B730579}"/>
    <hyperlink ref="E325" r:id="rId281" xr:uid="{37A5F7E8-79BA-4A4E-96B9-97D5C2635B6A}"/>
    <hyperlink ref="E326" r:id="rId282" xr:uid="{BF606B3F-B53D-4E33-AECA-EA24173962A1}"/>
    <hyperlink ref="E327" r:id="rId283" xr:uid="{430452E9-B58F-46FC-9CCC-83BEF860E517}"/>
    <hyperlink ref="E328" r:id="rId284" xr:uid="{3644D014-314F-47AE-A994-B8F32DEB5E5F}"/>
    <hyperlink ref="E329" r:id="rId285" xr:uid="{45CC64E7-FF49-4873-A11E-1143707E7B88}"/>
    <hyperlink ref="E330" r:id="rId286" xr:uid="{2E15E414-F166-4CE8-8040-5F37DE631664}"/>
    <hyperlink ref="E331" r:id="rId287" xr:uid="{D8741112-1412-4648-AFAE-865D5BB046D2}"/>
    <hyperlink ref="E332" r:id="rId288" xr:uid="{EBBFCF78-D4F0-4A10-BA54-B20A453B074D}"/>
    <hyperlink ref="E333" r:id="rId289" xr:uid="{08E5F945-2BA6-48EC-B773-18316F57D3BB}"/>
    <hyperlink ref="E334" r:id="rId290" xr:uid="{E5D8CA5B-90D5-4A40-AE3C-21EFF8BBB595}"/>
    <hyperlink ref="E335" r:id="rId291" xr:uid="{1E4EC39F-11F8-469F-AF72-D2A86BF51B6A}"/>
    <hyperlink ref="E336" r:id="rId292" xr:uid="{432553CC-0B09-4A2B-ABB9-3AF256D3C94C}"/>
    <hyperlink ref="E337" r:id="rId293" xr:uid="{E41510C8-81F0-4972-9167-2049E1FFF08A}"/>
    <hyperlink ref="E338" r:id="rId294" xr:uid="{DEA8F724-D700-4519-A8E1-C8E063114E29}"/>
    <hyperlink ref="E339" r:id="rId295" xr:uid="{B2D74A11-CD9D-4D51-8597-C4F55F31E846}"/>
    <hyperlink ref="E340" r:id="rId296" xr:uid="{DF177D9C-FA4B-436D-9B78-85D070DD7551}"/>
    <hyperlink ref="E341" r:id="rId297" xr:uid="{FB1C9E2E-8724-481F-9ED1-F01B9A4C9D8C}"/>
    <hyperlink ref="E342" r:id="rId298" xr:uid="{B850F4AC-F009-4D1D-BBA5-2765DC3D7678}"/>
    <hyperlink ref="E343" r:id="rId299" xr:uid="{E89DCADA-33DF-4164-BE64-BA0A54B10CE0}"/>
    <hyperlink ref="E344" r:id="rId300" xr:uid="{516527DF-E2C5-4FB0-9D74-249952C7C697}"/>
    <hyperlink ref="E345" r:id="rId301" xr:uid="{34F517E4-6CD9-4FFE-B1DA-BC0ED1CE1C7D}"/>
    <hyperlink ref="E346" r:id="rId302" xr:uid="{A754B658-EF62-411B-8500-3989730B6C68}"/>
    <hyperlink ref="E347" r:id="rId303" xr:uid="{FF73F48C-4B97-4469-BE62-D4DC8C5B9BF4}"/>
    <hyperlink ref="E348" r:id="rId304" xr:uid="{AE7225B9-BA20-40E0-887D-CF2E7F7D81E3}"/>
    <hyperlink ref="E349" r:id="rId305" xr:uid="{AC87CED7-C759-4D92-9788-B23085FA95BC}"/>
    <hyperlink ref="E350" r:id="rId306" xr:uid="{815C23A5-D59E-4D04-9107-F12B6CE276A4}"/>
    <hyperlink ref="E351" r:id="rId307" xr:uid="{A72A84B1-136F-437E-9258-498BB119E38C}"/>
    <hyperlink ref="E352" r:id="rId308" xr:uid="{FD071B2E-9DA5-4249-A00F-856A107A7198}"/>
    <hyperlink ref="E353" r:id="rId309" xr:uid="{65F39E04-1F44-4670-ACD0-2FA9B62AC235}"/>
    <hyperlink ref="E354" r:id="rId310" xr:uid="{6A95033E-C0C3-44E0-8759-64171BD2752D}"/>
    <hyperlink ref="E355" r:id="rId311" xr:uid="{8A65867C-911C-4633-82F8-27C65460ACB9}"/>
    <hyperlink ref="E356" r:id="rId312" xr:uid="{86218740-8B94-41B9-8D35-583922D0BDBD}"/>
    <hyperlink ref="E357" r:id="rId313" xr:uid="{A7D35715-4F59-41C7-A6C1-119AF236417B}"/>
    <hyperlink ref="E358" r:id="rId314" xr:uid="{C797B70F-3EA4-4C24-8380-86E84E297964}"/>
    <hyperlink ref="E359" r:id="rId315" xr:uid="{7DEE51B2-A91E-4119-B65B-4519AF9981A7}"/>
    <hyperlink ref="E360" r:id="rId316" xr:uid="{13E87336-4514-42E3-8216-4B9FCE59614B}"/>
    <hyperlink ref="E361" r:id="rId317" xr:uid="{009176B0-FD6E-4D8A-B590-1D5AA53F815D}"/>
    <hyperlink ref="E362" r:id="rId318" xr:uid="{DA75E6BB-2C9B-4801-9354-19A6AD92D6E5}"/>
    <hyperlink ref="E363" r:id="rId319" xr:uid="{FAD776CE-0094-4EE9-B63C-6ED649EAE2EE}"/>
    <hyperlink ref="E364" r:id="rId320" xr:uid="{F1923B85-8A47-4077-8ACF-AE18032B69C6}"/>
    <hyperlink ref="E365" r:id="rId321" xr:uid="{6DB6947D-A681-40E4-A106-356855E508D6}"/>
    <hyperlink ref="E366" r:id="rId322" xr:uid="{D69A940F-B5BB-4A75-9005-1B249AC89BC1}"/>
    <hyperlink ref="E367" r:id="rId323" xr:uid="{8E8E36BF-4B88-464A-87D9-E71477A18277}"/>
    <hyperlink ref="E368" r:id="rId324" xr:uid="{2E3CB689-14FF-4173-8441-375A25645346}"/>
    <hyperlink ref="E369" r:id="rId325" xr:uid="{904900CD-D41B-48DD-8A36-A4550684077D}"/>
    <hyperlink ref="E370" r:id="rId326" xr:uid="{215D207A-EDDD-4FE1-96AE-0C9EF86C0F86}"/>
    <hyperlink ref="E371" r:id="rId327" xr:uid="{D751C39B-05FE-4FF3-819A-2ED1B197DE5E}"/>
    <hyperlink ref="E372" r:id="rId328" xr:uid="{34143BC2-8D1E-42B3-941E-64FEF42E574C}"/>
    <hyperlink ref="E373" r:id="rId329" xr:uid="{7EEDBA62-0918-4311-8976-CDFC8F5F5CE7}"/>
    <hyperlink ref="E374" r:id="rId330" xr:uid="{B2E3F193-B43D-44FD-A7A9-E01C9295B44C}"/>
    <hyperlink ref="E375" r:id="rId331" xr:uid="{C076ED46-9B66-4819-8BD0-5BEBF81D4DE0}"/>
    <hyperlink ref="E376" r:id="rId332" xr:uid="{3E7685C2-CF3C-4563-8CDE-7A2B7E170EB2}"/>
    <hyperlink ref="E377" r:id="rId333" xr:uid="{630FAAA6-C8BA-4851-A1AC-E3A9A7D43A0C}"/>
    <hyperlink ref="E378" r:id="rId334" xr:uid="{BF27A412-FEAD-4A8F-9180-6319A29F274A}"/>
    <hyperlink ref="E379" r:id="rId335" xr:uid="{05F15A89-81E3-4707-97C2-A6D4491AC785}"/>
    <hyperlink ref="E380" r:id="rId336" xr:uid="{3D473613-2DA0-4D6F-B260-DA444BAD9596}"/>
    <hyperlink ref="E381" r:id="rId337" xr:uid="{E989F721-4C84-4B4E-A395-55ABE12C9F1E}"/>
    <hyperlink ref="E382" r:id="rId338" xr:uid="{7D794D34-A12C-4B33-BB4C-33A655DE3989}"/>
    <hyperlink ref="E383" r:id="rId339" xr:uid="{BDD9500A-BFDE-4762-9018-94D5B303A4DB}"/>
    <hyperlink ref="E384" r:id="rId340" xr:uid="{1C61AE5F-10D7-4A06-8D0F-DD324C9087DE}"/>
    <hyperlink ref="E385" r:id="rId341" xr:uid="{94DA9173-C7AF-422A-A3D1-A9E9B86C9CD2}"/>
    <hyperlink ref="E386" r:id="rId342" xr:uid="{C08C76FC-C9D6-4FA6-9415-E20A3BCF03D1}"/>
    <hyperlink ref="E387" r:id="rId343" xr:uid="{4CE0D978-C149-4790-B8E4-039B832C84E7}"/>
    <hyperlink ref="E388" r:id="rId344" xr:uid="{286B6BB6-21CA-42B6-80BE-247FF1957CB8}"/>
    <hyperlink ref="E389" r:id="rId345" xr:uid="{3C3688EB-8FAC-47A4-8ACD-2DB13E9C10F8}"/>
    <hyperlink ref="E390" r:id="rId346" xr:uid="{0335BBFD-A3F7-42B9-82E5-9DB75DD1E013}"/>
    <hyperlink ref="E391" r:id="rId347" xr:uid="{43A974E7-4831-4E24-8474-84490C39406A}"/>
    <hyperlink ref="E392" r:id="rId348" xr:uid="{5921347F-3BD8-4F92-8052-5CEF5052A5A3}"/>
    <hyperlink ref="E393" r:id="rId349" xr:uid="{4FCD5FA0-32F8-4F7D-A5E5-9DEB0A7064CE}"/>
    <hyperlink ref="E394" r:id="rId350" xr:uid="{6AC6DC7D-0225-4135-A8EB-DE973759FBFC}"/>
    <hyperlink ref="E395" r:id="rId351" xr:uid="{845631A7-EBAD-4283-A248-5DF34034BF1B}"/>
    <hyperlink ref="E396" r:id="rId352" xr:uid="{D2CB134A-864F-42C8-8F02-598DB3BB4081}"/>
    <hyperlink ref="E397" r:id="rId353" xr:uid="{6547BF5B-5677-4889-8BFE-641D35270C76}"/>
    <hyperlink ref="E398" r:id="rId354" xr:uid="{2FC34A9F-EB86-460C-9BC1-C51614E7B214}"/>
    <hyperlink ref="E399" r:id="rId355" xr:uid="{682B899F-D73E-4274-9F30-E387339F4B1C}"/>
    <hyperlink ref="E400" r:id="rId356" xr:uid="{B836DC2C-2FE7-4E6F-B8FE-23EC0DA0F5B0}"/>
    <hyperlink ref="E401" r:id="rId357" xr:uid="{C1782281-5A90-45F8-A40C-B797AB6AB12F}"/>
    <hyperlink ref="E402" r:id="rId358" xr:uid="{2AFBE95B-958D-4972-8EE9-546329237AA0}"/>
    <hyperlink ref="E403" r:id="rId359" xr:uid="{C47630E9-827D-4815-9B72-7D5179DA7749}"/>
    <hyperlink ref="E404" r:id="rId360" xr:uid="{8BF0AA02-C372-4A04-B0A4-38C962B80B81}"/>
    <hyperlink ref="E405" r:id="rId361" xr:uid="{E5CCA6E2-531C-45CA-9400-AAE02B463050}"/>
    <hyperlink ref="E406" r:id="rId362" xr:uid="{9A3FACF3-8B59-4F10-BD30-7151583A2A98}"/>
    <hyperlink ref="E407" r:id="rId363" xr:uid="{1CC07630-4212-4403-BB2A-9F6D1F53D56B}"/>
    <hyperlink ref="E408" r:id="rId364" xr:uid="{61098175-61E6-4946-BB5D-D2D21029C0D5}"/>
    <hyperlink ref="E409" r:id="rId365" xr:uid="{EC40A398-9833-4545-A430-137225F45A9C}"/>
    <hyperlink ref="E410" r:id="rId366" xr:uid="{46094E75-DE51-47ED-8AE3-EFC8BA5EAEC0}"/>
    <hyperlink ref="E411" r:id="rId367" xr:uid="{E506B2A6-531B-4713-8A12-85DE3BD8E9C6}"/>
    <hyperlink ref="E412" r:id="rId368" xr:uid="{2F27AA5C-37F1-4665-AC6D-6C5D117CA0B5}"/>
    <hyperlink ref="E413" r:id="rId369" xr:uid="{C9190B7B-B2DC-4AF5-B83E-60FE89BA0ED9}"/>
    <hyperlink ref="E414" r:id="rId370" xr:uid="{DD2DDA8F-CC16-4AAE-A77F-DE8DC102C3CA}"/>
    <hyperlink ref="E415" r:id="rId371" xr:uid="{BBFB0C1A-584F-4E4D-91B8-4DE786059CA7}"/>
    <hyperlink ref="E416" r:id="rId372" xr:uid="{A456A54C-9BFE-442E-8B34-9EA7E4831390}"/>
    <hyperlink ref="E417" r:id="rId373" xr:uid="{DA3AD022-C7BB-4C79-8C17-60D5824EF8D4}"/>
    <hyperlink ref="E418" r:id="rId374" xr:uid="{662CFBB7-0352-436A-BDB5-B55AA8E84A42}"/>
    <hyperlink ref="E419" r:id="rId375" xr:uid="{4D921E16-E5E7-4254-9EF6-4F5E70C26708}"/>
    <hyperlink ref="E420" r:id="rId376" xr:uid="{87292679-965F-436D-B3A0-0610EC1676AC}"/>
    <hyperlink ref="E421" r:id="rId377" xr:uid="{F37955C0-28C3-43AA-ACE7-6A14ECE9B0B6}"/>
    <hyperlink ref="E422" r:id="rId378" xr:uid="{5C9CE6C3-7DFA-4D2B-AEA5-9531AB2D2326}"/>
    <hyperlink ref="E423" r:id="rId379" xr:uid="{1C91315B-098F-4C40-8618-72D2E1FB101F}"/>
    <hyperlink ref="E424" r:id="rId380" xr:uid="{805914DD-D634-43F9-8F5F-CB2A7BAED8FE}"/>
    <hyperlink ref="E425" r:id="rId381" xr:uid="{9286A322-63D6-4BAD-BDC6-A3205543CE0D}"/>
    <hyperlink ref="E426" r:id="rId382" xr:uid="{A1575718-1739-40E0-8906-2639A57AD81E}"/>
    <hyperlink ref="E427" r:id="rId383" xr:uid="{990A79DE-CEDE-4750-B7D4-CDEC7D2AFA14}"/>
    <hyperlink ref="E428" r:id="rId384" xr:uid="{EC0B710B-E216-4664-9077-568F1C8CD558}"/>
    <hyperlink ref="E429" r:id="rId385" xr:uid="{715B4DAA-0B01-49AC-9608-500045CC0CFC}"/>
    <hyperlink ref="E430" r:id="rId386" xr:uid="{EBDD1E82-651E-4139-B4E2-FBF333D64E57}"/>
    <hyperlink ref="E431" r:id="rId387" xr:uid="{290CBE67-BC35-426B-A471-3AAB0D7A4C34}"/>
    <hyperlink ref="E432" r:id="rId388" xr:uid="{36012C47-F1F6-4C05-B598-D535B64EECCC}"/>
    <hyperlink ref="E433" r:id="rId389" xr:uid="{913C7FFF-146D-4FB5-B993-924E3FCFCF4B}"/>
    <hyperlink ref="E434" r:id="rId390" xr:uid="{6D0B7F17-4692-467A-9E4B-79E3D095D039}"/>
    <hyperlink ref="E435" r:id="rId391" xr:uid="{E5DB6B69-98FA-4EA5-9B12-6244CFD43D23}"/>
    <hyperlink ref="E436" r:id="rId392" xr:uid="{797EF1E7-0EDD-4ACD-BE01-7D2953F0809C}"/>
    <hyperlink ref="E437" r:id="rId393" xr:uid="{AA11174E-C866-4520-9BA8-FAAB20056561}"/>
    <hyperlink ref="E438" r:id="rId394" xr:uid="{7A277FD9-B2B3-4B31-A363-B5CBD9245575}"/>
    <hyperlink ref="E439" r:id="rId395" xr:uid="{A9B1EFBE-9E09-4B3D-9320-44D7D88A938A}"/>
    <hyperlink ref="E440" r:id="rId396" xr:uid="{E430BDB2-C35D-48FC-8195-A688AC6FF469}"/>
    <hyperlink ref="E441" r:id="rId397" xr:uid="{890464BA-8FA1-4CCC-B67C-8A8318EFE0DA}"/>
    <hyperlink ref="E442" r:id="rId398" xr:uid="{8BAA9049-C404-4DEB-BA56-11351E1D6E8D}"/>
    <hyperlink ref="E443" r:id="rId399" xr:uid="{1ABC39F7-A040-43FF-BBA5-8706241010F9}"/>
    <hyperlink ref="E444" r:id="rId400" xr:uid="{E28FA234-7376-4725-A80C-48AB395F3DE6}"/>
    <hyperlink ref="E445" r:id="rId401" xr:uid="{5E5378F5-3AB6-4092-B6D5-8317F7E26D82}"/>
    <hyperlink ref="E446" r:id="rId402" xr:uid="{D0D4687E-5A7F-4481-8E98-4ED19A090AAF}"/>
    <hyperlink ref="E447" r:id="rId403" xr:uid="{B8B70482-EFBD-42C9-843A-6A39D5FAE878}"/>
    <hyperlink ref="E448" r:id="rId404" xr:uid="{C93D19A9-A2D9-41BA-AA78-E35147D2A209}"/>
    <hyperlink ref="E449" r:id="rId405" xr:uid="{21CC1570-3767-4FAE-85A8-447930133153}"/>
    <hyperlink ref="E450" r:id="rId406" xr:uid="{F0A534D0-3A5C-436B-896D-BF6B8AFAABA0}"/>
    <hyperlink ref="E451" r:id="rId407" xr:uid="{F3E5E267-6EEC-41C2-9FAA-7BDBEA8BA622}"/>
    <hyperlink ref="E452" r:id="rId408" xr:uid="{0913AF9D-4C88-46FB-8851-DC7C26EB730A}"/>
    <hyperlink ref="E453" r:id="rId409" xr:uid="{36CA2420-D289-46FF-9899-18C4610B10F8}"/>
    <hyperlink ref="E454" r:id="rId410" xr:uid="{ABBA4BF9-0EB0-4B4C-9C6D-E77F2486AAD7}"/>
    <hyperlink ref="E455" r:id="rId411" xr:uid="{41E47057-F520-4637-9CDA-A09547F71167}"/>
    <hyperlink ref="E456" r:id="rId412" xr:uid="{EEAF1A22-9274-466F-BD69-17A82A62AE49}"/>
    <hyperlink ref="E457" r:id="rId413" xr:uid="{500A86AE-578A-4A37-88E5-F3AB8F37035F}"/>
    <hyperlink ref="E458" r:id="rId414" xr:uid="{C978B2AD-80E4-43FD-BFC5-AE3937C4994C}"/>
    <hyperlink ref="E459" r:id="rId415" xr:uid="{F75387E0-863D-4A2D-ACF3-A93BF5BC8D14}"/>
    <hyperlink ref="E460" r:id="rId416" xr:uid="{2753BD19-BEEE-4D94-948D-AEB27DABE30B}"/>
    <hyperlink ref="E461" r:id="rId417" xr:uid="{B0A6C6CE-2BF7-4B6B-BDD2-A2B3C849E808}"/>
    <hyperlink ref="E462" r:id="rId418" xr:uid="{040BE970-4B77-46AF-B838-D6D2E5C6EBB1}"/>
    <hyperlink ref="E463" r:id="rId419" xr:uid="{CC400BE4-A479-4794-872B-8F02785131F3}"/>
    <hyperlink ref="E464" r:id="rId420" xr:uid="{3B0A0723-6F48-40FA-ACCD-47A3D492A786}"/>
    <hyperlink ref="E465" r:id="rId421" xr:uid="{730E93EC-B87F-49F9-8788-E3759CEB0CAD}"/>
    <hyperlink ref="E466" r:id="rId422" xr:uid="{B75B6E0E-B14F-4251-9BD3-30C25C484FA0}"/>
    <hyperlink ref="E467" r:id="rId423" xr:uid="{BC16818D-7952-45F5-8B89-2A7B4F738189}"/>
    <hyperlink ref="E468" r:id="rId424" xr:uid="{E82D2F73-D348-4CAB-98D9-036B09FB7D8B}"/>
    <hyperlink ref="E469" r:id="rId425" xr:uid="{70E90D56-5674-4C87-8C01-0E9632590D22}"/>
    <hyperlink ref="E480" r:id="rId426" xr:uid="{7F231BE9-03FB-4F7D-B94F-C0E1466C10EC}"/>
    <hyperlink ref="E481" r:id="rId427" xr:uid="{BE7C7DE0-FDE8-42C0-BC20-1A834227235F}"/>
    <hyperlink ref="E482" r:id="rId428" xr:uid="{FD09EB56-CF41-4CE2-B44C-64AD64D843EC}"/>
    <hyperlink ref="E483" r:id="rId429" xr:uid="{4960188D-2D4C-4817-A335-AD1DA7F7CB5A}"/>
    <hyperlink ref="E484" r:id="rId430" xr:uid="{01F9C1DD-A141-4268-8F37-D68ABC6A0C81}"/>
    <hyperlink ref="E485" r:id="rId431" xr:uid="{9481DF33-3115-4A3D-9A2F-460ACB6DB11C}"/>
    <hyperlink ref="E486" r:id="rId432" xr:uid="{5B114AAC-C0EB-47FF-8F05-50BB581396A0}"/>
    <hyperlink ref="E487" r:id="rId433" xr:uid="{CCC67169-9E9D-4E91-AA68-DBD7208F2E9E}"/>
    <hyperlink ref="E488" r:id="rId434" xr:uid="{00D99E7C-06FF-496F-ACFB-BB5CB8D0B782}"/>
    <hyperlink ref="E489" r:id="rId435" xr:uid="{9B852842-2BF8-41A2-BD37-0A373653EE1E}"/>
    <hyperlink ref="E490" r:id="rId436" xr:uid="{6C178FD1-3654-492B-A2C6-DC58FCB0E5FB}"/>
    <hyperlink ref="E491" r:id="rId437" xr:uid="{ACF752DA-8D3F-4278-885A-A6CD951F16D1}"/>
    <hyperlink ref="E492" r:id="rId438" xr:uid="{63C4154C-5C8F-4424-8264-FC3A6DC55D78}"/>
    <hyperlink ref="E493" r:id="rId439" xr:uid="{3CAC3E2E-079F-4CD2-B952-9C414D090F06}"/>
    <hyperlink ref="E494" r:id="rId440" xr:uid="{DDD28D26-7492-429D-A2D4-F43B73912293}"/>
    <hyperlink ref="E495" r:id="rId441" xr:uid="{36402E7A-C7C0-412C-843B-B441BDC86F4C}"/>
    <hyperlink ref="E496" r:id="rId442" xr:uid="{3FAB7563-DBC9-4DF6-BA0F-2D33F1D79126}"/>
    <hyperlink ref="E497" r:id="rId443" xr:uid="{BEB0B96E-5104-405C-91F4-EE160BAEC1C3}"/>
    <hyperlink ref="E498" r:id="rId444" xr:uid="{7907DC79-21B3-43AB-81F1-6E11EEAAC8B2}"/>
    <hyperlink ref="E499" r:id="rId445" xr:uid="{CF96273D-A9F0-40EF-BB90-D53F58E23E32}"/>
    <hyperlink ref="E500" r:id="rId446" xr:uid="{8A9693B1-E524-4A29-9A47-671997A63747}"/>
    <hyperlink ref="E501" r:id="rId447" xr:uid="{DB35D574-E697-4CE8-AA55-FBE669D68EF1}"/>
    <hyperlink ref="E502" r:id="rId448" xr:uid="{6412E123-0403-43CA-9BDA-85D328575B9F}"/>
    <hyperlink ref="E503" r:id="rId449" xr:uid="{9E451E30-FEAC-4DF2-8CD2-4EF49592F175}"/>
    <hyperlink ref="E504" r:id="rId450" xr:uid="{7E66F72B-F869-4F88-BA3D-2C691915919C}"/>
    <hyperlink ref="E505" r:id="rId451" xr:uid="{1557472A-EB72-4F6D-82DB-D5EEE54A8B78}"/>
    <hyperlink ref="E506" r:id="rId452" xr:uid="{D4BEB05D-2C2A-4FA0-978D-F3AE95262C88}"/>
    <hyperlink ref="E507" r:id="rId453" xr:uid="{65EEBE5A-CDA5-47E9-91D6-1F1C9DB8B361}"/>
    <hyperlink ref="E508" r:id="rId454" xr:uid="{2BAC9FA8-2927-49C0-A65B-0DEF76FC07F6}"/>
    <hyperlink ref="E509" r:id="rId455" xr:uid="{15DDBE16-5955-478F-9E31-A2ABB6EE088D}"/>
    <hyperlink ref="E510" r:id="rId456" xr:uid="{FD21A6EF-ADB4-48D8-AF6B-036B3E463885}"/>
    <hyperlink ref="E511" r:id="rId457" xr:uid="{6E7ED469-85E6-4C5C-9975-0D54DBE14B4D}"/>
    <hyperlink ref="E512" r:id="rId458" xr:uid="{19122C96-0CFB-46E8-B6EE-605FD43CD2E4}"/>
    <hyperlink ref="E513" r:id="rId459" xr:uid="{FE96C89E-CE80-48E7-B6D0-CF8868603211}"/>
    <hyperlink ref="E514" r:id="rId460" xr:uid="{9AA1167A-E394-43C1-9DD6-24C1D0D1F205}"/>
    <hyperlink ref="E515" r:id="rId461" xr:uid="{1C203342-C7EA-47C8-B274-63C51FA47898}"/>
    <hyperlink ref="E516" r:id="rId462" xr:uid="{274E3A2B-921D-45C0-96BE-C9EF4CE9A4A7}"/>
    <hyperlink ref="E517" r:id="rId463" xr:uid="{73ADB649-2E67-4EC7-A65F-8F688DA1AB61}"/>
    <hyperlink ref="E518" r:id="rId464" xr:uid="{F015543B-3ACB-4BBC-9A3E-8BD231CF5FD5}"/>
    <hyperlink ref="E519" r:id="rId465" xr:uid="{6C627F89-D523-4F50-9464-E54B87EA6595}"/>
    <hyperlink ref="E520" r:id="rId466" xr:uid="{1ECF1AE6-59F6-44EC-942B-9B4746CC55BC}"/>
    <hyperlink ref="E521" r:id="rId467" xr:uid="{77693C3A-AE6C-4FF4-88D6-72872F3ED03A}"/>
    <hyperlink ref="E522" r:id="rId468" xr:uid="{99768BBA-8F38-424D-AF8E-59A70640FBFC}"/>
    <hyperlink ref="E523" r:id="rId469" xr:uid="{5CAF7F08-B833-4499-BF33-694F6DDE15B5}"/>
    <hyperlink ref="E524" r:id="rId470" xr:uid="{CF2D29D8-E407-4DF2-9C7F-14E4E8C28B63}"/>
    <hyperlink ref="E525" r:id="rId471" xr:uid="{D700E3CD-99B1-4596-BD0C-4A5CE4A0DBBE}"/>
    <hyperlink ref="E526" r:id="rId472" xr:uid="{BD451B1B-1134-4DD2-BF61-011519E7371B}"/>
    <hyperlink ref="E527" r:id="rId473" xr:uid="{D5EE2D6A-741E-4E9A-A1AC-FD4CDA8BA306}"/>
    <hyperlink ref="E528" r:id="rId474" xr:uid="{4FE8E0E2-6D6B-429D-95A1-4A3D744344B1}"/>
    <hyperlink ref="E529" r:id="rId475" xr:uid="{A4AD30EC-799F-4539-9119-D1C09C1186D3}"/>
    <hyperlink ref="E530" r:id="rId476" xr:uid="{ED52A161-8A0F-4097-8A8C-837113F9D354}"/>
    <hyperlink ref="E531" r:id="rId477" xr:uid="{B1F14B43-5ADA-46FB-9E6A-FFE1CE898B1C}"/>
    <hyperlink ref="E532" r:id="rId478" xr:uid="{8D7F410D-E503-4DD2-8942-B5070F4C5964}"/>
    <hyperlink ref="E533" r:id="rId479" xr:uid="{FC587AC8-E7D9-4CAE-92A2-13CE82CCB64C}"/>
    <hyperlink ref="E534" r:id="rId480" xr:uid="{515BCD35-0FC7-4F7C-BD60-F290717DEC36}"/>
    <hyperlink ref="E535" r:id="rId481" xr:uid="{45984C7D-09CC-4B9C-AE0C-509D17FAACAF}"/>
    <hyperlink ref="E536" r:id="rId482" xr:uid="{78392A34-EA47-44C5-B73A-F68170EF765D}"/>
    <hyperlink ref="E537" r:id="rId483" xr:uid="{88E95497-E3FB-4DB5-AC4C-AC8FEA0FBE27}"/>
    <hyperlink ref="E538" r:id="rId484" xr:uid="{CB73EEF8-1F47-4F17-B965-6DBDC87B21DA}"/>
    <hyperlink ref="E539" r:id="rId485" xr:uid="{40ECB9E3-4862-4774-B0EE-5B0756F5AADC}"/>
    <hyperlink ref="E540" r:id="rId486" xr:uid="{F788A20C-1F82-4126-B653-591E3921FB77}"/>
    <hyperlink ref="E541" r:id="rId487" xr:uid="{06D100DE-D9A8-4932-8E91-3DBAB0CE6841}"/>
    <hyperlink ref="E542" r:id="rId488" xr:uid="{65D0D9B9-B4C4-4644-9FC6-834929FA1BE2}"/>
    <hyperlink ref="E543" r:id="rId489" xr:uid="{A9AC624C-E4C2-4672-9C57-988413D89260}"/>
    <hyperlink ref="E544" r:id="rId490" xr:uid="{0E2E6740-BB82-4BC5-A20B-4954481AF697}"/>
    <hyperlink ref="E545" r:id="rId491" xr:uid="{24029DE0-0D7A-4DB1-BC7F-CE69E0D59F41}"/>
    <hyperlink ref="E546" r:id="rId492" xr:uid="{51D545AC-45B4-45EA-8464-44C5EF93A9D0}"/>
    <hyperlink ref="E547" r:id="rId493" xr:uid="{5BA0AE2C-BC81-475A-8F57-6C3666D951E2}"/>
    <hyperlink ref="E548" r:id="rId494" xr:uid="{9F114562-F7B1-49EF-BD8A-948F961E5BE7}"/>
    <hyperlink ref="E549" r:id="rId495" xr:uid="{F3411708-F602-461B-A83E-98DB519F92A8}"/>
    <hyperlink ref="E550" r:id="rId496" xr:uid="{21112941-FF10-4B86-83BD-FDD0B20DF025}"/>
    <hyperlink ref="E551" r:id="rId497" xr:uid="{2D1BE9BB-D155-4F8D-ACD8-339EF1249FEE}"/>
    <hyperlink ref="E552" r:id="rId498" xr:uid="{09727247-8FFA-4D32-8A4D-3C1DAC058338}"/>
    <hyperlink ref="E553" r:id="rId499" xr:uid="{ED491CB7-E49C-496C-894C-96FCFFBDCAC4}"/>
    <hyperlink ref="E554" r:id="rId500" xr:uid="{E4D6EF9C-8ECC-4FA0-BFBB-4493592EFD99}"/>
    <hyperlink ref="E555" r:id="rId501" xr:uid="{9121E048-6741-45BB-8332-F9A5FC6C4A5F}"/>
    <hyperlink ref="E556" r:id="rId502" xr:uid="{A357835B-A545-4909-8095-50B8A9346DA8}"/>
    <hyperlink ref="E557" r:id="rId503" xr:uid="{08DB03BA-35DC-4C4A-895F-B383247115BF}"/>
    <hyperlink ref="E558" r:id="rId504" xr:uid="{DAE3D6BC-6FA7-4AE4-A02B-BFD133C87548}"/>
    <hyperlink ref="E559" r:id="rId505" xr:uid="{B055829D-D863-4AED-BD2F-A0CC09FF06A6}"/>
    <hyperlink ref="E560" r:id="rId506" xr:uid="{6BCFF31F-CB96-43D3-8E77-04C3F22F0523}"/>
    <hyperlink ref="E561" r:id="rId507" xr:uid="{46AD2BC4-9A6F-433D-B5BD-AB74C41FF972}"/>
    <hyperlink ref="E562" r:id="rId508" xr:uid="{B323AB54-F564-49BF-8D0E-14D1AE064A24}"/>
    <hyperlink ref="E563" r:id="rId509" xr:uid="{2545AEF1-6DA4-4036-883A-A212C57FF898}"/>
    <hyperlink ref="E564" r:id="rId510" xr:uid="{20D7F45F-9FAD-4999-85A0-97F3DBC8864B}"/>
    <hyperlink ref="E565" r:id="rId511" xr:uid="{0A02CB3B-169D-4385-A1C0-32F800FCBEF4}"/>
    <hyperlink ref="E479" r:id="rId512" xr:uid="{653C28F4-A94F-40B9-ACDE-550FD928610C}"/>
    <hyperlink ref="E478" r:id="rId513" xr:uid="{5972CD43-1C83-4FBC-A0CA-B2EF117676C5}"/>
    <hyperlink ref="E477" r:id="rId514" xr:uid="{C18811EA-33B1-4F97-B203-4C8C6255D47C}"/>
    <hyperlink ref="E476" r:id="rId515" xr:uid="{86B0BD9A-FDD0-4C13-A981-ACBDE5AF639B}"/>
    <hyperlink ref="E475" r:id="rId516" xr:uid="{4CCB0ECC-A2E1-4DA4-AB36-F52E19309C1A}"/>
    <hyperlink ref="E474" r:id="rId517" xr:uid="{7D512795-903D-473E-99BC-F1E7FE339D6B}"/>
    <hyperlink ref="E473" r:id="rId518" xr:uid="{4ED83859-BFD0-45D2-B86A-46270A37EAC2}"/>
    <hyperlink ref="E472" r:id="rId519" xr:uid="{3AF302CB-13C9-45AE-8F1B-3B6E4AF36ED3}"/>
    <hyperlink ref="E471" r:id="rId520" xr:uid="{97160236-F5B0-4947-A3E2-D9BE4DC487B9}"/>
    <hyperlink ref="E470" r:id="rId521" xr:uid="{629EE5E7-70EB-4B8E-9144-50D790BAE4B5}"/>
    <hyperlink ref="E576" r:id="rId522" xr:uid="{0A3BB502-D5F7-4A17-895D-955A13301B59}"/>
    <hyperlink ref="E578" r:id="rId523" xr:uid="{55E5F4B3-23F6-4FF4-AC35-0731C202C08A}"/>
    <hyperlink ref="E566" r:id="rId524" xr:uid="{4AD804C5-3892-4D76-B8A6-ED3A77F6D001}"/>
    <hyperlink ref="E567" r:id="rId525" xr:uid="{A19C5FA3-A9D4-4173-9541-8A1FC53DE713}"/>
    <hyperlink ref="E568" r:id="rId526" xr:uid="{092CED69-6BD0-4C4A-BAB8-3BA4179C67E0}"/>
    <hyperlink ref="E569" r:id="rId527" xr:uid="{C8ABE394-C7DE-41CF-A747-92056F07DC1D}"/>
    <hyperlink ref="E570" r:id="rId528" xr:uid="{19EA1243-200D-4341-A103-5CC19CDB3017}"/>
    <hyperlink ref="E571" r:id="rId529" xr:uid="{FC9529E0-48A6-4E4C-BE59-CE9B34264601}"/>
    <hyperlink ref="E572" r:id="rId530" xr:uid="{E75FA4C8-439C-4AA0-BEFE-8B628DAD0348}"/>
    <hyperlink ref="E573" r:id="rId531" xr:uid="{D93D2D08-2DF6-4692-BC46-FF0773BF758D}"/>
    <hyperlink ref="E574" r:id="rId532" xr:uid="{BE0A6460-9BAB-431E-8CE1-D77ED51B4002}"/>
    <hyperlink ref="E575" r:id="rId533" xr:uid="{2BEB4560-5C18-4740-886E-1301D2FDD038}"/>
    <hyperlink ref="E577" r:id="rId534" xr:uid="{5719846F-BCC1-481D-9137-75739164F2E7}"/>
    <hyperlink ref="E579" r:id="rId535" xr:uid="{ACE70DB4-09E7-4BE4-BB54-13C06A4460E3}"/>
    <hyperlink ref="E580" r:id="rId536" xr:uid="{7744C067-5C7E-40B6-BB20-5F5805CCEE38}"/>
    <hyperlink ref="E581" r:id="rId537" xr:uid="{958C4CD2-11D3-411C-A035-C058E81170ED}"/>
    <hyperlink ref="E582" r:id="rId538" xr:uid="{C99AC92D-AD65-41DF-BF4C-7E97D272110A}"/>
    <hyperlink ref="E583" r:id="rId539" xr:uid="{91A4E4B3-B045-4A55-92F2-8CB09E8C65C7}"/>
    <hyperlink ref="E584" r:id="rId540" xr:uid="{B1C6FF46-82B3-4C17-BC67-15BD5F32E2D9}"/>
    <hyperlink ref="E585" r:id="rId541" xr:uid="{5202B275-1B48-4C94-9ECE-D890BD5A4B0C}"/>
    <hyperlink ref="E586" r:id="rId542" xr:uid="{B1D9B16E-D4B7-48C0-8FDB-3C04DA07A539}"/>
    <hyperlink ref="E587" r:id="rId543" xr:uid="{BF25C481-1477-498F-A3F9-862E8B0DDBEE}"/>
    <hyperlink ref="E588" r:id="rId544" xr:uid="{BD2A8D10-8CA9-4808-B179-8372BA22A5BD}"/>
    <hyperlink ref="E589" r:id="rId545" xr:uid="{562ED1F7-AE35-4F5B-A30D-09FD545ADA35}"/>
    <hyperlink ref="E590" r:id="rId546" xr:uid="{84420130-3C37-45B7-9D98-F35F16B1CF50}"/>
    <hyperlink ref="E591" r:id="rId547" xr:uid="{EEDEE326-3C80-48E9-8524-D8BDC6DCDEED}"/>
    <hyperlink ref="E592" r:id="rId548" xr:uid="{DFF1479E-EF7C-4550-AD72-4CA5AF014186}"/>
    <hyperlink ref="E593" r:id="rId549" xr:uid="{60CCA514-AE18-4163-8DFB-6CA0E0216E7F}"/>
    <hyperlink ref="E594" r:id="rId550" xr:uid="{987576C6-127B-4437-BEE9-BAA200186908}"/>
    <hyperlink ref="E595" r:id="rId551" xr:uid="{C16EEB56-D8D2-4870-BA1E-8D07F681BB73}"/>
    <hyperlink ref="E596" r:id="rId552" xr:uid="{1A34F039-F01A-4935-B231-B2D5B481FDE9}"/>
    <hyperlink ref="E597" r:id="rId553" xr:uid="{6C7EC1B3-F072-4D98-BBEB-E1E9E8A4C804}"/>
    <hyperlink ref="E598" r:id="rId554" xr:uid="{9B7EFEFF-DAE8-482F-951E-A0F187ED7404}"/>
    <hyperlink ref="E599" r:id="rId555" xr:uid="{3BC7ABFE-67B8-4BEF-A999-B0AA5B2AB9C8}"/>
    <hyperlink ref="E600" r:id="rId556" xr:uid="{68873C51-2203-47B3-8390-3533C71983ED}"/>
    <hyperlink ref="E601" r:id="rId557" xr:uid="{2B895A36-D71A-4D52-A63C-3681FB722BE6}"/>
    <hyperlink ref="E602" r:id="rId558" xr:uid="{B5EA388C-517C-4661-9D75-25D6DF636A14}"/>
    <hyperlink ref="E603" r:id="rId559" xr:uid="{420832BB-79CA-4419-ADC9-2DE66791F9FE}"/>
    <hyperlink ref="E604" r:id="rId560" xr:uid="{3CA2187D-2F4C-474D-80A0-DD7D2629E60E}"/>
    <hyperlink ref="E605" r:id="rId561" xr:uid="{F34D9D15-92F6-4ABF-86E8-859C5E90B4F2}"/>
    <hyperlink ref="E606" r:id="rId562" xr:uid="{7F09588A-4626-432B-8AF7-BF2B861DE799}"/>
    <hyperlink ref="E607" r:id="rId563" xr:uid="{C93A6A0D-52A8-4F62-A24B-FF2E83135DEB}"/>
    <hyperlink ref="E608" r:id="rId564" xr:uid="{1E69A08D-5C7D-45B5-A067-FD5D6B6245AB}"/>
    <hyperlink ref="E609" r:id="rId565" xr:uid="{B608585E-C796-4F35-A73F-42194BEEBCDE}"/>
    <hyperlink ref="E610" r:id="rId566" xr:uid="{7BA02F01-4FD9-4C65-A1A8-226E28119905}"/>
    <hyperlink ref="E611" r:id="rId567" xr:uid="{3DAE6DB8-9A1B-4A42-8782-54B925BF7BB8}"/>
    <hyperlink ref="E612" r:id="rId568" xr:uid="{1E9E1042-1E32-40F2-8978-BF8E8915E5CC}"/>
    <hyperlink ref="E613" r:id="rId569" xr:uid="{F943C84C-156A-4143-BF40-AB55FA45A886}"/>
    <hyperlink ref="E614" r:id="rId570" xr:uid="{FAE1DFDA-EC60-477D-9582-DB2D2F36A081}"/>
    <hyperlink ref="E615" r:id="rId571" xr:uid="{9680377E-00EE-457D-AF2F-4F754FDDA675}"/>
    <hyperlink ref="E616" r:id="rId572" xr:uid="{A3F5C840-896F-4087-9ED1-BA274D363972}"/>
    <hyperlink ref="E617" r:id="rId573" xr:uid="{987C83A4-450F-4082-9AB5-73E7C395D296}"/>
    <hyperlink ref="E618" r:id="rId574" xr:uid="{6E01D621-FF60-4D45-AB0E-7C4CA778BD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EEAE-9993-483E-A27E-C5D3D942E013}">
  <dimension ref="A1:AS268"/>
  <sheetViews>
    <sheetView zoomScale="77" zoomScaleNormal="77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18" customWidth="1"/>
    <col min="2" max="2" width="15.140625" style="71" customWidth="1"/>
    <col min="3" max="3" width="15.42578125" style="18" customWidth="1"/>
    <col min="4" max="4" width="15.7109375" style="18" customWidth="1"/>
    <col min="5" max="5" width="17.5703125" style="18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8" customWidth="1"/>
    <col min="10" max="10" width="22.140625" style="51" customWidth="1"/>
    <col min="11" max="11" width="19.140625" style="51" customWidth="1"/>
    <col min="12" max="12" width="21.28515625" style="18" customWidth="1"/>
    <col min="13" max="13" width="21.7109375" style="18" customWidth="1"/>
    <col min="14" max="14" width="19.5703125" style="18" customWidth="1"/>
    <col min="15" max="15" width="21.42578125" style="18" customWidth="1"/>
    <col min="16" max="16" width="23.5703125" style="18" customWidth="1"/>
    <col min="17" max="17" width="19.85546875" style="18" customWidth="1"/>
    <col min="18" max="18" width="15" style="18" customWidth="1"/>
    <col min="19" max="20" width="14.5703125" style="18" customWidth="1"/>
    <col min="21" max="21" width="20.140625" style="18" customWidth="1"/>
    <col min="22" max="22" width="17.5703125" style="73" customWidth="1"/>
    <col min="23" max="23" width="15.5703125" style="18" customWidth="1"/>
    <col min="24" max="24" width="15.5703125" style="72" customWidth="1"/>
    <col min="25" max="25" width="17.42578125" style="18" customWidth="1"/>
    <col min="26" max="28" width="17" style="18" customWidth="1"/>
    <col min="29" max="29" width="20.85546875" style="18" customWidth="1"/>
    <col min="30" max="30" width="16.42578125" style="18" customWidth="1"/>
    <col min="31" max="31" width="13.7109375" style="18" customWidth="1"/>
    <col min="32" max="32" width="14" style="18" customWidth="1"/>
    <col min="33" max="33" width="13.5703125" style="51" customWidth="1"/>
    <col min="34" max="34" width="14.85546875" style="51" customWidth="1"/>
    <col min="35" max="35" width="15.42578125" style="18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8" customWidth="1"/>
    <col min="42" max="42" width="14.7109375" style="52" customWidth="1"/>
    <col min="43" max="43" width="12.5703125" style="18" customWidth="1"/>
    <col min="44" max="44" width="13.85546875" style="72" customWidth="1"/>
    <col min="45" max="45" width="17.140625" style="18" customWidth="1"/>
    <col min="46" max="16384" width="9.140625" style="18"/>
  </cols>
  <sheetData>
    <row r="1" spans="1:45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9" t="s">
        <v>15</v>
      </c>
      <c r="Q1" s="8" t="s">
        <v>16</v>
      </c>
      <c r="R1" s="9" t="s">
        <v>17</v>
      </c>
      <c r="S1" s="9" t="s">
        <v>18</v>
      </c>
      <c r="T1" s="3" t="s">
        <v>19</v>
      </c>
      <c r="U1" s="10" t="s">
        <v>20</v>
      </c>
      <c r="V1" s="11"/>
      <c r="W1" s="11"/>
      <c r="X1" s="11"/>
      <c r="Y1" s="11"/>
      <c r="Z1" s="11"/>
      <c r="AA1" s="11"/>
      <c r="AB1" s="11"/>
      <c r="AC1" s="11"/>
      <c r="AD1" s="12"/>
      <c r="AE1" s="13" t="s">
        <v>21</v>
      </c>
      <c r="AF1" s="14"/>
      <c r="AG1" s="15"/>
      <c r="AH1" s="13" t="s">
        <v>22</v>
      </c>
      <c r="AI1" s="14"/>
      <c r="AJ1" s="15"/>
      <c r="AK1" s="16" t="s">
        <v>23</v>
      </c>
      <c r="AL1" s="16" t="s">
        <v>24</v>
      </c>
      <c r="AM1" s="16" t="s">
        <v>25</v>
      </c>
      <c r="AN1" s="16" t="s">
        <v>26</v>
      </c>
      <c r="AO1" s="8" t="s">
        <v>27</v>
      </c>
      <c r="AP1" s="8" t="s">
        <v>28</v>
      </c>
      <c r="AQ1" s="9" t="s">
        <v>29</v>
      </c>
      <c r="AR1" s="17" t="s">
        <v>30</v>
      </c>
      <c r="AS1" s="16" t="s">
        <v>31</v>
      </c>
    </row>
    <row r="2" spans="1:45" ht="45" customHeight="1" x14ac:dyDescent="0.25">
      <c r="A2" s="19"/>
      <c r="B2" s="20"/>
      <c r="C2" s="23"/>
      <c r="D2" s="24"/>
      <c r="E2" s="22"/>
      <c r="F2" s="21"/>
      <c r="G2" s="22"/>
      <c r="H2" s="22"/>
      <c r="I2" s="25"/>
      <c r="J2" s="26"/>
      <c r="K2" s="26"/>
      <c r="L2" s="26"/>
      <c r="M2" s="25"/>
      <c r="N2" s="25"/>
      <c r="O2" s="25"/>
      <c r="P2" s="25"/>
      <c r="Q2" s="25"/>
      <c r="R2" s="26"/>
      <c r="S2" s="26"/>
      <c r="T2" s="20"/>
      <c r="U2" s="27" t="s">
        <v>32</v>
      </c>
      <c r="V2" s="27" t="s">
        <v>33</v>
      </c>
      <c r="W2" s="27" t="s">
        <v>34</v>
      </c>
      <c r="X2" s="27" t="s">
        <v>35</v>
      </c>
      <c r="Y2" s="27" t="s">
        <v>36</v>
      </c>
      <c r="Z2" s="27" t="s">
        <v>37</v>
      </c>
      <c r="AA2" s="27" t="s">
        <v>38</v>
      </c>
      <c r="AB2" s="27" t="s">
        <v>39</v>
      </c>
      <c r="AC2" s="27" t="s">
        <v>40</v>
      </c>
      <c r="AD2" s="27" t="s">
        <v>41</v>
      </c>
      <c r="AE2" s="28" t="s">
        <v>33</v>
      </c>
      <c r="AF2" s="28" t="s">
        <v>34</v>
      </c>
      <c r="AG2" s="28" t="s">
        <v>35</v>
      </c>
      <c r="AH2" s="28" t="s">
        <v>33</v>
      </c>
      <c r="AI2" s="28" t="s">
        <v>34</v>
      </c>
      <c r="AJ2" s="28" t="s">
        <v>35</v>
      </c>
      <c r="AK2" s="29"/>
      <c r="AL2" s="29"/>
      <c r="AM2" s="29"/>
      <c r="AN2" s="29"/>
      <c r="AO2" s="25"/>
      <c r="AP2" s="25"/>
      <c r="AQ2" s="26"/>
      <c r="AR2" s="30"/>
      <c r="AS2" s="29"/>
    </row>
    <row r="3" spans="1:45" ht="49.5" customHeight="1" x14ac:dyDescent="0.25">
      <c r="A3" s="36" t="s">
        <v>134</v>
      </c>
      <c r="B3" s="33">
        <v>44580</v>
      </c>
      <c r="C3" s="35">
        <v>1416</v>
      </c>
      <c r="D3" s="36" t="s">
        <v>135</v>
      </c>
      <c r="E3" s="1" t="s">
        <v>136</v>
      </c>
      <c r="F3" s="33">
        <v>44617</v>
      </c>
      <c r="G3" s="35" t="s">
        <v>137</v>
      </c>
      <c r="H3" s="37" t="s">
        <v>138</v>
      </c>
      <c r="I3" s="37" t="s">
        <v>139</v>
      </c>
      <c r="J3" s="38">
        <v>765023068.5</v>
      </c>
      <c r="K3" s="40">
        <v>0</v>
      </c>
      <c r="L3" s="41">
        <v>0</v>
      </c>
      <c r="M3" s="38">
        <v>765023068.5</v>
      </c>
      <c r="N3" s="41">
        <v>44970673.24000001</v>
      </c>
      <c r="O3" s="38">
        <v>255007689.5</v>
      </c>
      <c r="P3" s="27">
        <v>299978362.74000001</v>
      </c>
      <c r="Q3" s="27">
        <v>809993741.74000001</v>
      </c>
      <c r="R3" s="27">
        <v>295.37</v>
      </c>
      <c r="S3" s="38">
        <v>295.37</v>
      </c>
      <c r="T3" s="38">
        <v>14768.5</v>
      </c>
      <c r="U3" s="38">
        <v>2742302</v>
      </c>
      <c r="V3" s="38"/>
      <c r="W3" s="38"/>
      <c r="X3" s="38">
        <v>1015602</v>
      </c>
      <c r="Y3" s="38">
        <v>22300</v>
      </c>
      <c r="Z3" s="38">
        <v>6586751</v>
      </c>
      <c r="AA3" s="38">
        <v>993302</v>
      </c>
      <c r="AB3" s="38">
        <v>293391611.74000001</v>
      </c>
      <c r="AC3" s="40">
        <v>54846.04</v>
      </c>
      <c r="AD3" s="47">
        <v>54847</v>
      </c>
      <c r="AE3" s="33">
        <v>44682</v>
      </c>
      <c r="AF3" s="33">
        <v>45047</v>
      </c>
      <c r="AG3" s="33">
        <v>45413</v>
      </c>
      <c r="AH3" s="33">
        <v>44696</v>
      </c>
      <c r="AI3" s="33">
        <v>45061</v>
      </c>
      <c r="AJ3" s="42">
        <v>45427</v>
      </c>
      <c r="AK3" s="37" t="s">
        <v>140</v>
      </c>
      <c r="AL3" s="37" t="s">
        <v>141</v>
      </c>
      <c r="AM3" s="37" t="s">
        <v>142</v>
      </c>
      <c r="AN3" s="37" t="s">
        <v>143</v>
      </c>
      <c r="AO3" s="35">
        <v>0</v>
      </c>
      <c r="AP3" s="35">
        <v>100</v>
      </c>
      <c r="AQ3" s="35" t="s">
        <v>144</v>
      </c>
      <c r="AR3" s="44">
        <v>50</v>
      </c>
      <c r="AS3" s="37" t="s">
        <v>145</v>
      </c>
    </row>
    <row r="4" spans="1:45" ht="60.75" customHeight="1" x14ac:dyDescent="0.25">
      <c r="A4" s="36" t="s">
        <v>146</v>
      </c>
      <c r="B4" s="33">
        <v>44580</v>
      </c>
      <c r="C4" s="35">
        <v>1416</v>
      </c>
      <c r="D4" s="36" t="s">
        <v>147</v>
      </c>
      <c r="E4" s="1" t="s">
        <v>148</v>
      </c>
      <c r="F4" s="33">
        <v>44617</v>
      </c>
      <c r="G4" s="35" t="s">
        <v>149</v>
      </c>
      <c r="H4" s="37" t="s">
        <v>138</v>
      </c>
      <c r="I4" s="37" t="s">
        <v>150</v>
      </c>
      <c r="J4" s="38">
        <v>659336242.5</v>
      </c>
      <c r="K4" s="40">
        <v>0</v>
      </c>
      <c r="L4" s="41">
        <v>0</v>
      </c>
      <c r="M4" s="38">
        <v>659336242.5</v>
      </c>
      <c r="N4" s="41">
        <v>22382694.450000048</v>
      </c>
      <c r="O4" s="38">
        <v>219778747.5</v>
      </c>
      <c r="P4" s="27">
        <v>242161441.94999999</v>
      </c>
      <c r="Q4" s="27">
        <v>681718936.95000005</v>
      </c>
      <c r="R4" s="27">
        <v>27.55</v>
      </c>
      <c r="S4" s="38">
        <v>27.55</v>
      </c>
      <c r="T4" s="38">
        <v>1377.5</v>
      </c>
      <c r="U4" s="38">
        <v>24744789</v>
      </c>
      <c r="V4" s="38"/>
      <c r="W4" s="38"/>
      <c r="X4" s="38">
        <v>8789889</v>
      </c>
      <c r="Y4" s="38">
        <v>168850</v>
      </c>
      <c r="Z4" s="38">
        <v>4651817.5</v>
      </c>
      <c r="AA4" s="38">
        <v>8621039</v>
      </c>
      <c r="AB4" s="38">
        <v>237509624.45000002</v>
      </c>
      <c r="AC4" s="40">
        <v>494895.78</v>
      </c>
      <c r="AD4" s="47">
        <v>494896</v>
      </c>
      <c r="AE4" s="33">
        <v>44682</v>
      </c>
      <c r="AF4" s="33">
        <v>45047</v>
      </c>
      <c r="AG4" s="33">
        <v>45413</v>
      </c>
      <c r="AH4" s="33">
        <v>44696</v>
      </c>
      <c r="AI4" s="33">
        <v>45061</v>
      </c>
      <c r="AJ4" s="42">
        <v>45427</v>
      </c>
      <c r="AK4" s="37" t="s">
        <v>140</v>
      </c>
      <c r="AL4" s="37" t="s">
        <v>141</v>
      </c>
      <c r="AM4" s="37" t="s">
        <v>142</v>
      </c>
      <c r="AN4" s="37" t="s">
        <v>143</v>
      </c>
      <c r="AO4" s="35">
        <v>0</v>
      </c>
      <c r="AP4" s="35">
        <v>100</v>
      </c>
      <c r="AQ4" s="35" t="s">
        <v>144</v>
      </c>
      <c r="AR4" s="44">
        <v>50</v>
      </c>
      <c r="AS4" s="37" t="s">
        <v>145</v>
      </c>
    </row>
    <row r="5" spans="1:45" ht="83.25" customHeight="1" x14ac:dyDescent="0.25">
      <c r="A5" s="36" t="s">
        <v>151</v>
      </c>
      <c r="B5" s="33">
        <v>44580</v>
      </c>
      <c r="C5" s="35">
        <v>1416</v>
      </c>
      <c r="D5" s="36" t="s">
        <v>152</v>
      </c>
      <c r="E5" s="1" t="s">
        <v>153</v>
      </c>
      <c r="F5" s="33">
        <v>44616</v>
      </c>
      <c r="G5" s="36" t="s">
        <v>154</v>
      </c>
      <c r="H5" s="37" t="s">
        <v>138</v>
      </c>
      <c r="I5" s="37" t="s">
        <v>155</v>
      </c>
      <c r="J5" s="38">
        <v>2656156119</v>
      </c>
      <c r="K5" s="40">
        <v>0</v>
      </c>
      <c r="L5" s="41">
        <v>0</v>
      </c>
      <c r="M5" s="38">
        <v>2656156119</v>
      </c>
      <c r="N5" s="41">
        <v>256404931.71000004</v>
      </c>
      <c r="O5" s="38">
        <v>1141790304.71</v>
      </c>
      <c r="P5" s="27">
        <v>1141790304.71</v>
      </c>
      <c r="Q5" s="27">
        <v>2912561050.71</v>
      </c>
      <c r="R5" s="27">
        <v>59.81</v>
      </c>
      <c r="S5" s="38">
        <v>59.81</v>
      </c>
      <c r="T5" s="38">
        <v>2990.5</v>
      </c>
      <c r="U5" s="38">
        <v>48696891</v>
      </c>
      <c r="V5" s="38"/>
      <c r="W5" s="38"/>
      <c r="X5" s="38">
        <v>19090291</v>
      </c>
      <c r="Y5" s="38">
        <v>345100</v>
      </c>
      <c r="Z5" s="38">
        <v>20640431</v>
      </c>
      <c r="AA5" s="38">
        <v>18745191</v>
      </c>
      <c r="AB5" s="38">
        <v>1121149873.71</v>
      </c>
      <c r="AC5" s="38">
        <v>23.44688297883329</v>
      </c>
      <c r="AD5" s="38">
        <v>24</v>
      </c>
      <c r="AE5" s="33">
        <v>44682</v>
      </c>
      <c r="AF5" s="33">
        <v>45047</v>
      </c>
      <c r="AG5" s="33">
        <v>45413</v>
      </c>
      <c r="AH5" s="33">
        <v>44701</v>
      </c>
      <c r="AI5" s="33">
        <v>45066</v>
      </c>
      <c r="AJ5" s="42">
        <v>45432</v>
      </c>
      <c r="AK5" s="37" t="s">
        <v>140</v>
      </c>
      <c r="AL5" s="37" t="s">
        <v>141</v>
      </c>
      <c r="AM5" s="37" t="s">
        <v>142</v>
      </c>
      <c r="AN5" s="37" t="s">
        <v>143</v>
      </c>
      <c r="AO5" s="35">
        <v>0</v>
      </c>
      <c r="AP5" s="35">
        <v>100</v>
      </c>
      <c r="AQ5" s="35" t="s">
        <v>144</v>
      </c>
      <c r="AR5" s="44">
        <v>50</v>
      </c>
      <c r="AS5" s="37" t="s">
        <v>145</v>
      </c>
    </row>
    <row r="6" spans="1:45" ht="78.75" customHeight="1" x14ac:dyDescent="0.25">
      <c r="A6" s="36" t="s">
        <v>156</v>
      </c>
      <c r="B6" s="33">
        <v>44670</v>
      </c>
      <c r="C6" s="35">
        <v>1416</v>
      </c>
      <c r="D6" s="36" t="s">
        <v>157</v>
      </c>
      <c r="E6" s="1" t="s">
        <v>158</v>
      </c>
      <c r="F6" s="33">
        <v>44707</v>
      </c>
      <c r="G6" s="36" t="s">
        <v>159</v>
      </c>
      <c r="H6" s="37" t="s">
        <v>138</v>
      </c>
      <c r="I6" s="37" t="s">
        <v>160</v>
      </c>
      <c r="J6" s="38">
        <v>1153585170</v>
      </c>
      <c r="K6" s="40">
        <v>0</v>
      </c>
      <c r="L6" s="41">
        <v>0</v>
      </c>
      <c r="M6" s="38">
        <v>1153585170</v>
      </c>
      <c r="N6" s="41">
        <v>0</v>
      </c>
      <c r="O6" s="27">
        <v>406236438</v>
      </c>
      <c r="P6" s="27">
        <v>752311989</v>
      </c>
      <c r="Q6" s="27">
        <v>1499660721</v>
      </c>
      <c r="R6" s="27">
        <v>647.1</v>
      </c>
      <c r="S6" s="38">
        <v>647.1</v>
      </c>
      <c r="T6" s="38">
        <v>6471</v>
      </c>
      <c r="U6" s="38">
        <v>2317510</v>
      </c>
      <c r="V6" s="38"/>
      <c r="W6" s="38"/>
      <c r="X6" s="38">
        <v>1162590</v>
      </c>
      <c r="Y6" s="38">
        <v>520</v>
      </c>
      <c r="Z6" s="38">
        <v>336492</v>
      </c>
      <c r="AA6" s="38">
        <v>1162070</v>
      </c>
      <c r="AB6" s="38">
        <v>751975497</v>
      </c>
      <c r="AC6" s="38">
        <v>178270</v>
      </c>
      <c r="AD6" s="38">
        <v>178270</v>
      </c>
      <c r="AE6" s="33">
        <v>44936</v>
      </c>
      <c r="AF6" s="33">
        <v>44986</v>
      </c>
      <c r="AG6" s="33">
        <v>45352</v>
      </c>
      <c r="AH6" s="33">
        <v>44951</v>
      </c>
      <c r="AI6" s="33">
        <v>45000</v>
      </c>
      <c r="AJ6" s="42">
        <v>45383</v>
      </c>
      <c r="AK6" s="37" t="s">
        <v>161</v>
      </c>
      <c r="AL6" s="37" t="s">
        <v>162</v>
      </c>
      <c r="AM6" s="37" t="s">
        <v>163</v>
      </c>
      <c r="AN6" s="37" t="s">
        <v>50</v>
      </c>
      <c r="AO6" s="35">
        <v>100</v>
      </c>
      <c r="AP6" s="35">
        <v>0</v>
      </c>
      <c r="AQ6" s="35" t="s">
        <v>164</v>
      </c>
      <c r="AR6" s="44">
        <v>10</v>
      </c>
      <c r="AS6" s="37" t="s">
        <v>145</v>
      </c>
    </row>
    <row r="7" spans="1:45" ht="72" customHeight="1" x14ac:dyDescent="0.25">
      <c r="A7" s="36" t="s">
        <v>165</v>
      </c>
      <c r="B7" s="33">
        <v>44671</v>
      </c>
      <c r="C7" s="35">
        <v>1416</v>
      </c>
      <c r="D7" s="36" t="s">
        <v>166</v>
      </c>
      <c r="E7" s="1" t="s">
        <v>167</v>
      </c>
      <c r="F7" s="33">
        <v>44697</v>
      </c>
      <c r="G7" s="35" t="s">
        <v>168</v>
      </c>
      <c r="H7" s="37" t="s">
        <v>169</v>
      </c>
      <c r="I7" s="37" t="s">
        <v>170</v>
      </c>
      <c r="J7" s="38">
        <v>90177300</v>
      </c>
      <c r="K7" s="40">
        <v>0</v>
      </c>
      <c r="L7" s="41">
        <v>0</v>
      </c>
      <c r="M7" s="38">
        <v>90177300</v>
      </c>
      <c r="N7" s="41">
        <v>0</v>
      </c>
      <c r="O7" s="38">
        <v>30059100</v>
      </c>
      <c r="P7" s="38">
        <v>57112290</v>
      </c>
      <c r="Q7" s="27">
        <v>117230490</v>
      </c>
      <c r="R7" s="27">
        <v>12.37</v>
      </c>
      <c r="S7" s="38">
        <v>12.37</v>
      </c>
      <c r="T7" s="38">
        <v>18555</v>
      </c>
      <c r="U7" s="38">
        <v>9477000</v>
      </c>
      <c r="V7" s="38"/>
      <c r="W7" s="38"/>
      <c r="X7" s="38">
        <v>4617000</v>
      </c>
      <c r="Y7" s="38">
        <v>0</v>
      </c>
      <c r="Z7" s="38">
        <v>0</v>
      </c>
      <c r="AA7" s="38">
        <v>4617000</v>
      </c>
      <c r="AB7" s="38">
        <v>57112290</v>
      </c>
      <c r="AC7" s="38">
        <v>4860</v>
      </c>
      <c r="AD7" s="38">
        <v>4860</v>
      </c>
      <c r="AE7" s="33">
        <v>44936</v>
      </c>
      <c r="AF7" s="33">
        <v>44986</v>
      </c>
      <c r="AG7" s="33">
        <v>45352</v>
      </c>
      <c r="AH7" s="33">
        <v>44951</v>
      </c>
      <c r="AI7" s="33">
        <v>45000</v>
      </c>
      <c r="AJ7" s="42">
        <v>45383</v>
      </c>
      <c r="AK7" s="37" t="s">
        <v>171</v>
      </c>
      <c r="AL7" s="37" t="s">
        <v>172</v>
      </c>
      <c r="AM7" s="37" t="s">
        <v>173</v>
      </c>
      <c r="AN7" s="37" t="s">
        <v>174</v>
      </c>
      <c r="AO7" s="35">
        <v>0</v>
      </c>
      <c r="AP7" s="35">
        <v>100</v>
      </c>
      <c r="AQ7" s="35" t="s">
        <v>175</v>
      </c>
      <c r="AR7" s="44">
        <v>1500</v>
      </c>
      <c r="AS7" s="37" t="s">
        <v>176</v>
      </c>
    </row>
    <row r="8" spans="1:45" ht="38.25" customHeight="1" x14ac:dyDescent="0.25">
      <c r="A8" s="36" t="s">
        <v>177</v>
      </c>
      <c r="B8" s="33">
        <v>44671</v>
      </c>
      <c r="C8" s="35">
        <v>1416</v>
      </c>
      <c r="D8" s="36" t="s">
        <v>178</v>
      </c>
      <c r="E8" s="1" t="s">
        <v>179</v>
      </c>
      <c r="F8" s="33">
        <v>44697</v>
      </c>
      <c r="G8" s="35" t="s">
        <v>180</v>
      </c>
      <c r="H8" s="37" t="s">
        <v>169</v>
      </c>
      <c r="I8" s="37" t="s">
        <v>181</v>
      </c>
      <c r="J8" s="38">
        <v>39485040</v>
      </c>
      <c r="K8" s="40">
        <v>0</v>
      </c>
      <c r="L8" s="41">
        <v>0</v>
      </c>
      <c r="M8" s="38">
        <v>39485040</v>
      </c>
      <c r="N8" s="41">
        <v>0</v>
      </c>
      <c r="O8" s="38">
        <v>13161680</v>
      </c>
      <c r="P8" s="27">
        <v>25005955</v>
      </c>
      <c r="Q8" s="27">
        <v>51329315</v>
      </c>
      <c r="R8" s="27">
        <v>12.37</v>
      </c>
      <c r="S8" s="38">
        <v>12.37</v>
      </c>
      <c r="T8" s="38">
        <v>6185</v>
      </c>
      <c r="U8" s="38">
        <v>4149500</v>
      </c>
      <c r="V8" s="38"/>
      <c r="W8" s="38"/>
      <c r="X8" s="38">
        <v>2021500</v>
      </c>
      <c r="Y8" s="38">
        <v>0</v>
      </c>
      <c r="Z8" s="38">
        <v>0</v>
      </c>
      <c r="AA8" s="38">
        <v>2021500</v>
      </c>
      <c r="AB8" s="38">
        <v>25005955</v>
      </c>
      <c r="AC8" s="38">
        <v>6384</v>
      </c>
      <c r="AD8" s="38">
        <v>6384</v>
      </c>
      <c r="AE8" s="33">
        <v>44936</v>
      </c>
      <c r="AF8" s="33">
        <v>44986</v>
      </c>
      <c r="AG8" s="33">
        <v>45352</v>
      </c>
      <c r="AH8" s="33">
        <v>44941</v>
      </c>
      <c r="AI8" s="33">
        <v>45000</v>
      </c>
      <c r="AJ8" s="42">
        <v>45383</v>
      </c>
      <c r="AK8" s="37" t="s">
        <v>171</v>
      </c>
      <c r="AL8" s="37" t="s">
        <v>182</v>
      </c>
      <c r="AM8" s="37" t="s">
        <v>173</v>
      </c>
      <c r="AN8" s="37" t="s">
        <v>174</v>
      </c>
      <c r="AO8" s="35">
        <v>0</v>
      </c>
      <c r="AP8" s="35">
        <v>100</v>
      </c>
      <c r="AQ8" s="35" t="s">
        <v>175</v>
      </c>
      <c r="AR8" s="44">
        <v>500</v>
      </c>
      <c r="AS8" s="37" t="s">
        <v>176</v>
      </c>
    </row>
    <row r="9" spans="1:45" ht="59.25" customHeight="1" x14ac:dyDescent="0.25">
      <c r="A9" s="36" t="s">
        <v>183</v>
      </c>
      <c r="B9" s="33">
        <v>44671</v>
      </c>
      <c r="C9" s="35">
        <v>1416</v>
      </c>
      <c r="D9" s="36" t="s">
        <v>184</v>
      </c>
      <c r="E9" s="1" t="s">
        <v>185</v>
      </c>
      <c r="F9" s="33">
        <v>44704</v>
      </c>
      <c r="G9" s="36" t="s">
        <v>186</v>
      </c>
      <c r="H9" s="37" t="s">
        <v>169</v>
      </c>
      <c r="I9" s="37" t="s">
        <v>187</v>
      </c>
      <c r="J9" s="38">
        <v>465000670</v>
      </c>
      <c r="K9" s="40">
        <v>0</v>
      </c>
      <c r="L9" s="41">
        <v>0</v>
      </c>
      <c r="M9" s="38">
        <v>465000670</v>
      </c>
      <c r="N9" s="41">
        <v>0</v>
      </c>
      <c r="O9" s="38">
        <v>154996100</v>
      </c>
      <c r="P9" s="27">
        <v>294492590</v>
      </c>
      <c r="Q9" s="27">
        <v>604497160</v>
      </c>
      <c r="R9" s="27">
        <v>12.37</v>
      </c>
      <c r="S9" s="38">
        <v>12.37</v>
      </c>
      <c r="T9" s="38">
        <v>12370</v>
      </c>
      <c r="U9" s="38">
        <v>48868000</v>
      </c>
      <c r="V9" s="38"/>
      <c r="W9" s="38"/>
      <c r="X9" s="38">
        <v>23807000</v>
      </c>
      <c r="Y9" s="38">
        <v>0</v>
      </c>
      <c r="Z9" s="38">
        <v>0</v>
      </c>
      <c r="AA9" s="38">
        <v>23807000</v>
      </c>
      <c r="AB9" s="38">
        <v>294492590</v>
      </c>
      <c r="AC9" s="38">
        <v>37591</v>
      </c>
      <c r="AD9" s="38">
        <v>37591</v>
      </c>
      <c r="AE9" s="33">
        <v>44936</v>
      </c>
      <c r="AF9" s="33">
        <v>44986</v>
      </c>
      <c r="AG9" s="33">
        <v>45352</v>
      </c>
      <c r="AH9" s="33">
        <v>44941</v>
      </c>
      <c r="AI9" s="33">
        <v>45000</v>
      </c>
      <c r="AJ9" s="42">
        <v>45383</v>
      </c>
      <c r="AK9" s="37" t="s">
        <v>171</v>
      </c>
      <c r="AL9" s="37" t="s">
        <v>188</v>
      </c>
      <c r="AM9" s="37" t="s">
        <v>173</v>
      </c>
      <c r="AN9" s="37" t="s">
        <v>174</v>
      </c>
      <c r="AO9" s="35">
        <v>0</v>
      </c>
      <c r="AP9" s="35">
        <v>100</v>
      </c>
      <c r="AQ9" s="35" t="s">
        <v>175</v>
      </c>
      <c r="AR9" s="44">
        <v>1000</v>
      </c>
      <c r="AS9" s="37" t="s">
        <v>176</v>
      </c>
    </row>
    <row r="10" spans="1:45" ht="62.25" customHeight="1" x14ac:dyDescent="0.25">
      <c r="A10" s="36" t="s">
        <v>189</v>
      </c>
      <c r="B10" s="33">
        <v>44673</v>
      </c>
      <c r="C10" s="35">
        <v>1416</v>
      </c>
      <c r="D10" s="36" t="s">
        <v>190</v>
      </c>
      <c r="E10" s="1" t="s">
        <v>191</v>
      </c>
      <c r="F10" s="33">
        <v>44705</v>
      </c>
      <c r="G10" s="36" t="s">
        <v>192</v>
      </c>
      <c r="H10" s="37" t="s">
        <v>193</v>
      </c>
      <c r="I10" s="37" t="s">
        <v>194</v>
      </c>
      <c r="J10" s="38">
        <v>78920034.480000004</v>
      </c>
      <c r="K10" s="40">
        <v>0.49999999695894937</v>
      </c>
      <c r="L10" s="41">
        <v>394600.17000000179</v>
      </c>
      <c r="M10" s="38">
        <v>78525434.310000002</v>
      </c>
      <c r="N10" s="41">
        <v>-404686.8</v>
      </c>
      <c r="O10" s="38">
        <v>39257673.840000004</v>
      </c>
      <c r="P10" s="27">
        <v>39257673.840000004</v>
      </c>
      <c r="Q10" s="27">
        <v>78515347.680000007</v>
      </c>
      <c r="R10" s="27">
        <v>514.1400000000001</v>
      </c>
      <c r="S10" s="38">
        <v>514.1400000000001</v>
      </c>
      <c r="T10" s="38">
        <v>3084.8400000000006</v>
      </c>
      <c r="U10" s="38">
        <v>152712</v>
      </c>
      <c r="V10" s="38"/>
      <c r="W10" s="38">
        <v>76356</v>
      </c>
      <c r="X10" s="38"/>
      <c r="Y10" s="38">
        <v>228</v>
      </c>
      <c r="Z10" s="38">
        <v>117223.92000000003</v>
      </c>
      <c r="AA10" s="38">
        <v>76128</v>
      </c>
      <c r="AB10" s="38">
        <v>39140449.920000009</v>
      </c>
      <c r="AC10" s="38">
        <v>25452</v>
      </c>
      <c r="AD10" s="38">
        <v>25452</v>
      </c>
      <c r="AE10" s="33">
        <v>44958</v>
      </c>
      <c r="AF10" s="33">
        <v>45323</v>
      </c>
      <c r="AG10" s="33"/>
      <c r="AH10" s="33">
        <v>44986</v>
      </c>
      <c r="AI10" s="33">
        <v>45352</v>
      </c>
      <c r="AJ10" s="42"/>
      <c r="AK10" s="37" t="s">
        <v>195</v>
      </c>
      <c r="AL10" s="37" t="s">
        <v>196</v>
      </c>
      <c r="AM10" s="37" t="s">
        <v>197</v>
      </c>
      <c r="AN10" s="37" t="s">
        <v>50</v>
      </c>
      <c r="AO10" s="35">
        <v>100</v>
      </c>
      <c r="AP10" s="35">
        <v>0</v>
      </c>
      <c r="AQ10" s="35" t="s">
        <v>164</v>
      </c>
      <c r="AR10" s="44">
        <v>6</v>
      </c>
      <c r="AS10" s="37" t="s">
        <v>176</v>
      </c>
    </row>
    <row r="11" spans="1:45" ht="63.75" customHeight="1" x14ac:dyDescent="0.25">
      <c r="A11" s="36" t="s">
        <v>198</v>
      </c>
      <c r="B11" s="33">
        <v>44673</v>
      </c>
      <c r="C11" s="35">
        <v>1416</v>
      </c>
      <c r="D11" s="36" t="s">
        <v>199</v>
      </c>
      <c r="E11" s="1" t="s">
        <v>200</v>
      </c>
      <c r="F11" s="33">
        <v>44711</v>
      </c>
      <c r="G11" s="36" t="s">
        <v>201</v>
      </c>
      <c r="H11" s="37" t="s">
        <v>193</v>
      </c>
      <c r="I11" s="37" t="s">
        <v>202</v>
      </c>
      <c r="J11" s="38">
        <v>2737233000</v>
      </c>
      <c r="K11" s="40">
        <v>0</v>
      </c>
      <c r="L11" s="41">
        <v>0</v>
      </c>
      <c r="M11" s="38">
        <v>2737233000</v>
      </c>
      <c r="N11" s="41">
        <v>0</v>
      </c>
      <c r="O11" s="38">
        <v>912443355</v>
      </c>
      <c r="P11" s="27">
        <v>1733613255</v>
      </c>
      <c r="Q11" s="27">
        <v>3558402900</v>
      </c>
      <c r="R11" s="27">
        <v>647.1</v>
      </c>
      <c r="S11" s="38">
        <v>647.1</v>
      </c>
      <c r="T11" s="38" t="e">
        <v>#VALUE!</v>
      </c>
      <c r="U11" s="38">
        <v>5499000</v>
      </c>
      <c r="V11" s="38"/>
      <c r="W11" s="38"/>
      <c r="X11" s="38">
        <v>2679050</v>
      </c>
      <c r="Y11" s="38">
        <v>0</v>
      </c>
      <c r="Z11" s="38">
        <v>0</v>
      </c>
      <c r="AA11" s="38">
        <v>2679050</v>
      </c>
      <c r="AB11" s="38">
        <v>1733613255</v>
      </c>
      <c r="AC11" s="38">
        <v>114013.5</v>
      </c>
      <c r="AD11" s="38">
        <v>114014</v>
      </c>
      <c r="AE11" s="33">
        <v>44936</v>
      </c>
      <c r="AF11" s="33">
        <v>44986</v>
      </c>
      <c r="AG11" s="33">
        <v>45352</v>
      </c>
      <c r="AH11" s="33">
        <v>44951</v>
      </c>
      <c r="AI11" s="33">
        <v>45000</v>
      </c>
      <c r="AJ11" s="42">
        <v>45383</v>
      </c>
      <c r="AK11" s="37" t="s">
        <v>203</v>
      </c>
      <c r="AL11" s="37" t="s">
        <v>204</v>
      </c>
      <c r="AM11" s="37" t="s">
        <v>205</v>
      </c>
      <c r="AN11" s="37" t="s">
        <v>50</v>
      </c>
      <c r="AO11" s="35">
        <v>100</v>
      </c>
      <c r="AP11" s="35">
        <v>0</v>
      </c>
      <c r="AQ11" s="35" t="s">
        <v>164</v>
      </c>
      <c r="AR11" s="48" t="s">
        <v>206</v>
      </c>
      <c r="AS11" s="37" t="s">
        <v>176</v>
      </c>
    </row>
    <row r="12" spans="1:45" ht="78.75" customHeight="1" x14ac:dyDescent="0.25">
      <c r="A12" s="36" t="s">
        <v>207</v>
      </c>
      <c r="B12" s="33">
        <v>44673</v>
      </c>
      <c r="C12" s="35">
        <v>1416</v>
      </c>
      <c r="D12" s="36" t="s">
        <v>208</v>
      </c>
      <c r="E12" s="1" t="s">
        <v>209</v>
      </c>
      <c r="F12" s="33">
        <v>44704</v>
      </c>
      <c r="G12" s="36" t="s">
        <v>210</v>
      </c>
      <c r="H12" s="37" t="s">
        <v>193</v>
      </c>
      <c r="I12" s="37" t="s">
        <v>211</v>
      </c>
      <c r="J12" s="38">
        <v>95831540.640000001</v>
      </c>
      <c r="K12" s="40">
        <v>0</v>
      </c>
      <c r="L12" s="41">
        <v>0</v>
      </c>
      <c r="M12" s="38">
        <v>95831540.640000001</v>
      </c>
      <c r="N12" s="41">
        <v>0</v>
      </c>
      <c r="O12" s="38">
        <v>55271866.32</v>
      </c>
      <c r="P12" s="27">
        <v>55271866.32</v>
      </c>
      <c r="Q12" s="27">
        <v>103187636.64</v>
      </c>
      <c r="R12" s="27">
        <v>3065.04</v>
      </c>
      <c r="S12" s="38">
        <v>3065.04</v>
      </c>
      <c r="T12" s="38">
        <v>4597.5599999999995</v>
      </c>
      <c r="U12" s="38">
        <v>33666</v>
      </c>
      <c r="V12" s="38"/>
      <c r="W12" s="38">
        <v>18033</v>
      </c>
      <c r="X12" s="38"/>
      <c r="Y12" s="38">
        <v>4732.5</v>
      </c>
      <c r="Z12" s="38">
        <v>14505301.800000001</v>
      </c>
      <c r="AA12" s="38">
        <v>13300.5</v>
      </c>
      <c r="AB12" s="38">
        <v>40766564.519999996</v>
      </c>
      <c r="AC12" s="38">
        <v>20844</v>
      </c>
      <c r="AD12" s="38">
        <v>20844</v>
      </c>
      <c r="AE12" s="33">
        <v>44958</v>
      </c>
      <c r="AF12" s="33">
        <v>45352</v>
      </c>
      <c r="AG12" s="33"/>
      <c r="AH12" s="33">
        <v>44972</v>
      </c>
      <c r="AI12" s="33">
        <v>45383</v>
      </c>
      <c r="AJ12" s="42"/>
      <c r="AK12" s="37" t="s">
        <v>212</v>
      </c>
      <c r="AL12" s="37" t="s">
        <v>213</v>
      </c>
      <c r="AM12" s="37" t="s">
        <v>214</v>
      </c>
      <c r="AN12" s="37" t="s">
        <v>50</v>
      </c>
      <c r="AO12" s="35">
        <v>100</v>
      </c>
      <c r="AP12" s="35">
        <v>0</v>
      </c>
      <c r="AQ12" s="35" t="s">
        <v>164</v>
      </c>
      <c r="AR12" s="49">
        <v>1.5</v>
      </c>
      <c r="AS12" s="37" t="s">
        <v>176</v>
      </c>
    </row>
    <row r="13" spans="1:45" ht="78.75" customHeight="1" x14ac:dyDescent="0.25">
      <c r="A13" s="36" t="s">
        <v>215</v>
      </c>
      <c r="B13" s="33">
        <v>44677</v>
      </c>
      <c r="C13" s="35">
        <v>1416</v>
      </c>
      <c r="D13" s="36" t="s">
        <v>216</v>
      </c>
      <c r="E13" s="1" t="s">
        <v>217</v>
      </c>
      <c r="F13" s="33">
        <v>44712</v>
      </c>
      <c r="G13" s="35" t="s">
        <v>218</v>
      </c>
      <c r="H13" s="37" t="s">
        <v>219</v>
      </c>
      <c r="I13" s="37" t="s">
        <v>220</v>
      </c>
      <c r="J13" s="38">
        <v>2087771400</v>
      </c>
      <c r="K13" s="40">
        <v>0</v>
      </c>
      <c r="L13" s="41">
        <v>0</v>
      </c>
      <c r="M13" s="38">
        <v>2087771400</v>
      </c>
      <c r="N13" s="41">
        <v>0</v>
      </c>
      <c r="O13" s="38">
        <v>717974400</v>
      </c>
      <c r="P13" s="27">
        <v>1344228600</v>
      </c>
      <c r="Q13" s="27">
        <v>2714025600</v>
      </c>
      <c r="R13" s="27">
        <v>85800</v>
      </c>
      <c r="S13" s="38">
        <v>85800</v>
      </c>
      <c r="T13" s="38">
        <v>85800</v>
      </c>
      <c r="U13" s="38">
        <v>31632</v>
      </c>
      <c r="V13" s="38"/>
      <c r="W13" s="50"/>
      <c r="X13" s="38">
        <v>15667</v>
      </c>
      <c r="Y13" s="38">
        <v>8</v>
      </c>
      <c r="Z13" s="38">
        <v>686400</v>
      </c>
      <c r="AA13" s="38">
        <v>15659</v>
      </c>
      <c r="AB13" s="38">
        <v>1343542200</v>
      </c>
      <c r="AC13" s="38">
        <v>24333</v>
      </c>
      <c r="AD13" s="38">
        <v>24333</v>
      </c>
      <c r="AE13" s="33">
        <v>44936</v>
      </c>
      <c r="AF13" s="33">
        <v>44986</v>
      </c>
      <c r="AG13" s="33">
        <v>45323</v>
      </c>
      <c r="AH13" s="33">
        <v>44958</v>
      </c>
      <c r="AI13" s="33">
        <v>45000</v>
      </c>
      <c r="AJ13" s="42">
        <v>45352</v>
      </c>
      <c r="AK13" s="37" t="s">
        <v>221</v>
      </c>
      <c r="AL13" s="37" t="s">
        <v>222</v>
      </c>
      <c r="AM13" s="37" t="s">
        <v>223</v>
      </c>
      <c r="AN13" s="37" t="s">
        <v>224</v>
      </c>
      <c r="AO13" s="35">
        <v>0</v>
      </c>
      <c r="AP13" s="35">
        <v>100</v>
      </c>
      <c r="AQ13" s="35" t="s">
        <v>144</v>
      </c>
      <c r="AR13" s="44">
        <v>1</v>
      </c>
      <c r="AS13" s="37" t="s">
        <v>176</v>
      </c>
    </row>
    <row r="14" spans="1:45" ht="78.75" customHeight="1" x14ac:dyDescent="0.25">
      <c r="A14" s="36" t="s">
        <v>225</v>
      </c>
      <c r="B14" s="33">
        <v>44677</v>
      </c>
      <c r="C14" s="35">
        <v>1416</v>
      </c>
      <c r="D14" s="36" t="s">
        <v>226</v>
      </c>
      <c r="E14" s="1" t="s">
        <v>227</v>
      </c>
      <c r="F14" s="33">
        <v>44711</v>
      </c>
      <c r="G14" s="36" t="s">
        <v>228</v>
      </c>
      <c r="H14" s="37" t="s">
        <v>138</v>
      </c>
      <c r="I14" s="37" t="s">
        <v>229</v>
      </c>
      <c r="J14" s="38">
        <v>2082265948.3499999</v>
      </c>
      <c r="K14" s="40">
        <v>0</v>
      </c>
      <c r="L14" s="41">
        <v>0</v>
      </c>
      <c r="M14" s="38">
        <v>2082265948.3499999</v>
      </c>
      <c r="N14" s="41">
        <v>0</v>
      </c>
      <c r="O14" s="38">
        <v>694979649</v>
      </c>
      <c r="P14" s="27">
        <v>694979649</v>
      </c>
      <c r="Q14" s="27">
        <v>2082265948.3499999</v>
      </c>
      <c r="R14" s="27">
        <v>14142.849999999999</v>
      </c>
      <c r="S14" s="38">
        <v>14142.849999999999</v>
      </c>
      <c r="T14" s="38">
        <v>296999.84999999998</v>
      </c>
      <c r="U14" s="38">
        <v>147231</v>
      </c>
      <c r="V14" s="38"/>
      <c r="W14" s="38"/>
      <c r="X14" s="38">
        <v>49140</v>
      </c>
      <c r="Y14" s="38">
        <v>0</v>
      </c>
      <c r="Z14" s="38">
        <v>0</v>
      </c>
      <c r="AA14" s="38">
        <v>49140</v>
      </c>
      <c r="AB14" s="38">
        <v>694979648.99999988</v>
      </c>
      <c r="AC14" s="38">
        <v>7011</v>
      </c>
      <c r="AD14" s="38">
        <v>7011</v>
      </c>
      <c r="AE14" s="33">
        <v>44936</v>
      </c>
      <c r="AF14" s="33">
        <v>44986</v>
      </c>
      <c r="AG14" s="33">
        <v>45352</v>
      </c>
      <c r="AH14" s="33">
        <v>44951</v>
      </c>
      <c r="AI14" s="33">
        <v>45000</v>
      </c>
      <c r="AJ14" s="42">
        <v>45383</v>
      </c>
      <c r="AK14" s="37" t="s">
        <v>230</v>
      </c>
      <c r="AL14" s="37" t="s">
        <v>231</v>
      </c>
      <c r="AM14" s="37" t="s">
        <v>232</v>
      </c>
      <c r="AN14" s="37" t="s">
        <v>50</v>
      </c>
      <c r="AO14" s="35">
        <v>100</v>
      </c>
      <c r="AP14" s="35">
        <v>0</v>
      </c>
      <c r="AQ14" s="35" t="s">
        <v>144</v>
      </c>
      <c r="AR14" s="52">
        <v>21</v>
      </c>
      <c r="AS14" s="37" t="s">
        <v>176</v>
      </c>
    </row>
    <row r="15" spans="1:45" ht="78.75" customHeight="1" x14ac:dyDescent="0.25">
      <c r="A15" s="36" t="s">
        <v>233</v>
      </c>
      <c r="B15" s="33">
        <v>44678</v>
      </c>
      <c r="C15" s="35">
        <v>1416</v>
      </c>
      <c r="D15" s="36" t="s">
        <v>234</v>
      </c>
      <c r="E15" s="1" t="s">
        <v>235</v>
      </c>
      <c r="F15" s="33">
        <v>44720</v>
      </c>
      <c r="G15" s="36" t="s">
        <v>236</v>
      </c>
      <c r="H15" s="37" t="s">
        <v>193</v>
      </c>
      <c r="I15" s="37" t="s">
        <v>237</v>
      </c>
      <c r="J15" s="38">
        <v>2419113638.4000001</v>
      </c>
      <c r="K15" s="40">
        <v>0</v>
      </c>
      <c r="L15" s="41">
        <v>0</v>
      </c>
      <c r="M15" s="38">
        <v>2419113638.4000001</v>
      </c>
      <c r="N15" s="41">
        <v>0</v>
      </c>
      <c r="O15" s="38">
        <v>1209556819.2</v>
      </c>
      <c r="P15" s="27">
        <v>1209556819.2</v>
      </c>
      <c r="Q15" s="27">
        <v>2419113638.4000001</v>
      </c>
      <c r="R15" s="27">
        <v>6006.4000000000005</v>
      </c>
      <c r="S15" s="38">
        <v>6006.4000000000005</v>
      </c>
      <c r="T15" s="38">
        <v>9009.6</v>
      </c>
      <c r="U15" s="38">
        <v>402756</v>
      </c>
      <c r="V15" s="38"/>
      <c r="W15" s="38">
        <v>201378</v>
      </c>
      <c r="X15" s="38"/>
      <c r="Y15" s="38">
        <v>7902</v>
      </c>
      <c r="Z15" s="38">
        <v>47462572.800000004</v>
      </c>
      <c r="AA15" s="38">
        <v>193476</v>
      </c>
      <c r="AB15" s="38">
        <v>1162094246.4000001</v>
      </c>
      <c r="AC15" s="38">
        <v>268504</v>
      </c>
      <c r="AD15" s="38">
        <v>268504</v>
      </c>
      <c r="AE15" s="33">
        <v>44958</v>
      </c>
      <c r="AF15" s="33">
        <v>45352</v>
      </c>
      <c r="AG15" s="33"/>
      <c r="AH15" s="33">
        <v>44972</v>
      </c>
      <c r="AI15" s="33">
        <v>45383</v>
      </c>
      <c r="AJ15" s="42"/>
      <c r="AK15" s="37" t="s">
        <v>212</v>
      </c>
      <c r="AL15" s="37" t="s">
        <v>238</v>
      </c>
      <c r="AM15" s="37" t="s">
        <v>214</v>
      </c>
      <c r="AN15" s="37" t="s">
        <v>50</v>
      </c>
      <c r="AO15" s="35">
        <v>100</v>
      </c>
      <c r="AP15" s="35">
        <v>0</v>
      </c>
      <c r="AQ15" s="35" t="s">
        <v>164</v>
      </c>
      <c r="AR15" s="44">
        <v>1.5</v>
      </c>
      <c r="AS15" s="37" t="s">
        <v>176</v>
      </c>
    </row>
    <row r="16" spans="1:45" ht="78.75" customHeight="1" x14ac:dyDescent="0.25">
      <c r="A16" s="36" t="s">
        <v>239</v>
      </c>
      <c r="B16" s="33">
        <v>44678</v>
      </c>
      <c r="C16" s="35">
        <v>1416</v>
      </c>
      <c r="D16" s="36" t="s">
        <v>240</v>
      </c>
      <c r="E16" s="1" t="s">
        <v>241</v>
      </c>
      <c r="F16" s="33">
        <v>44711</v>
      </c>
      <c r="G16" s="36" t="s">
        <v>242</v>
      </c>
      <c r="H16" s="37" t="s">
        <v>138</v>
      </c>
      <c r="I16" s="37" t="s">
        <v>243</v>
      </c>
      <c r="J16" s="38">
        <v>11608792.560000001</v>
      </c>
      <c r="K16" s="40">
        <v>0</v>
      </c>
      <c r="L16" s="41">
        <v>0</v>
      </c>
      <c r="M16" s="38">
        <v>11608792.560000001</v>
      </c>
      <c r="N16" s="41">
        <v>0</v>
      </c>
      <c r="O16" s="38">
        <v>5804396.2800000003</v>
      </c>
      <c r="P16" s="27">
        <v>5061973.5</v>
      </c>
      <c r="Q16" s="27">
        <v>10866369.779999999</v>
      </c>
      <c r="R16" s="27">
        <v>22497.66</v>
      </c>
      <c r="S16" s="38">
        <v>22497.66</v>
      </c>
      <c r="T16" s="38">
        <v>44995.32</v>
      </c>
      <c r="U16" s="38">
        <v>483</v>
      </c>
      <c r="V16" s="38"/>
      <c r="W16" s="38">
        <v>225</v>
      </c>
      <c r="X16" s="38"/>
      <c r="Y16" s="38">
        <v>0</v>
      </c>
      <c r="Z16" s="38">
        <v>0</v>
      </c>
      <c r="AA16" s="38">
        <v>225</v>
      </c>
      <c r="AB16" s="38">
        <v>5061973.5</v>
      </c>
      <c r="AC16" s="38">
        <v>258</v>
      </c>
      <c r="AD16" s="38">
        <v>258</v>
      </c>
      <c r="AE16" s="33">
        <v>44958</v>
      </c>
      <c r="AF16" s="33">
        <v>45352</v>
      </c>
      <c r="AG16" s="33"/>
      <c r="AH16" s="33">
        <v>44972</v>
      </c>
      <c r="AI16" s="33">
        <v>45383</v>
      </c>
      <c r="AJ16" s="42"/>
      <c r="AK16" s="37" t="s">
        <v>244</v>
      </c>
      <c r="AL16" s="37" t="s">
        <v>245</v>
      </c>
      <c r="AM16" s="37" t="s">
        <v>246</v>
      </c>
      <c r="AN16" s="37" t="s">
        <v>174</v>
      </c>
      <c r="AO16" s="35">
        <v>0</v>
      </c>
      <c r="AP16" s="35">
        <v>100</v>
      </c>
      <c r="AQ16" s="35" t="s">
        <v>144</v>
      </c>
      <c r="AR16" s="44">
        <v>2</v>
      </c>
      <c r="AS16" s="37" t="s">
        <v>176</v>
      </c>
    </row>
    <row r="17" spans="1:45" ht="78.75" customHeight="1" x14ac:dyDescent="0.25">
      <c r="A17" s="36" t="s">
        <v>247</v>
      </c>
      <c r="B17" s="33">
        <v>44678</v>
      </c>
      <c r="C17" s="35">
        <v>1416</v>
      </c>
      <c r="D17" s="36" t="s">
        <v>248</v>
      </c>
      <c r="E17" s="1" t="s">
        <v>249</v>
      </c>
      <c r="F17" s="33">
        <v>44711</v>
      </c>
      <c r="G17" s="36" t="s">
        <v>250</v>
      </c>
      <c r="H17" s="37" t="s">
        <v>169</v>
      </c>
      <c r="I17" s="37" t="s">
        <v>251</v>
      </c>
      <c r="J17" s="38">
        <v>200319360</v>
      </c>
      <c r="K17" s="40">
        <v>0</v>
      </c>
      <c r="L17" s="41">
        <v>0</v>
      </c>
      <c r="M17" s="38">
        <v>200319360</v>
      </c>
      <c r="N17" s="41">
        <v>0</v>
      </c>
      <c r="O17" s="38">
        <v>67241760</v>
      </c>
      <c r="P17" s="27">
        <v>127332720</v>
      </c>
      <c r="Q17" s="27">
        <v>260410320</v>
      </c>
      <c r="R17" s="27">
        <v>12.12</v>
      </c>
      <c r="S17" s="38">
        <v>12.12</v>
      </c>
      <c r="T17" s="38">
        <v>24240</v>
      </c>
      <c r="U17" s="38">
        <v>21486000</v>
      </c>
      <c r="V17" s="38"/>
      <c r="W17" s="38"/>
      <c r="X17" s="38">
        <v>10506000</v>
      </c>
      <c r="Y17" s="38">
        <v>0</v>
      </c>
      <c r="Z17" s="38">
        <v>0</v>
      </c>
      <c r="AA17" s="38">
        <v>10506000</v>
      </c>
      <c r="AB17" s="38">
        <v>127332719.99999999</v>
      </c>
      <c r="AC17" s="38">
        <v>8264</v>
      </c>
      <c r="AD17" s="38">
        <v>8264</v>
      </c>
      <c r="AE17" s="33">
        <v>44967</v>
      </c>
      <c r="AF17" s="33">
        <v>44986</v>
      </c>
      <c r="AG17" s="33">
        <v>45352</v>
      </c>
      <c r="AH17" s="33">
        <v>44982</v>
      </c>
      <c r="AI17" s="33">
        <v>45000</v>
      </c>
      <c r="AJ17" s="42">
        <v>45383</v>
      </c>
      <c r="AK17" s="37" t="s">
        <v>171</v>
      </c>
      <c r="AL17" s="37" t="s">
        <v>252</v>
      </c>
      <c r="AM17" s="37" t="s">
        <v>173</v>
      </c>
      <c r="AN17" s="37" t="s">
        <v>174</v>
      </c>
      <c r="AO17" s="35">
        <v>0</v>
      </c>
      <c r="AP17" s="35">
        <v>100</v>
      </c>
      <c r="AQ17" s="35" t="s">
        <v>175</v>
      </c>
      <c r="AR17" s="44">
        <v>2000</v>
      </c>
      <c r="AS17" s="37" t="s">
        <v>176</v>
      </c>
    </row>
    <row r="18" spans="1:45" ht="78.75" customHeight="1" x14ac:dyDescent="0.25">
      <c r="A18" s="36" t="s">
        <v>253</v>
      </c>
      <c r="B18" s="33">
        <v>44678</v>
      </c>
      <c r="C18" s="35">
        <v>1416</v>
      </c>
      <c r="D18" s="36" t="s">
        <v>254</v>
      </c>
      <c r="E18" s="1" t="s">
        <v>255</v>
      </c>
      <c r="F18" s="33">
        <v>44711</v>
      </c>
      <c r="G18" s="36" t="s">
        <v>256</v>
      </c>
      <c r="H18" s="37" t="s">
        <v>138</v>
      </c>
      <c r="I18" s="37" t="s">
        <v>257</v>
      </c>
      <c r="J18" s="38">
        <v>9624025.5999999996</v>
      </c>
      <c r="K18" s="40">
        <v>0</v>
      </c>
      <c r="L18" s="41">
        <v>0</v>
      </c>
      <c r="M18" s="38">
        <v>9624025.5999999996</v>
      </c>
      <c r="N18" s="41">
        <v>0</v>
      </c>
      <c r="O18" s="38">
        <v>4812012.8</v>
      </c>
      <c r="P18" s="27">
        <v>6015016</v>
      </c>
      <c r="Q18" s="27">
        <v>10827028.800000001</v>
      </c>
      <c r="R18" s="27">
        <v>8592.880000000001</v>
      </c>
      <c r="S18" s="38">
        <v>8592.880000000001</v>
      </c>
      <c r="T18" s="38">
        <v>34371.520000000004</v>
      </c>
      <c r="U18" s="38">
        <v>1260</v>
      </c>
      <c r="V18" s="38"/>
      <c r="W18" s="38">
        <v>700</v>
      </c>
      <c r="X18" s="38"/>
      <c r="Y18" s="38">
        <v>96</v>
      </c>
      <c r="Z18" s="38">
        <v>824916.4800000001</v>
      </c>
      <c r="AA18" s="38">
        <v>604</v>
      </c>
      <c r="AB18" s="38">
        <v>5190099.5200000005</v>
      </c>
      <c r="AC18" s="38">
        <v>280</v>
      </c>
      <c r="AD18" s="38">
        <v>280</v>
      </c>
      <c r="AE18" s="33">
        <v>44986</v>
      </c>
      <c r="AF18" s="33">
        <v>45352</v>
      </c>
      <c r="AG18" s="33"/>
      <c r="AH18" s="33">
        <v>45000</v>
      </c>
      <c r="AI18" s="42">
        <v>45383</v>
      </c>
      <c r="AJ18" s="42"/>
      <c r="AK18" s="37" t="s">
        <v>258</v>
      </c>
      <c r="AL18" s="37" t="s">
        <v>259</v>
      </c>
      <c r="AM18" s="37" t="s">
        <v>260</v>
      </c>
      <c r="AN18" s="37" t="s">
        <v>143</v>
      </c>
      <c r="AO18" s="43">
        <v>0</v>
      </c>
      <c r="AP18" s="35">
        <v>100</v>
      </c>
      <c r="AQ18" s="35" t="s">
        <v>164</v>
      </c>
      <c r="AR18" s="44">
        <v>4</v>
      </c>
      <c r="AS18" s="37" t="s">
        <v>176</v>
      </c>
    </row>
    <row r="19" spans="1:45" ht="78.75" customHeight="1" x14ac:dyDescent="0.25">
      <c r="A19" s="36" t="s">
        <v>261</v>
      </c>
      <c r="B19" s="33">
        <v>44679</v>
      </c>
      <c r="C19" s="35">
        <v>1416</v>
      </c>
      <c r="D19" s="36" t="s">
        <v>262</v>
      </c>
      <c r="E19" s="1" t="s">
        <v>263</v>
      </c>
      <c r="F19" s="33">
        <v>44711</v>
      </c>
      <c r="G19" s="36" t="s">
        <v>264</v>
      </c>
      <c r="H19" s="37" t="s">
        <v>138</v>
      </c>
      <c r="I19" s="37" t="s">
        <v>265</v>
      </c>
      <c r="J19" s="38">
        <v>44846945.640000001</v>
      </c>
      <c r="K19" s="40">
        <v>0</v>
      </c>
      <c r="L19" s="41">
        <v>0</v>
      </c>
      <c r="M19" s="38">
        <v>44846945.640000001</v>
      </c>
      <c r="N19" s="41">
        <v>0</v>
      </c>
      <c r="O19" s="38">
        <v>22423472.82</v>
      </c>
      <c r="P19" s="27">
        <v>35788456.619999997</v>
      </c>
      <c r="Q19" s="27">
        <v>58211929.439999998</v>
      </c>
      <c r="R19" s="27">
        <v>7071.42</v>
      </c>
      <c r="S19" s="38">
        <v>7071.42</v>
      </c>
      <c r="T19" s="38">
        <v>148499.82</v>
      </c>
      <c r="U19" s="38">
        <v>8232</v>
      </c>
      <c r="V19" s="38"/>
      <c r="W19" s="38">
        <v>5061</v>
      </c>
      <c r="X19" s="38"/>
      <c r="Y19" s="38">
        <v>0</v>
      </c>
      <c r="Z19" s="38">
        <v>0</v>
      </c>
      <c r="AA19" s="38">
        <v>5061</v>
      </c>
      <c r="AB19" s="38">
        <v>35788456.619999997</v>
      </c>
      <c r="AC19" s="38">
        <v>302</v>
      </c>
      <c r="AD19" s="38">
        <v>302</v>
      </c>
      <c r="AE19" s="33">
        <v>44986</v>
      </c>
      <c r="AF19" s="33">
        <v>45352</v>
      </c>
      <c r="AG19" s="33"/>
      <c r="AH19" s="33">
        <v>45000</v>
      </c>
      <c r="AI19" s="42">
        <v>45383</v>
      </c>
      <c r="AJ19" s="42"/>
      <c r="AK19" s="37" t="s">
        <v>266</v>
      </c>
      <c r="AL19" s="37" t="s">
        <v>267</v>
      </c>
      <c r="AM19" s="37" t="s">
        <v>268</v>
      </c>
      <c r="AN19" s="37" t="s">
        <v>50</v>
      </c>
      <c r="AO19" s="43">
        <v>100</v>
      </c>
      <c r="AP19" s="35">
        <v>0</v>
      </c>
      <c r="AQ19" s="35" t="s">
        <v>144</v>
      </c>
      <c r="AR19" s="44">
        <v>21</v>
      </c>
      <c r="AS19" s="37" t="s">
        <v>176</v>
      </c>
    </row>
    <row r="20" spans="1:45" ht="78.75" customHeight="1" x14ac:dyDescent="0.25">
      <c r="A20" s="36" t="s">
        <v>269</v>
      </c>
      <c r="B20" s="33">
        <v>44680</v>
      </c>
      <c r="C20" s="35">
        <v>1416</v>
      </c>
      <c r="D20" s="36" t="s">
        <v>270</v>
      </c>
      <c r="E20" s="1" t="s">
        <v>271</v>
      </c>
      <c r="F20" s="33">
        <v>44713</v>
      </c>
      <c r="G20" s="36" t="s">
        <v>272</v>
      </c>
      <c r="H20" s="37" t="s">
        <v>273</v>
      </c>
      <c r="I20" s="37" t="s">
        <v>274</v>
      </c>
      <c r="J20" s="38">
        <v>761678714.15999997</v>
      </c>
      <c r="K20" s="40">
        <v>1.0000000706859646</v>
      </c>
      <c r="L20" s="41">
        <v>7616787.6799999475</v>
      </c>
      <c r="M20" s="38">
        <v>754061926.48000002</v>
      </c>
      <c r="N20" s="41">
        <v>-7622050.7999999523</v>
      </c>
      <c r="O20" s="38">
        <v>377028331.68000001</v>
      </c>
      <c r="P20" s="27">
        <v>377028331.68000001</v>
      </c>
      <c r="Q20" s="27">
        <v>754056663.36000001</v>
      </c>
      <c r="R20" s="27">
        <v>4412.32</v>
      </c>
      <c r="S20" s="38">
        <v>4412.32</v>
      </c>
      <c r="T20" s="38">
        <v>92658.72</v>
      </c>
      <c r="U20" s="38">
        <v>170898</v>
      </c>
      <c r="V20" s="38"/>
      <c r="W20" s="38">
        <v>85449</v>
      </c>
      <c r="X20" s="38"/>
      <c r="Y20" s="38">
        <v>0</v>
      </c>
      <c r="Z20" s="38">
        <v>0</v>
      </c>
      <c r="AA20" s="38">
        <v>85449</v>
      </c>
      <c r="AB20" s="38">
        <v>377028331.67999995</v>
      </c>
      <c r="AC20" s="38">
        <v>8138</v>
      </c>
      <c r="AD20" s="38">
        <v>8138</v>
      </c>
      <c r="AE20" s="33">
        <v>44958</v>
      </c>
      <c r="AF20" s="33">
        <v>45352</v>
      </c>
      <c r="AG20" s="33"/>
      <c r="AH20" s="33">
        <v>44972</v>
      </c>
      <c r="AI20" s="42">
        <v>45383</v>
      </c>
      <c r="AJ20" s="42"/>
      <c r="AK20" s="37" t="s">
        <v>275</v>
      </c>
      <c r="AL20" s="37" t="s">
        <v>276</v>
      </c>
      <c r="AM20" s="37" t="s">
        <v>277</v>
      </c>
      <c r="AN20" s="37" t="s">
        <v>50</v>
      </c>
      <c r="AO20" s="35">
        <v>100</v>
      </c>
      <c r="AP20" s="35">
        <v>0</v>
      </c>
      <c r="AQ20" s="35" t="s">
        <v>144</v>
      </c>
      <c r="AR20" s="48">
        <v>21</v>
      </c>
      <c r="AS20" s="37" t="s">
        <v>145</v>
      </c>
    </row>
    <row r="21" spans="1:45" ht="78.75" customHeight="1" x14ac:dyDescent="0.25">
      <c r="A21" s="36" t="s">
        <v>278</v>
      </c>
      <c r="B21" s="33">
        <v>44680</v>
      </c>
      <c r="C21" s="35">
        <v>1416</v>
      </c>
      <c r="D21" s="36" t="s">
        <v>279</v>
      </c>
      <c r="E21" s="1" t="s">
        <v>280</v>
      </c>
      <c r="F21" s="33">
        <v>44712</v>
      </c>
      <c r="G21" s="36" t="s">
        <v>281</v>
      </c>
      <c r="H21" s="37" t="s">
        <v>282</v>
      </c>
      <c r="I21" s="37" t="s">
        <v>283</v>
      </c>
      <c r="J21" s="38">
        <v>61486783.68</v>
      </c>
      <c r="K21" s="40">
        <v>2.5000000130109288</v>
      </c>
      <c r="L21" s="41">
        <v>1537169.6000000015</v>
      </c>
      <c r="M21" s="38">
        <v>59949614.079999998</v>
      </c>
      <c r="N21" s="41">
        <v>-1537213.4399999976</v>
      </c>
      <c r="O21" s="38">
        <v>29974785.120000001</v>
      </c>
      <c r="P21" s="27">
        <v>29974785.120000001</v>
      </c>
      <c r="Q21" s="27">
        <v>59949570.240000002</v>
      </c>
      <c r="R21" s="27">
        <v>3076.23</v>
      </c>
      <c r="S21" s="38">
        <v>3076.23</v>
      </c>
      <c r="T21" s="38">
        <v>64600.83</v>
      </c>
      <c r="U21" s="38">
        <v>19488</v>
      </c>
      <c r="V21" s="38"/>
      <c r="W21" s="38">
        <v>9744</v>
      </c>
      <c r="X21" s="38"/>
      <c r="Y21" s="38">
        <v>0</v>
      </c>
      <c r="Z21" s="38">
        <v>0</v>
      </c>
      <c r="AA21" s="38">
        <v>9744</v>
      </c>
      <c r="AB21" s="38">
        <v>29974785.120000001</v>
      </c>
      <c r="AC21" s="38">
        <v>928</v>
      </c>
      <c r="AD21" s="38">
        <v>928</v>
      </c>
      <c r="AE21" s="33">
        <v>44958</v>
      </c>
      <c r="AF21" s="33">
        <v>45292</v>
      </c>
      <c r="AG21" s="33"/>
      <c r="AH21" s="33">
        <v>44972</v>
      </c>
      <c r="AI21" s="33">
        <v>45366</v>
      </c>
      <c r="AJ21" s="42"/>
      <c r="AK21" s="37" t="s">
        <v>284</v>
      </c>
      <c r="AL21" s="37" t="s">
        <v>285</v>
      </c>
      <c r="AM21" s="37" t="s">
        <v>286</v>
      </c>
      <c r="AN21" s="37" t="s">
        <v>50</v>
      </c>
      <c r="AO21" s="35">
        <v>100</v>
      </c>
      <c r="AP21" s="35">
        <v>0</v>
      </c>
      <c r="AQ21" s="35" t="s">
        <v>144</v>
      </c>
      <c r="AR21" s="48">
        <v>21</v>
      </c>
      <c r="AS21" s="37" t="s">
        <v>176</v>
      </c>
    </row>
    <row r="22" spans="1:45" ht="78.75" customHeight="1" x14ac:dyDescent="0.25">
      <c r="A22" s="36" t="s">
        <v>287</v>
      </c>
      <c r="B22" s="33">
        <v>44680</v>
      </c>
      <c r="C22" s="35">
        <v>1416</v>
      </c>
      <c r="D22" s="36" t="s">
        <v>288</v>
      </c>
      <c r="E22" s="1" t="s">
        <v>289</v>
      </c>
      <c r="F22" s="33">
        <v>44714</v>
      </c>
      <c r="G22" s="36" t="s">
        <v>290</v>
      </c>
      <c r="H22" s="37" t="s">
        <v>291</v>
      </c>
      <c r="I22" s="37" t="s">
        <v>292</v>
      </c>
      <c r="J22" s="38">
        <v>3291225799.6799998</v>
      </c>
      <c r="K22" s="40">
        <v>0.50000001706354957</v>
      </c>
      <c r="L22" s="41">
        <v>16456129.559999943</v>
      </c>
      <c r="M22" s="38">
        <v>3274769670.1199999</v>
      </c>
      <c r="N22" s="41">
        <v>-16460962.559999943</v>
      </c>
      <c r="O22" s="38">
        <v>1637382418.5599999</v>
      </c>
      <c r="P22" s="27">
        <v>1454542881.1199999</v>
      </c>
      <c r="Q22" s="38">
        <v>3091925299.6799998</v>
      </c>
      <c r="R22" s="27">
        <v>4605.6849999999995</v>
      </c>
      <c r="S22" s="38">
        <v>4333.33</v>
      </c>
      <c r="T22" s="38"/>
      <c r="U22" s="38">
        <v>671328</v>
      </c>
      <c r="V22" s="38"/>
      <c r="W22" s="38">
        <v>335664</v>
      </c>
      <c r="X22" s="38"/>
      <c r="Y22" s="38">
        <v>983</v>
      </c>
      <c r="Z22" s="38">
        <v>4259663.3899999997</v>
      </c>
      <c r="AA22" s="38">
        <v>334681</v>
      </c>
      <c r="AB22" s="38">
        <v>1450283217.73</v>
      </c>
      <c r="AC22" s="38">
        <v>0</v>
      </c>
      <c r="AD22" s="38">
        <v>0</v>
      </c>
      <c r="AE22" s="33">
        <v>44958</v>
      </c>
      <c r="AF22" s="33">
        <v>45352</v>
      </c>
      <c r="AG22" s="33"/>
      <c r="AH22" s="33">
        <v>44972</v>
      </c>
      <c r="AI22" s="33">
        <v>45383</v>
      </c>
      <c r="AJ22" s="42"/>
      <c r="AK22" s="37" t="s">
        <v>293</v>
      </c>
      <c r="AL22" s="37" t="s">
        <v>294</v>
      </c>
      <c r="AM22" s="37" t="s">
        <v>295</v>
      </c>
      <c r="AN22" s="37" t="s">
        <v>50</v>
      </c>
      <c r="AO22" s="35">
        <v>100</v>
      </c>
      <c r="AP22" s="35">
        <v>0</v>
      </c>
      <c r="AQ22" s="35" t="s">
        <v>144</v>
      </c>
      <c r="AR22" s="48">
        <v>21</v>
      </c>
      <c r="AS22" s="37" t="s">
        <v>176</v>
      </c>
    </row>
    <row r="23" spans="1:45" ht="76.5" customHeight="1" x14ac:dyDescent="0.25">
      <c r="A23" s="36" t="s">
        <v>296</v>
      </c>
      <c r="B23" s="33">
        <v>44680</v>
      </c>
      <c r="C23" s="35">
        <v>1416</v>
      </c>
      <c r="D23" s="36" t="s">
        <v>297</v>
      </c>
      <c r="E23" s="1" t="s">
        <v>298</v>
      </c>
      <c r="F23" s="33">
        <v>44712</v>
      </c>
      <c r="G23" s="36" t="s">
        <v>299</v>
      </c>
      <c r="H23" s="37" t="s">
        <v>282</v>
      </c>
      <c r="I23" s="37" t="s">
        <v>300</v>
      </c>
      <c r="J23" s="38">
        <v>268892744.39999998</v>
      </c>
      <c r="K23" s="40">
        <v>1.4999999977686147</v>
      </c>
      <c r="L23" s="41">
        <v>4033391.1599999666</v>
      </c>
      <c r="M23" s="38">
        <v>264859353.24000001</v>
      </c>
      <c r="N23" s="41">
        <v>4033505.6999999881</v>
      </c>
      <c r="O23" s="38">
        <v>132429619.34999999</v>
      </c>
      <c r="P23" s="27">
        <v>132429619.34999999</v>
      </c>
      <c r="Q23" s="27">
        <v>264859238.69999999</v>
      </c>
      <c r="R23" s="27">
        <v>4162.49</v>
      </c>
      <c r="S23" s="38">
        <v>4162.49</v>
      </c>
      <c r="T23" s="38">
        <v>87412.29</v>
      </c>
      <c r="U23" s="38">
        <v>63630</v>
      </c>
      <c r="V23" s="38"/>
      <c r="W23" s="38">
        <v>31815</v>
      </c>
      <c r="X23" s="38"/>
      <c r="Y23" s="38">
        <v>0</v>
      </c>
      <c r="Z23" s="38">
        <v>0</v>
      </c>
      <c r="AA23" s="38">
        <v>31815</v>
      </c>
      <c r="AB23" s="38">
        <v>132429619.34999999</v>
      </c>
      <c r="AC23" s="38">
        <v>3030</v>
      </c>
      <c r="AD23" s="38">
        <v>3030</v>
      </c>
      <c r="AE23" s="33">
        <v>44958</v>
      </c>
      <c r="AF23" s="33">
        <v>45352</v>
      </c>
      <c r="AG23" s="33"/>
      <c r="AH23" s="33">
        <v>44972</v>
      </c>
      <c r="AI23" s="33">
        <v>45383</v>
      </c>
      <c r="AJ23" s="42"/>
      <c r="AK23" s="37" t="s">
        <v>284</v>
      </c>
      <c r="AL23" s="37" t="s">
        <v>301</v>
      </c>
      <c r="AM23" s="37" t="s">
        <v>286</v>
      </c>
      <c r="AN23" s="37" t="s">
        <v>50</v>
      </c>
      <c r="AO23" s="43">
        <v>0</v>
      </c>
      <c r="AP23" s="35">
        <v>100</v>
      </c>
      <c r="AQ23" s="35" t="s">
        <v>144</v>
      </c>
      <c r="AR23" s="44">
        <v>21</v>
      </c>
      <c r="AS23" s="37" t="s">
        <v>176</v>
      </c>
    </row>
    <row r="24" spans="1:45" ht="76.5" customHeight="1" x14ac:dyDescent="0.25">
      <c r="A24" s="36" t="s">
        <v>302</v>
      </c>
      <c r="B24" s="33">
        <v>44685</v>
      </c>
      <c r="C24" s="35">
        <v>1416</v>
      </c>
      <c r="D24" s="36" t="s">
        <v>303</v>
      </c>
      <c r="E24" s="1" t="s">
        <v>304</v>
      </c>
      <c r="F24" s="33">
        <v>44626</v>
      </c>
      <c r="G24" s="36" t="s">
        <v>305</v>
      </c>
      <c r="H24" s="37" t="s">
        <v>193</v>
      </c>
      <c r="I24" s="37" t="s">
        <v>306</v>
      </c>
      <c r="J24" s="38">
        <v>1400150205</v>
      </c>
      <c r="K24" s="40">
        <v>99.159763341962304</v>
      </c>
      <c r="L24" s="41">
        <v>1388385629.71</v>
      </c>
      <c r="M24" s="38">
        <v>11764575.289999999</v>
      </c>
      <c r="N24" s="41">
        <v>1394269544.25</v>
      </c>
      <c r="O24" s="38">
        <v>5880660.75</v>
      </c>
      <c r="P24" s="27">
        <v>5880660.75</v>
      </c>
      <c r="Q24" s="38">
        <v>11761321.5</v>
      </c>
      <c r="R24" s="27">
        <v>7.87</v>
      </c>
      <c r="S24" s="38">
        <v>7.87</v>
      </c>
      <c r="T24" s="38">
        <v>220.36</v>
      </c>
      <c r="U24" s="38">
        <v>1494450</v>
      </c>
      <c r="V24" s="38"/>
      <c r="W24" s="38">
        <v>747225</v>
      </c>
      <c r="X24" s="38"/>
      <c r="Y24" s="38">
        <v>2044</v>
      </c>
      <c r="Z24" s="38">
        <v>16086.28</v>
      </c>
      <c r="AA24" s="38">
        <v>745181</v>
      </c>
      <c r="AB24" s="38">
        <v>5864574.4699999997</v>
      </c>
      <c r="AC24" s="38">
        <v>53373.214285714283</v>
      </c>
      <c r="AD24" s="38">
        <v>53374</v>
      </c>
      <c r="AE24" s="33">
        <v>44986</v>
      </c>
      <c r="AF24" s="33">
        <v>45352</v>
      </c>
      <c r="AG24" s="33"/>
      <c r="AH24" s="33">
        <v>45000</v>
      </c>
      <c r="AI24" s="33">
        <v>45383</v>
      </c>
      <c r="AJ24" s="42"/>
      <c r="AK24" s="37" t="s">
        <v>307</v>
      </c>
      <c r="AL24" s="37" t="s">
        <v>308</v>
      </c>
      <c r="AM24" s="37" t="s">
        <v>309</v>
      </c>
      <c r="AN24" s="37" t="s">
        <v>50</v>
      </c>
      <c r="AO24" s="43">
        <v>100</v>
      </c>
      <c r="AP24" s="35">
        <v>0</v>
      </c>
      <c r="AQ24" s="35" t="s">
        <v>144</v>
      </c>
      <c r="AR24" s="44">
        <v>28</v>
      </c>
      <c r="AS24" s="37" t="s">
        <v>176</v>
      </c>
    </row>
    <row r="25" spans="1:45" ht="76.5" customHeight="1" x14ac:dyDescent="0.25">
      <c r="A25" s="36" t="s">
        <v>310</v>
      </c>
      <c r="B25" s="33">
        <v>44708</v>
      </c>
      <c r="C25" s="35">
        <v>1416</v>
      </c>
      <c r="D25" s="36" t="s">
        <v>311</v>
      </c>
      <c r="E25" s="1" t="s">
        <v>312</v>
      </c>
      <c r="F25" s="33">
        <v>44739</v>
      </c>
      <c r="G25" s="35" t="s">
        <v>313</v>
      </c>
      <c r="H25" s="37" t="s">
        <v>314</v>
      </c>
      <c r="I25" s="37" t="s">
        <v>315</v>
      </c>
      <c r="J25" s="38">
        <v>761721856</v>
      </c>
      <c r="K25" s="40">
        <v>0</v>
      </c>
      <c r="L25" s="41">
        <v>0</v>
      </c>
      <c r="M25" s="38">
        <v>761721856</v>
      </c>
      <c r="N25" s="41">
        <v>0</v>
      </c>
      <c r="O25" s="38">
        <v>380860928</v>
      </c>
      <c r="P25" s="27">
        <v>380860928</v>
      </c>
      <c r="Q25" s="27">
        <v>761721856</v>
      </c>
      <c r="R25" s="27">
        <v>258.39999999999998</v>
      </c>
      <c r="S25" s="38">
        <v>258.39999999999998</v>
      </c>
      <c r="T25" s="38">
        <v>7235.1999999999989</v>
      </c>
      <c r="U25" s="38">
        <v>2947840</v>
      </c>
      <c r="V25" s="38"/>
      <c r="W25" s="38">
        <v>1473920</v>
      </c>
      <c r="X25" s="38"/>
      <c r="Y25" s="38">
        <v>1820</v>
      </c>
      <c r="Z25" s="38">
        <v>470287.99999999994</v>
      </c>
      <c r="AA25" s="38">
        <v>1472100</v>
      </c>
      <c r="AB25" s="38">
        <v>380390639.99999994</v>
      </c>
      <c r="AC25" s="38">
        <v>105280</v>
      </c>
      <c r="AD25" s="38">
        <v>105280</v>
      </c>
      <c r="AE25" s="33">
        <v>44958</v>
      </c>
      <c r="AF25" s="33">
        <v>45323</v>
      </c>
      <c r="AG25" s="33"/>
      <c r="AH25" s="33">
        <v>44972</v>
      </c>
      <c r="AI25" s="33">
        <v>45352</v>
      </c>
      <c r="AJ25" s="42"/>
      <c r="AK25" s="37" t="s">
        <v>195</v>
      </c>
      <c r="AL25" s="37" t="s">
        <v>316</v>
      </c>
      <c r="AM25" s="37" t="s">
        <v>317</v>
      </c>
      <c r="AN25" s="37" t="s">
        <v>50</v>
      </c>
      <c r="AO25" s="35">
        <v>100</v>
      </c>
      <c r="AP25" s="35">
        <v>0</v>
      </c>
      <c r="AQ25" s="35" t="s">
        <v>164</v>
      </c>
      <c r="AR25" s="44">
        <v>28</v>
      </c>
      <c r="AS25" s="37" t="s">
        <v>176</v>
      </c>
    </row>
    <row r="26" spans="1:45" ht="76.5" customHeight="1" x14ac:dyDescent="0.25">
      <c r="A26" s="36" t="s">
        <v>318</v>
      </c>
      <c r="B26" s="33">
        <v>44706</v>
      </c>
      <c r="C26" s="35">
        <v>1416</v>
      </c>
      <c r="D26" s="36" t="s">
        <v>319</v>
      </c>
      <c r="E26" s="1" t="s">
        <v>320</v>
      </c>
      <c r="F26" s="33">
        <v>44729</v>
      </c>
      <c r="G26" s="35" t="s">
        <v>321</v>
      </c>
      <c r="H26" s="37" t="s">
        <v>219</v>
      </c>
      <c r="I26" s="37" t="s">
        <v>322</v>
      </c>
      <c r="J26" s="38">
        <v>274032460.80000001</v>
      </c>
      <c r="K26" s="40">
        <v>0</v>
      </c>
      <c r="L26" s="41">
        <v>0</v>
      </c>
      <c r="M26" s="27">
        <v>274032460.80000001</v>
      </c>
      <c r="N26" s="41">
        <v>0</v>
      </c>
      <c r="O26" s="38">
        <v>137016230.40000001</v>
      </c>
      <c r="P26" s="27">
        <v>136875267.19999999</v>
      </c>
      <c r="Q26" s="27">
        <v>273891497.60000002</v>
      </c>
      <c r="R26" s="27">
        <v>2013.7600000000002</v>
      </c>
      <c r="S26" s="38">
        <v>2013.7600000000002</v>
      </c>
      <c r="T26" s="38">
        <v>20137.600000000002</v>
      </c>
      <c r="U26" s="38">
        <v>136010</v>
      </c>
      <c r="V26" s="38"/>
      <c r="W26" s="38">
        <v>67970</v>
      </c>
      <c r="X26" s="38"/>
      <c r="Y26" s="38">
        <v>51570</v>
      </c>
      <c r="Z26" s="38">
        <v>103849603.20000002</v>
      </c>
      <c r="AA26" s="38">
        <v>16400</v>
      </c>
      <c r="AB26" s="38">
        <v>33025664.000000004</v>
      </c>
      <c r="AC26" s="38">
        <v>13601</v>
      </c>
      <c r="AD26" s="38">
        <v>13601</v>
      </c>
      <c r="AE26" s="33">
        <v>45031</v>
      </c>
      <c r="AF26" s="33">
        <v>45397</v>
      </c>
      <c r="AG26" s="33"/>
      <c r="AH26" s="33">
        <v>45061</v>
      </c>
      <c r="AI26" s="33">
        <v>45427</v>
      </c>
      <c r="AJ26" s="42"/>
      <c r="AK26" s="37" t="s">
        <v>323</v>
      </c>
      <c r="AL26" s="37" t="s">
        <v>324</v>
      </c>
      <c r="AM26" s="37" t="s">
        <v>325</v>
      </c>
      <c r="AN26" s="37" t="s">
        <v>326</v>
      </c>
      <c r="AO26" s="43">
        <v>0</v>
      </c>
      <c r="AP26" s="35">
        <v>100</v>
      </c>
      <c r="AQ26" s="35" t="s">
        <v>164</v>
      </c>
      <c r="AR26" s="44">
        <v>10</v>
      </c>
      <c r="AS26" s="37" t="s">
        <v>176</v>
      </c>
    </row>
    <row r="27" spans="1:45" ht="76.5" customHeight="1" x14ac:dyDescent="0.25">
      <c r="A27" s="36" t="s">
        <v>327</v>
      </c>
      <c r="B27" s="33">
        <v>44715</v>
      </c>
      <c r="C27" s="35">
        <v>1416</v>
      </c>
      <c r="D27" s="36" t="s">
        <v>328</v>
      </c>
      <c r="E27" s="1" t="s">
        <v>329</v>
      </c>
      <c r="F27" s="33">
        <v>44746</v>
      </c>
      <c r="G27" s="35" t="s">
        <v>330</v>
      </c>
      <c r="H27" s="37" t="s">
        <v>331</v>
      </c>
      <c r="I27" s="37" t="s">
        <v>332</v>
      </c>
      <c r="J27" s="38">
        <v>1240064812.8</v>
      </c>
      <c r="K27" s="40">
        <v>0</v>
      </c>
      <c r="L27" s="41">
        <v>0</v>
      </c>
      <c r="M27" s="38">
        <v>1240064812.8</v>
      </c>
      <c r="N27" s="41">
        <v>620032406.39999998</v>
      </c>
      <c r="O27" s="38">
        <v>620032406.39999998</v>
      </c>
      <c r="P27" s="27">
        <v>992041578</v>
      </c>
      <c r="Q27" s="27">
        <v>1612073984.4000001</v>
      </c>
      <c r="R27" s="27">
        <v>142.67000000000002</v>
      </c>
      <c r="S27" s="38">
        <v>142.67000000000002</v>
      </c>
      <c r="T27" s="38">
        <v>17120.400000000001</v>
      </c>
      <c r="U27" s="38">
        <v>11299320</v>
      </c>
      <c r="V27" s="38"/>
      <c r="W27" s="38">
        <v>6953400</v>
      </c>
      <c r="X27" s="38"/>
      <c r="Y27" s="38">
        <v>47880</v>
      </c>
      <c r="Z27" s="38">
        <v>6831039.6000000006</v>
      </c>
      <c r="AA27" s="38">
        <v>6905520</v>
      </c>
      <c r="AB27" s="38">
        <v>985210538.4000001</v>
      </c>
      <c r="AC27" s="38">
        <v>72432</v>
      </c>
      <c r="AD27" s="38">
        <v>72432</v>
      </c>
      <c r="AE27" s="33">
        <v>44986</v>
      </c>
      <c r="AF27" s="33">
        <v>45352</v>
      </c>
      <c r="AG27" s="33"/>
      <c r="AH27" s="33">
        <v>45000</v>
      </c>
      <c r="AI27" s="33">
        <v>45383</v>
      </c>
      <c r="AJ27" s="42"/>
      <c r="AK27" s="37" t="s">
        <v>333</v>
      </c>
      <c r="AL27" s="37" t="s">
        <v>334</v>
      </c>
      <c r="AM27" s="37" t="s">
        <v>335</v>
      </c>
      <c r="AN27" s="37" t="s">
        <v>336</v>
      </c>
      <c r="AO27" s="43">
        <v>0</v>
      </c>
      <c r="AP27" s="35">
        <v>100</v>
      </c>
      <c r="AQ27" s="35" t="s">
        <v>337</v>
      </c>
      <c r="AR27" s="44">
        <v>120</v>
      </c>
      <c r="AS27" s="37" t="s">
        <v>176</v>
      </c>
    </row>
    <row r="28" spans="1:45" ht="76.5" customHeight="1" x14ac:dyDescent="0.25">
      <c r="A28" s="36" t="s">
        <v>338</v>
      </c>
      <c r="B28" s="33">
        <v>44719</v>
      </c>
      <c r="C28" s="35">
        <v>1416</v>
      </c>
      <c r="D28" s="36" t="s">
        <v>339</v>
      </c>
      <c r="E28" s="1" t="s">
        <v>340</v>
      </c>
      <c r="F28" s="33">
        <v>44746</v>
      </c>
      <c r="G28" s="36" t="s">
        <v>341</v>
      </c>
      <c r="H28" s="37" t="s">
        <v>169</v>
      </c>
      <c r="I28" s="37" t="s">
        <v>342</v>
      </c>
      <c r="J28" s="38">
        <v>117119160</v>
      </c>
      <c r="K28" s="40">
        <v>0</v>
      </c>
      <c r="L28" s="41">
        <v>0</v>
      </c>
      <c r="M28" s="38">
        <v>117119160</v>
      </c>
      <c r="N28" s="41">
        <v>0</v>
      </c>
      <c r="O28" s="38">
        <v>58559580</v>
      </c>
      <c r="P28" s="27">
        <v>93665640</v>
      </c>
      <c r="Q28" s="27">
        <v>152225220</v>
      </c>
      <c r="R28" s="27">
        <v>12.37</v>
      </c>
      <c r="S28" s="38">
        <v>12.37</v>
      </c>
      <c r="T28" s="38">
        <v>37110</v>
      </c>
      <c r="U28" s="38">
        <v>12306000</v>
      </c>
      <c r="V28" s="38"/>
      <c r="W28" s="38">
        <v>7572000</v>
      </c>
      <c r="X28" s="38"/>
      <c r="Y28" s="38">
        <v>0</v>
      </c>
      <c r="Z28" s="38">
        <v>0</v>
      </c>
      <c r="AA28" s="38">
        <v>7572000</v>
      </c>
      <c r="AB28" s="38">
        <v>93665640</v>
      </c>
      <c r="AC28" s="38">
        <v>3156</v>
      </c>
      <c r="AD28" s="38">
        <v>3156</v>
      </c>
      <c r="AE28" s="33">
        <v>44986</v>
      </c>
      <c r="AF28" s="33">
        <v>45352</v>
      </c>
      <c r="AG28" s="33"/>
      <c r="AH28" s="33">
        <v>45000</v>
      </c>
      <c r="AI28" s="33">
        <v>45383</v>
      </c>
      <c r="AJ28" s="42"/>
      <c r="AK28" s="37" t="s">
        <v>171</v>
      </c>
      <c r="AL28" s="37" t="s">
        <v>343</v>
      </c>
      <c r="AM28" s="37" t="s">
        <v>173</v>
      </c>
      <c r="AN28" s="37" t="s">
        <v>174</v>
      </c>
      <c r="AO28" s="43">
        <v>0</v>
      </c>
      <c r="AP28" s="35">
        <v>100</v>
      </c>
      <c r="AQ28" s="35" t="s">
        <v>175</v>
      </c>
      <c r="AR28" s="44">
        <v>3000</v>
      </c>
      <c r="AS28" s="37" t="s">
        <v>176</v>
      </c>
    </row>
    <row r="29" spans="1:45" ht="76.5" customHeight="1" x14ac:dyDescent="0.25">
      <c r="A29" s="36" t="s">
        <v>344</v>
      </c>
      <c r="B29" s="33">
        <v>44719</v>
      </c>
      <c r="C29" s="35">
        <v>1416</v>
      </c>
      <c r="D29" s="36" t="s">
        <v>345</v>
      </c>
      <c r="E29" s="1" t="s">
        <v>346</v>
      </c>
      <c r="F29" s="33">
        <v>44750</v>
      </c>
      <c r="G29" s="36" t="s">
        <v>347</v>
      </c>
      <c r="H29" s="37" t="s">
        <v>169</v>
      </c>
      <c r="I29" s="37" t="s">
        <v>348</v>
      </c>
      <c r="J29" s="38">
        <v>1322673000</v>
      </c>
      <c r="K29" s="40">
        <v>0</v>
      </c>
      <c r="L29" s="41">
        <v>0</v>
      </c>
      <c r="M29" s="38">
        <v>1322673000</v>
      </c>
      <c r="N29" s="41">
        <v>0</v>
      </c>
      <c r="O29" s="38">
        <v>661336500</v>
      </c>
      <c r="P29" s="27">
        <v>1058027437.5</v>
      </c>
      <c r="Q29" s="38">
        <v>1719363937.5</v>
      </c>
      <c r="R29" s="27">
        <v>3698.75</v>
      </c>
      <c r="S29" s="38">
        <v>3698.75</v>
      </c>
      <c r="T29" s="38">
        <v>3698.75</v>
      </c>
      <c r="U29" s="38">
        <v>464850</v>
      </c>
      <c r="V29" s="38"/>
      <c r="W29" s="38">
        <v>286050</v>
      </c>
      <c r="X29" s="38"/>
      <c r="Y29" s="38">
        <v>219300</v>
      </c>
      <c r="Z29" s="38">
        <v>811135875</v>
      </c>
      <c r="AA29" s="38">
        <v>66750</v>
      </c>
      <c r="AB29" s="38">
        <v>246891562.5</v>
      </c>
      <c r="AC29" s="38">
        <v>357600</v>
      </c>
      <c r="AD29" s="38">
        <v>357600</v>
      </c>
      <c r="AE29" s="33">
        <v>44986</v>
      </c>
      <c r="AF29" s="33">
        <v>45352</v>
      </c>
      <c r="AG29" s="33"/>
      <c r="AH29" s="33">
        <v>45000</v>
      </c>
      <c r="AI29" s="33">
        <v>45383</v>
      </c>
      <c r="AJ29" s="42"/>
      <c r="AK29" s="37" t="s">
        <v>349</v>
      </c>
      <c r="AL29" s="37" t="s">
        <v>350</v>
      </c>
      <c r="AM29" s="37" t="s">
        <v>351</v>
      </c>
      <c r="AN29" s="37" t="s">
        <v>352</v>
      </c>
      <c r="AO29" s="43">
        <v>0</v>
      </c>
      <c r="AP29" s="35">
        <v>100</v>
      </c>
      <c r="AQ29" s="37" t="s">
        <v>353</v>
      </c>
      <c r="AR29" s="44">
        <v>1</v>
      </c>
      <c r="AS29" s="37" t="s">
        <v>176</v>
      </c>
    </row>
    <row r="30" spans="1:45" ht="76.5" customHeight="1" x14ac:dyDescent="0.25">
      <c r="A30" s="36" t="s">
        <v>354</v>
      </c>
      <c r="B30" s="33">
        <v>44721</v>
      </c>
      <c r="C30" s="35">
        <v>1416</v>
      </c>
      <c r="D30" s="36" t="s">
        <v>355</v>
      </c>
      <c r="E30" s="1" t="s">
        <v>356</v>
      </c>
      <c r="F30" s="33">
        <v>44746</v>
      </c>
      <c r="G30" s="35" t="s">
        <v>357</v>
      </c>
      <c r="H30" s="37" t="s">
        <v>219</v>
      </c>
      <c r="I30" s="37" t="s">
        <v>358</v>
      </c>
      <c r="J30" s="38">
        <v>132241909.8</v>
      </c>
      <c r="K30" s="40">
        <v>0</v>
      </c>
      <c r="L30" s="41">
        <v>0</v>
      </c>
      <c r="M30" s="38">
        <v>132241909.8</v>
      </c>
      <c r="N30" s="41">
        <v>0</v>
      </c>
      <c r="O30" s="38">
        <v>48848723</v>
      </c>
      <c r="P30" s="27">
        <v>63519448.299999997</v>
      </c>
      <c r="Q30" s="27">
        <v>146912635.09999999</v>
      </c>
      <c r="R30" s="27">
        <v>2013.55</v>
      </c>
      <c r="S30" s="38">
        <v>2013.55</v>
      </c>
      <c r="T30" s="38">
        <v>8054.2</v>
      </c>
      <c r="U30" s="38">
        <v>72962</v>
      </c>
      <c r="V30" s="38"/>
      <c r="W30" s="38">
        <v>31546</v>
      </c>
      <c r="X30" s="38"/>
      <c r="Y30" s="38">
        <v>26078</v>
      </c>
      <c r="Z30" s="38">
        <v>52509356.899999999</v>
      </c>
      <c r="AA30" s="38">
        <v>5468</v>
      </c>
      <c r="AB30" s="38">
        <v>11010091.4</v>
      </c>
      <c r="AC30" s="38">
        <v>16419</v>
      </c>
      <c r="AD30" s="38">
        <v>16419</v>
      </c>
      <c r="AE30" s="33">
        <v>44986</v>
      </c>
      <c r="AF30" s="33">
        <v>45352</v>
      </c>
      <c r="AG30" s="33"/>
      <c r="AH30" s="33">
        <v>45000</v>
      </c>
      <c r="AI30" s="33">
        <v>45383</v>
      </c>
      <c r="AJ30" s="42"/>
      <c r="AK30" s="37" t="s">
        <v>323</v>
      </c>
      <c r="AL30" s="37" t="s">
        <v>359</v>
      </c>
      <c r="AM30" s="37" t="s">
        <v>325</v>
      </c>
      <c r="AN30" s="37" t="s">
        <v>326</v>
      </c>
      <c r="AO30" s="43">
        <v>0</v>
      </c>
      <c r="AP30" s="35">
        <v>100</v>
      </c>
      <c r="AQ30" s="35" t="s">
        <v>164</v>
      </c>
      <c r="AR30" s="44">
        <v>4</v>
      </c>
      <c r="AS30" s="37" t="s">
        <v>176</v>
      </c>
    </row>
    <row r="31" spans="1:45" ht="105" x14ac:dyDescent="0.25">
      <c r="A31" s="46" t="s">
        <v>656</v>
      </c>
      <c r="B31" s="33">
        <v>45230</v>
      </c>
      <c r="C31" s="35">
        <v>1416</v>
      </c>
      <c r="D31" s="36" t="s">
        <v>657</v>
      </c>
      <c r="E31" s="1" t="s">
        <v>658</v>
      </c>
      <c r="F31" s="33">
        <v>45250</v>
      </c>
      <c r="G31" s="35" t="s">
        <v>659</v>
      </c>
      <c r="H31" s="37" t="s">
        <v>138</v>
      </c>
      <c r="I31" s="37" t="s">
        <v>660</v>
      </c>
      <c r="J31" s="38">
        <v>265649669</v>
      </c>
      <c r="K31" s="40">
        <v>0</v>
      </c>
      <c r="L31" s="41">
        <v>0</v>
      </c>
      <c r="M31" s="38">
        <v>265649669</v>
      </c>
      <c r="N31" s="41">
        <v>0</v>
      </c>
      <c r="O31" s="38">
        <v>265649669</v>
      </c>
      <c r="P31" s="27">
        <v>265649669</v>
      </c>
      <c r="Q31" s="27">
        <v>265649669</v>
      </c>
      <c r="R31" s="27">
        <v>25791.23</v>
      </c>
      <c r="S31" s="38">
        <v>25791.23</v>
      </c>
      <c r="T31" s="38">
        <v>257912.3</v>
      </c>
      <c r="U31" s="38">
        <v>10300</v>
      </c>
      <c r="V31" s="38">
        <v>10300</v>
      </c>
      <c r="W31" s="38">
        <v>0</v>
      </c>
      <c r="X31" s="38">
        <v>0</v>
      </c>
      <c r="Y31" s="38">
        <v>0</v>
      </c>
      <c r="Z31" s="38">
        <v>0</v>
      </c>
      <c r="AA31" s="38">
        <v>10300</v>
      </c>
      <c r="AB31" s="38">
        <v>265649669</v>
      </c>
      <c r="AC31" s="38">
        <v>1030</v>
      </c>
      <c r="AD31" s="38">
        <v>1030</v>
      </c>
      <c r="AE31" s="33">
        <v>45301</v>
      </c>
      <c r="AF31" s="33"/>
      <c r="AG31" s="33"/>
      <c r="AH31" s="33">
        <v>45332</v>
      </c>
      <c r="AI31" s="33"/>
      <c r="AJ31" s="42"/>
      <c r="AK31" s="37" t="s">
        <v>661</v>
      </c>
      <c r="AL31" s="37" t="s">
        <v>662</v>
      </c>
      <c r="AM31" s="37" t="s">
        <v>663</v>
      </c>
      <c r="AN31" s="37" t="s">
        <v>174</v>
      </c>
      <c r="AO31" s="43">
        <v>0</v>
      </c>
      <c r="AP31" s="35">
        <v>100</v>
      </c>
      <c r="AQ31" s="35" t="s">
        <v>164</v>
      </c>
      <c r="AR31" s="44">
        <v>10</v>
      </c>
      <c r="AS31" s="37" t="s">
        <v>176</v>
      </c>
    </row>
    <row r="32" spans="1:45" ht="85.5" customHeight="1" x14ac:dyDescent="0.25">
      <c r="A32" s="46" t="s">
        <v>664</v>
      </c>
      <c r="B32" s="33">
        <v>45230</v>
      </c>
      <c r="C32" s="35">
        <v>1416</v>
      </c>
      <c r="D32" s="36" t="s">
        <v>665</v>
      </c>
      <c r="E32" s="1" t="s">
        <v>666</v>
      </c>
      <c r="F32" s="33">
        <v>45250</v>
      </c>
      <c r="G32" s="35" t="s">
        <v>667</v>
      </c>
      <c r="H32" s="37" t="s">
        <v>138</v>
      </c>
      <c r="I32" s="37" t="s">
        <v>660</v>
      </c>
      <c r="J32" s="38">
        <v>299436180.30000001</v>
      </c>
      <c r="K32" s="40">
        <v>0</v>
      </c>
      <c r="L32" s="41">
        <v>0</v>
      </c>
      <c r="M32" s="38">
        <v>299436180.30000001</v>
      </c>
      <c r="N32" s="41">
        <v>0</v>
      </c>
      <c r="O32" s="38">
        <v>299436180.30000001</v>
      </c>
      <c r="P32" s="27">
        <v>299436180.30000001</v>
      </c>
      <c r="Q32" s="27">
        <v>299436180.30000001</v>
      </c>
      <c r="R32" s="27">
        <v>25791.23</v>
      </c>
      <c r="S32" s="38">
        <v>25791.23</v>
      </c>
      <c r="T32" s="38">
        <v>257912.3</v>
      </c>
      <c r="U32" s="38">
        <v>11610</v>
      </c>
      <c r="V32" s="38">
        <v>11610</v>
      </c>
      <c r="W32" s="38">
        <v>0</v>
      </c>
      <c r="X32" s="38">
        <v>0</v>
      </c>
      <c r="Y32" s="38">
        <v>0</v>
      </c>
      <c r="Z32" s="38">
        <v>0</v>
      </c>
      <c r="AA32" s="38">
        <v>11610</v>
      </c>
      <c r="AB32" s="38">
        <v>299436180.30000001</v>
      </c>
      <c r="AC32" s="38">
        <v>1161</v>
      </c>
      <c r="AD32" s="38">
        <v>1161</v>
      </c>
      <c r="AE32" s="33">
        <v>45301</v>
      </c>
      <c r="AF32" s="33"/>
      <c r="AG32" s="33"/>
      <c r="AH32" s="33">
        <v>45332</v>
      </c>
      <c r="AI32" s="33"/>
      <c r="AJ32" s="42"/>
      <c r="AK32" s="37" t="s">
        <v>661</v>
      </c>
      <c r="AL32" s="37" t="s">
        <v>662</v>
      </c>
      <c r="AM32" s="37" t="s">
        <v>663</v>
      </c>
      <c r="AN32" s="37" t="s">
        <v>174</v>
      </c>
      <c r="AO32" s="43">
        <v>0</v>
      </c>
      <c r="AP32" s="35">
        <v>100</v>
      </c>
      <c r="AQ32" s="35" t="s">
        <v>164</v>
      </c>
      <c r="AR32" s="44">
        <v>10</v>
      </c>
      <c r="AS32" s="37" t="s">
        <v>176</v>
      </c>
    </row>
    <row r="33" spans="1:45" ht="105" x14ac:dyDescent="0.25">
      <c r="A33" s="46" t="s">
        <v>668</v>
      </c>
      <c r="B33" s="33">
        <v>45230</v>
      </c>
      <c r="C33" s="35">
        <v>1416</v>
      </c>
      <c r="D33" s="36" t="s">
        <v>669</v>
      </c>
      <c r="E33" s="1" t="s">
        <v>670</v>
      </c>
      <c r="F33" s="33">
        <v>45250</v>
      </c>
      <c r="G33" s="35" t="s">
        <v>671</v>
      </c>
      <c r="H33" s="37" t="s">
        <v>138</v>
      </c>
      <c r="I33" s="37" t="s">
        <v>660</v>
      </c>
      <c r="J33" s="38">
        <v>296857057.30000001</v>
      </c>
      <c r="K33" s="40">
        <v>0</v>
      </c>
      <c r="L33" s="41">
        <v>0</v>
      </c>
      <c r="M33" s="38">
        <v>296857057.30000001</v>
      </c>
      <c r="N33" s="41">
        <v>0</v>
      </c>
      <c r="O33" s="38">
        <v>296857057.30000001</v>
      </c>
      <c r="P33" s="27">
        <v>296857057.30000001</v>
      </c>
      <c r="Q33" s="27">
        <v>296857057.30000001</v>
      </c>
      <c r="R33" s="27">
        <v>25791.23</v>
      </c>
      <c r="S33" s="38">
        <v>25791.23</v>
      </c>
      <c r="T33" s="38">
        <v>257912.3</v>
      </c>
      <c r="U33" s="38">
        <v>11510</v>
      </c>
      <c r="V33" s="38">
        <v>11510</v>
      </c>
      <c r="W33" s="38">
        <v>0</v>
      </c>
      <c r="X33" s="38">
        <v>0</v>
      </c>
      <c r="Y33" s="38">
        <v>0</v>
      </c>
      <c r="Z33" s="38">
        <v>0</v>
      </c>
      <c r="AA33" s="38">
        <v>11510</v>
      </c>
      <c r="AB33" s="38">
        <v>296857057.30000001</v>
      </c>
      <c r="AC33" s="38">
        <v>1151</v>
      </c>
      <c r="AD33" s="38">
        <v>1151</v>
      </c>
      <c r="AE33" s="33">
        <v>45301</v>
      </c>
      <c r="AF33" s="33"/>
      <c r="AG33" s="33"/>
      <c r="AH33" s="33">
        <v>45332</v>
      </c>
      <c r="AI33" s="33"/>
      <c r="AJ33" s="42"/>
      <c r="AK33" s="37" t="s">
        <v>661</v>
      </c>
      <c r="AL33" s="37" t="s">
        <v>662</v>
      </c>
      <c r="AM33" s="37" t="s">
        <v>663</v>
      </c>
      <c r="AN33" s="37" t="s">
        <v>174</v>
      </c>
      <c r="AO33" s="43">
        <v>0</v>
      </c>
      <c r="AP33" s="35">
        <v>100</v>
      </c>
      <c r="AQ33" s="35" t="s">
        <v>164</v>
      </c>
      <c r="AR33" s="44">
        <v>10</v>
      </c>
      <c r="AS33" s="37" t="s">
        <v>176</v>
      </c>
    </row>
    <row r="34" spans="1:45" ht="105" x14ac:dyDescent="0.25">
      <c r="A34" s="46" t="s">
        <v>672</v>
      </c>
      <c r="B34" s="33">
        <v>45230</v>
      </c>
      <c r="C34" s="35">
        <v>1416</v>
      </c>
      <c r="D34" s="36" t="s">
        <v>673</v>
      </c>
      <c r="E34" s="1" t="s">
        <v>674</v>
      </c>
      <c r="F34" s="33">
        <v>45250</v>
      </c>
      <c r="G34" s="35" t="s">
        <v>675</v>
      </c>
      <c r="H34" s="37" t="s">
        <v>138</v>
      </c>
      <c r="I34" s="37" t="s">
        <v>660</v>
      </c>
      <c r="J34" s="38">
        <v>296341232.69999999</v>
      </c>
      <c r="K34" s="40">
        <v>0</v>
      </c>
      <c r="L34" s="41">
        <v>0</v>
      </c>
      <c r="M34" s="38">
        <v>296341232.69999999</v>
      </c>
      <c r="N34" s="41">
        <v>0</v>
      </c>
      <c r="O34" s="38">
        <v>296341232.69999999</v>
      </c>
      <c r="P34" s="27">
        <v>296341232.69999999</v>
      </c>
      <c r="Q34" s="27">
        <v>296341232.69999999</v>
      </c>
      <c r="R34" s="27">
        <v>25791.23</v>
      </c>
      <c r="S34" s="38">
        <v>25791.23</v>
      </c>
      <c r="T34" s="38">
        <v>257912.3</v>
      </c>
      <c r="U34" s="38">
        <v>11490</v>
      </c>
      <c r="V34" s="38">
        <v>11490</v>
      </c>
      <c r="W34" s="38">
        <v>0</v>
      </c>
      <c r="X34" s="38">
        <v>0</v>
      </c>
      <c r="Y34" s="38">
        <v>0</v>
      </c>
      <c r="Z34" s="38">
        <v>0</v>
      </c>
      <c r="AA34" s="38">
        <v>11490</v>
      </c>
      <c r="AB34" s="38">
        <v>296341232.69999999</v>
      </c>
      <c r="AC34" s="38">
        <v>1149</v>
      </c>
      <c r="AD34" s="38">
        <v>1149</v>
      </c>
      <c r="AE34" s="33">
        <v>45301</v>
      </c>
      <c r="AF34" s="33"/>
      <c r="AG34" s="33"/>
      <c r="AH34" s="33">
        <v>45332</v>
      </c>
      <c r="AI34" s="33"/>
      <c r="AJ34" s="42"/>
      <c r="AK34" s="37" t="s">
        <v>661</v>
      </c>
      <c r="AL34" s="37" t="s">
        <v>662</v>
      </c>
      <c r="AM34" s="37" t="s">
        <v>663</v>
      </c>
      <c r="AN34" s="37" t="s">
        <v>174</v>
      </c>
      <c r="AO34" s="43">
        <v>0</v>
      </c>
      <c r="AP34" s="35">
        <v>100</v>
      </c>
      <c r="AQ34" s="35" t="s">
        <v>164</v>
      </c>
      <c r="AR34" s="44">
        <v>10</v>
      </c>
      <c r="AS34" s="37" t="s">
        <v>176</v>
      </c>
    </row>
    <row r="35" spans="1:45" ht="105" x14ac:dyDescent="0.25">
      <c r="A35" s="46" t="s">
        <v>676</v>
      </c>
      <c r="B35" s="33">
        <v>45230</v>
      </c>
      <c r="C35" s="35">
        <v>1416</v>
      </c>
      <c r="D35" s="36" t="s">
        <v>677</v>
      </c>
      <c r="E35" s="1" t="s">
        <v>678</v>
      </c>
      <c r="F35" s="33">
        <v>45250</v>
      </c>
      <c r="G35" s="35" t="s">
        <v>679</v>
      </c>
      <c r="H35" s="37" t="s">
        <v>138</v>
      </c>
      <c r="I35" s="37" t="s">
        <v>660</v>
      </c>
      <c r="J35" s="38">
        <v>291698811.30000001</v>
      </c>
      <c r="K35" s="40">
        <v>0</v>
      </c>
      <c r="L35" s="41">
        <v>0</v>
      </c>
      <c r="M35" s="38">
        <v>291698811.30000001</v>
      </c>
      <c r="N35" s="41">
        <v>0</v>
      </c>
      <c r="O35" s="38">
        <v>291698811.30000001</v>
      </c>
      <c r="P35" s="27">
        <v>291698811.30000001</v>
      </c>
      <c r="Q35" s="27">
        <v>291698811.30000001</v>
      </c>
      <c r="R35" s="27">
        <v>25791.23</v>
      </c>
      <c r="S35" s="38">
        <v>25791.23</v>
      </c>
      <c r="T35" s="38">
        <v>257912.3</v>
      </c>
      <c r="U35" s="38">
        <v>11310</v>
      </c>
      <c r="V35" s="38">
        <v>11310</v>
      </c>
      <c r="W35" s="38">
        <v>0</v>
      </c>
      <c r="X35" s="38">
        <v>0</v>
      </c>
      <c r="Y35" s="38">
        <v>0</v>
      </c>
      <c r="Z35" s="38">
        <v>0</v>
      </c>
      <c r="AA35" s="38">
        <v>11310</v>
      </c>
      <c r="AB35" s="38">
        <v>291698811.30000001</v>
      </c>
      <c r="AC35" s="38">
        <v>1131</v>
      </c>
      <c r="AD35" s="38">
        <v>1131</v>
      </c>
      <c r="AE35" s="33">
        <v>45301</v>
      </c>
      <c r="AF35" s="33"/>
      <c r="AG35" s="33"/>
      <c r="AH35" s="33">
        <v>45332</v>
      </c>
      <c r="AI35" s="33"/>
      <c r="AJ35" s="42"/>
      <c r="AK35" s="37" t="s">
        <v>661</v>
      </c>
      <c r="AL35" s="37" t="s">
        <v>662</v>
      </c>
      <c r="AM35" s="37" t="s">
        <v>663</v>
      </c>
      <c r="AN35" s="37" t="s">
        <v>174</v>
      </c>
      <c r="AO35" s="43">
        <v>0</v>
      </c>
      <c r="AP35" s="35">
        <v>100</v>
      </c>
      <c r="AQ35" s="35" t="s">
        <v>164</v>
      </c>
      <c r="AR35" s="44">
        <v>10</v>
      </c>
      <c r="AS35" s="37" t="s">
        <v>680</v>
      </c>
    </row>
    <row r="36" spans="1:45" ht="105" x14ac:dyDescent="0.25">
      <c r="A36" s="46" t="s">
        <v>681</v>
      </c>
      <c r="B36" s="33">
        <v>45230</v>
      </c>
      <c r="C36" s="35">
        <v>1416</v>
      </c>
      <c r="D36" s="36" t="s">
        <v>682</v>
      </c>
      <c r="E36" s="1" t="s">
        <v>683</v>
      </c>
      <c r="F36" s="33">
        <v>45250</v>
      </c>
      <c r="G36" s="35" t="s">
        <v>684</v>
      </c>
      <c r="H36" s="37" t="s">
        <v>138</v>
      </c>
      <c r="I36" s="37" t="s">
        <v>660</v>
      </c>
      <c r="J36" s="38">
        <v>291440899</v>
      </c>
      <c r="K36" s="40">
        <v>0</v>
      </c>
      <c r="L36" s="41">
        <v>0</v>
      </c>
      <c r="M36" s="38">
        <v>291440899</v>
      </c>
      <c r="N36" s="41">
        <v>0</v>
      </c>
      <c r="O36" s="38">
        <v>291440899</v>
      </c>
      <c r="P36" s="27">
        <v>291440899</v>
      </c>
      <c r="Q36" s="27">
        <v>291440899</v>
      </c>
      <c r="R36" s="27">
        <v>25791.23</v>
      </c>
      <c r="S36" s="38">
        <v>25791.23</v>
      </c>
      <c r="T36" s="38">
        <v>257912.3</v>
      </c>
      <c r="U36" s="38">
        <v>11300</v>
      </c>
      <c r="V36" s="38">
        <v>11300</v>
      </c>
      <c r="W36" s="38">
        <v>0</v>
      </c>
      <c r="X36" s="38">
        <v>0</v>
      </c>
      <c r="Y36" s="38">
        <v>0</v>
      </c>
      <c r="Z36" s="38">
        <v>0</v>
      </c>
      <c r="AA36" s="38">
        <v>11300</v>
      </c>
      <c r="AB36" s="38">
        <v>291440899</v>
      </c>
      <c r="AC36" s="38">
        <v>1130</v>
      </c>
      <c r="AD36" s="38">
        <v>1130</v>
      </c>
      <c r="AE36" s="33">
        <v>45301</v>
      </c>
      <c r="AF36" s="33"/>
      <c r="AG36" s="33"/>
      <c r="AH36" s="33">
        <v>45332</v>
      </c>
      <c r="AI36" s="33"/>
      <c r="AJ36" s="42"/>
      <c r="AK36" s="37" t="s">
        <v>661</v>
      </c>
      <c r="AL36" s="37" t="s">
        <v>662</v>
      </c>
      <c r="AM36" s="37" t="s">
        <v>663</v>
      </c>
      <c r="AN36" s="37" t="s">
        <v>174</v>
      </c>
      <c r="AO36" s="43">
        <v>0</v>
      </c>
      <c r="AP36" s="35">
        <v>100</v>
      </c>
      <c r="AQ36" s="35" t="s">
        <v>164</v>
      </c>
      <c r="AR36" s="44">
        <v>10</v>
      </c>
      <c r="AS36" s="37" t="s">
        <v>680</v>
      </c>
    </row>
    <row r="37" spans="1:45" ht="105" x14ac:dyDescent="0.25">
      <c r="A37" s="46" t="s">
        <v>685</v>
      </c>
      <c r="B37" s="33">
        <v>45230</v>
      </c>
      <c r="C37" s="35">
        <v>1416</v>
      </c>
      <c r="D37" s="36" t="s">
        <v>686</v>
      </c>
      <c r="E37" s="1" t="s">
        <v>687</v>
      </c>
      <c r="F37" s="33">
        <v>45250</v>
      </c>
      <c r="G37" s="35" t="s">
        <v>688</v>
      </c>
      <c r="H37" s="37" t="s">
        <v>138</v>
      </c>
      <c r="I37" s="37" t="s">
        <v>660</v>
      </c>
      <c r="J37" s="38">
        <v>295051671.19999999</v>
      </c>
      <c r="K37" s="40">
        <v>0</v>
      </c>
      <c r="L37" s="41">
        <v>0</v>
      </c>
      <c r="M37" s="38">
        <v>295051671.19999999</v>
      </c>
      <c r="N37" s="41">
        <v>0</v>
      </c>
      <c r="O37" s="38">
        <v>295051671.19999999</v>
      </c>
      <c r="P37" s="27">
        <v>295051671.19999999</v>
      </c>
      <c r="Q37" s="27">
        <v>295051671.19999999</v>
      </c>
      <c r="R37" s="27">
        <v>25791.23</v>
      </c>
      <c r="S37" s="38">
        <v>25791.23</v>
      </c>
      <c r="T37" s="38">
        <v>257912.3</v>
      </c>
      <c r="U37" s="38">
        <v>11440</v>
      </c>
      <c r="V37" s="38">
        <v>11440</v>
      </c>
      <c r="W37" s="38">
        <v>0</v>
      </c>
      <c r="X37" s="38">
        <v>0</v>
      </c>
      <c r="Y37" s="38">
        <v>0</v>
      </c>
      <c r="Z37" s="38">
        <v>0</v>
      </c>
      <c r="AA37" s="38">
        <v>11440</v>
      </c>
      <c r="AB37" s="38">
        <v>295051671.19999999</v>
      </c>
      <c r="AC37" s="38">
        <v>1144</v>
      </c>
      <c r="AD37" s="38">
        <v>1144</v>
      </c>
      <c r="AE37" s="33">
        <v>45301</v>
      </c>
      <c r="AF37" s="33"/>
      <c r="AG37" s="33"/>
      <c r="AH37" s="33">
        <v>45332</v>
      </c>
      <c r="AI37" s="33"/>
      <c r="AJ37" s="42"/>
      <c r="AK37" s="37" t="s">
        <v>661</v>
      </c>
      <c r="AL37" s="37" t="s">
        <v>662</v>
      </c>
      <c r="AM37" s="37" t="s">
        <v>663</v>
      </c>
      <c r="AN37" s="37" t="s">
        <v>174</v>
      </c>
      <c r="AO37" s="43">
        <v>0</v>
      </c>
      <c r="AP37" s="35">
        <v>100</v>
      </c>
      <c r="AQ37" s="35" t="s">
        <v>164</v>
      </c>
      <c r="AR37" s="44">
        <v>10</v>
      </c>
      <c r="AS37" s="37" t="s">
        <v>680</v>
      </c>
    </row>
    <row r="38" spans="1:45" ht="105" x14ac:dyDescent="0.25">
      <c r="A38" s="46" t="s">
        <v>689</v>
      </c>
      <c r="B38" s="33">
        <v>45230</v>
      </c>
      <c r="C38" s="35">
        <v>1416</v>
      </c>
      <c r="D38" s="36" t="s">
        <v>690</v>
      </c>
      <c r="E38" s="1" t="s">
        <v>691</v>
      </c>
      <c r="F38" s="33">
        <v>45250</v>
      </c>
      <c r="G38" s="35" t="s">
        <v>692</v>
      </c>
      <c r="H38" s="37" t="s">
        <v>138</v>
      </c>
      <c r="I38" s="37" t="s">
        <v>660</v>
      </c>
      <c r="J38" s="38">
        <v>195755435.69999999</v>
      </c>
      <c r="K38" s="40">
        <v>0</v>
      </c>
      <c r="L38" s="41">
        <v>0</v>
      </c>
      <c r="M38" s="38">
        <v>195755435.69999999</v>
      </c>
      <c r="N38" s="41">
        <v>0</v>
      </c>
      <c r="O38" s="38">
        <v>195755435.69999999</v>
      </c>
      <c r="P38" s="27">
        <v>195755435.69999999</v>
      </c>
      <c r="Q38" s="27">
        <v>195755435.69999999</v>
      </c>
      <c r="R38" s="27">
        <v>25791.23</v>
      </c>
      <c r="S38" s="38">
        <v>25791.23</v>
      </c>
      <c r="T38" s="38">
        <v>257912.3</v>
      </c>
      <c r="U38" s="38">
        <v>7590</v>
      </c>
      <c r="V38" s="38">
        <v>7590</v>
      </c>
      <c r="W38" s="38">
        <v>0</v>
      </c>
      <c r="X38" s="38">
        <v>0</v>
      </c>
      <c r="Y38" s="38">
        <v>0</v>
      </c>
      <c r="Z38" s="38">
        <v>0</v>
      </c>
      <c r="AA38" s="38">
        <v>7590</v>
      </c>
      <c r="AB38" s="38">
        <v>195755435.69999999</v>
      </c>
      <c r="AC38" s="38">
        <v>759</v>
      </c>
      <c r="AD38" s="38">
        <v>759</v>
      </c>
      <c r="AE38" s="33">
        <v>45301</v>
      </c>
      <c r="AF38" s="33"/>
      <c r="AG38" s="33"/>
      <c r="AH38" s="33">
        <v>45332</v>
      </c>
      <c r="AI38" s="33"/>
      <c r="AJ38" s="42"/>
      <c r="AK38" s="37" t="s">
        <v>661</v>
      </c>
      <c r="AL38" s="37" t="s">
        <v>662</v>
      </c>
      <c r="AM38" s="37" t="s">
        <v>663</v>
      </c>
      <c r="AN38" s="37" t="s">
        <v>174</v>
      </c>
      <c r="AO38" s="43">
        <v>0</v>
      </c>
      <c r="AP38" s="35">
        <v>100</v>
      </c>
      <c r="AQ38" s="35" t="s">
        <v>164</v>
      </c>
      <c r="AR38" s="44">
        <v>10</v>
      </c>
      <c r="AS38" s="37" t="s">
        <v>680</v>
      </c>
    </row>
    <row r="39" spans="1:45" ht="105" x14ac:dyDescent="0.25">
      <c r="A39" s="46" t="s">
        <v>693</v>
      </c>
      <c r="B39" s="33">
        <v>45230</v>
      </c>
      <c r="C39" s="35">
        <v>1416</v>
      </c>
      <c r="D39" s="36" t="s">
        <v>694</v>
      </c>
      <c r="E39" s="1" t="s">
        <v>695</v>
      </c>
      <c r="F39" s="33">
        <v>45250</v>
      </c>
      <c r="G39" s="35" t="s">
        <v>696</v>
      </c>
      <c r="H39" s="37" t="s">
        <v>138</v>
      </c>
      <c r="I39" s="37" t="s">
        <v>660</v>
      </c>
      <c r="J39" s="38">
        <v>279576933.19999999</v>
      </c>
      <c r="K39" s="40">
        <v>0</v>
      </c>
      <c r="L39" s="41">
        <v>0</v>
      </c>
      <c r="M39" s="38">
        <v>279576933.19999999</v>
      </c>
      <c r="N39" s="41">
        <v>0</v>
      </c>
      <c r="O39" s="38">
        <v>279576933.19999999</v>
      </c>
      <c r="P39" s="27">
        <v>279576933.19999999</v>
      </c>
      <c r="Q39" s="27">
        <v>279576933.19999999</v>
      </c>
      <c r="R39" s="27">
        <v>25791.23</v>
      </c>
      <c r="S39" s="38">
        <v>25791.23</v>
      </c>
      <c r="T39" s="38">
        <v>257912.3</v>
      </c>
      <c r="U39" s="38">
        <v>10840</v>
      </c>
      <c r="V39" s="38">
        <v>10840</v>
      </c>
      <c r="W39" s="38">
        <v>0</v>
      </c>
      <c r="X39" s="38">
        <v>0</v>
      </c>
      <c r="Y39" s="38">
        <v>0</v>
      </c>
      <c r="Z39" s="38">
        <v>0</v>
      </c>
      <c r="AA39" s="38">
        <v>10840</v>
      </c>
      <c r="AB39" s="38">
        <v>279576933.19999999</v>
      </c>
      <c r="AC39" s="38">
        <v>1084</v>
      </c>
      <c r="AD39" s="38">
        <v>1084</v>
      </c>
      <c r="AE39" s="33">
        <v>45301</v>
      </c>
      <c r="AF39" s="33"/>
      <c r="AG39" s="33"/>
      <c r="AH39" s="33">
        <v>45332</v>
      </c>
      <c r="AI39" s="33"/>
      <c r="AJ39" s="42"/>
      <c r="AK39" s="37" t="s">
        <v>661</v>
      </c>
      <c r="AL39" s="37" t="s">
        <v>662</v>
      </c>
      <c r="AM39" s="37" t="s">
        <v>663</v>
      </c>
      <c r="AN39" s="37" t="s">
        <v>174</v>
      </c>
      <c r="AO39" s="43">
        <v>0</v>
      </c>
      <c r="AP39" s="35">
        <v>100</v>
      </c>
      <c r="AQ39" s="35" t="s">
        <v>164</v>
      </c>
      <c r="AR39" s="44">
        <v>10</v>
      </c>
      <c r="AS39" s="37" t="s">
        <v>680</v>
      </c>
    </row>
    <row r="40" spans="1:45" ht="105" x14ac:dyDescent="0.25">
      <c r="A40" s="46" t="s">
        <v>706</v>
      </c>
      <c r="B40" s="42">
        <v>45243</v>
      </c>
      <c r="C40" s="37">
        <v>1416</v>
      </c>
      <c r="D40" s="36" t="s">
        <v>707</v>
      </c>
      <c r="E40" s="1" t="s">
        <v>708</v>
      </c>
      <c r="F40" s="33">
        <v>45264</v>
      </c>
      <c r="G40" s="35" t="s">
        <v>709</v>
      </c>
      <c r="H40" s="37" t="s">
        <v>710</v>
      </c>
      <c r="I40" s="37" t="s">
        <v>711</v>
      </c>
      <c r="J40" s="39">
        <v>5403201.5</v>
      </c>
      <c r="K40" s="40">
        <v>13.501400974959019</v>
      </c>
      <c r="L40" s="41">
        <v>729507.90000000037</v>
      </c>
      <c r="M40" s="38">
        <v>4673693.5999999996</v>
      </c>
      <c r="N40" s="41">
        <v>729507.90000000037</v>
      </c>
      <c r="O40" s="38">
        <v>4673693.5999999996</v>
      </c>
      <c r="P40" s="27">
        <v>4673693.5999999996</v>
      </c>
      <c r="Q40" s="27">
        <v>4673693.5999999996</v>
      </c>
      <c r="R40" s="27">
        <v>557.71999999999991</v>
      </c>
      <c r="S40" s="38">
        <v>557.71999999999991</v>
      </c>
      <c r="T40" s="38">
        <v>11154.399999999998</v>
      </c>
      <c r="U40" s="38">
        <v>8380</v>
      </c>
      <c r="V40" s="38">
        <v>8380</v>
      </c>
      <c r="W40" s="38">
        <v>0</v>
      </c>
      <c r="X40" s="38">
        <v>0</v>
      </c>
      <c r="Y40" s="38">
        <v>0</v>
      </c>
      <c r="Z40" s="38">
        <v>0</v>
      </c>
      <c r="AA40" s="38">
        <v>8380</v>
      </c>
      <c r="AB40" s="38">
        <v>4673693.5999999996</v>
      </c>
      <c r="AC40" s="38">
        <v>419</v>
      </c>
      <c r="AD40" s="38">
        <v>419</v>
      </c>
      <c r="AE40" s="33">
        <v>45301</v>
      </c>
      <c r="AF40" s="33"/>
      <c r="AG40" s="33"/>
      <c r="AH40" s="33">
        <v>45332</v>
      </c>
      <c r="AI40" s="33"/>
      <c r="AJ40" s="42"/>
      <c r="AK40" s="37" t="s">
        <v>712</v>
      </c>
      <c r="AL40" s="37" t="s">
        <v>713</v>
      </c>
      <c r="AM40" s="37" t="s">
        <v>714</v>
      </c>
      <c r="AN40" s="37" t="s">
        <v>50</v>
      </c>
      <c r="AO40" s="43">
        <v>100</v>
      </c>
      <c r="AP40" s="35">
        <v>0</v>
      </c>
      <c r="AQ40" s="35" t="s">
        <v>164</v>
      </c>
      <c r="AR40" s="44">
        <v>20</v>
      </c>
      <c r="AS40" s="37" t="s">
        <v>176</v>
      </c>
    </row>
    <row r="41" spans="1:45" ht="189" x14ac:dyDescent="0.25">
      <c r="A41" s="46" t="s">
        <v>715</v>
      </c>
      <c r="B41" s="42">
        <v>45243</v>
      </c>
      <c r="C41" s="37">
        <v>1416</v>
      </c>
      <c r="D41" s="36" t="s">
        <v>716</v>
      </c>
      <c r="E41" s="1" t="s">
        <v>717</v>
      </c>
      <c r="F41" s="33">
        <v>45264</v>
      </c>
      <c r="G41" s="35" t="s">
        <v>718</v>
      </c>
      <c r="H41" s="37" t="s">
        <v>719</v>
      </c>
      <c r="I41" s="37" t="s">
        <v>720</v>
      </c>
      <c r="J41" s="39">
        <v>4459520</v>
      </c>
      <c r="K41" s="40">
        <v>0</v>
      </c>
      <c r="L41" s="41">
        <v>0</v>
      </c>
      <c r="M41" s="38">
        <v>4459520</v>
      </c>
      <c r="N41" s="41">
        <v>0</v>
      </c>
      <c r="O41" s="38">
        <v>4459520</v>
      </c>
      <c r="P41" s="27">
        <v>4459520</v>
      </c>
      <c r="Q41" s="27">
        <v>4459520</v>
      </c>
      <c r="R41" s="27">
        <v>10.72</v>
      </c>
      <c r="S41" s="38">
        <v>10.72</v>
      </c>
      <c r="T41" s="38" t="e">
        <v>#VALUE!</v>
      </c>
      <c r="U41" s="38">
        <v>416000</v>
      </c>
      <c r="V41" s="38">
        <v>416000</v>
      </c>
      <c r="W41" s="38">
        <v>0</v>
      </c>
      <c r="X41" s="38">
        <v>0</v>
      </c>
      <c r="Y41" s="38">
        <v>0</v>
      </c>
      <c r="Z41" s="38">
        <v>0</v>
      </c>
      <c r="AA41" s="38">
        <v>416000</v>
      </c>
      <c r="AB41" s="38">
        <v>4459520</v>
      </c>
      <c r="AC41" s="38" t="e">
        <v>#VALUE!</v>
      </c>
      <c r="AD41" s="38" t="e">
        <v>#VALUE!</v>
      </c>
      <c r="AE41" s="33">
        <v>45301</v>
      </c>
      <c r="AF41" s="33"/>
      <c r="AG41" s="33"/>
      <c r="AH41" s="33">
        <v>45332</v>
      </c>
      <c r="AI41" s="33"/>
      <c r="AJ41" s="42"/>
      <c r="AK41" s="37" t="s">
        <v>721</v>
      </c>
      <c r="AL41" s="37" t="s">
        <v>722</v>
      </c>
      <c r="AM41" s="37" t="s">
        <v>723</v>
      </c>
      <c r="AN41" s="37" t="s">
        <v>724</v>
      </c>
      <c r="AO41" s="43">
        <v>0</v>
      </c>
      <c r="AP41" s="35">
        <v>100</v>
      </c>
      <c r="AQ41" s="35" t="s">
        <v>175</v>
      </c>
      <c r="AR41" s="48" t="s">
        <v>725</v>
      </c>
      <c r="AS41" s="37" t="s">
        <v>176</v>
      </c>
    </row>
    <row r="42" spans="1:45" ht="236.25" x14ac:dyDescent="0.25">
      <c r="A42" s="46" t="s">
        <v>726</v>
      </c>
      <c r="B42" s="42">
        <v>45243</v>
      </c>
      <c r="C42" s="37">
        <v>1416</v>
      </c>
      <c r="D42" s="36" t="s">
        <v>727</v>
      </c>
      <c r="E42" s="1" t="s">
        <v>728</v>
      </c>
      <c r="F42" s="33">
        <v>45264</v>
      </c>
      <c r="G42" s="35" t="s">
        <v>729</v>
      </c>
      <c r="H42" s="37" t="s">
        <v>719</v>
      </c>
      <c r="I42" s="37" t="s">
        <v>730</v>
      </c>
      <c r="J42" s="39">
        <v>3530112</v>
      </c>
      <c r="K42" s="40">
        <v>0</v>
      </c>
      <c r="L42" s="41">
        <v>0</v>
      </c>
      <c r="M42" s="38">
        <v>3530112</v>
      </c>
      <c r="N42" s="41">
        <v>0</v>
      </c>
      <c r="O42" s="38">
        <v>3530112</v>
      </c>
      <c r="P42" s="27">
        <v>3530112</v>
      </c>
      <c r="Q42" s="27">
        <v>3530112</v>
      </c>
      <c r="R42" s="27">
        <v>12.68</v>
      </c>
      <c r="S42" s="38">
        <v>12.68</v>
      </c>
      <c r="T42" s="38">
        <v>15216</v>
      </c>
      <c r="U42" s="38">
        <v>278400</v>
      </c>
      <c r="V42" s="38">
        <v>278400</v>
      </c>
      <c r="W42" s="38">
        <v>0</v>
      </c>
      <c r="X42" s="38">
        <v>0</v>
      </c>
      <c r="Y42" s="38">
        <v>0</v>
      </c>
      <c r="Z42" s="38">
        <v>0</v>
      </c>
      <c r="AA42" s="38">
        <v>278400</v>
      </c>
      <c r="AB42" s="38">
        <v>3530112</v>
      </c>
      <c r="AC42" s="38">
        <v>232</v>
      </c>
      <c r="AD42" s="38">
        <v>232</v>
      </c>
      <c r="AE42" s="33">
        <v>45301</v>
      </c>
      <c r="AF42" s="33"/>
      <c r="AG42" s="33"/>
      <c r="AH42" s="33">
        <v>45332</v>
      </c>
      <c r="AI42" s="33"/>
      <c r="AJ42" s="42"/>
      <c r="AK42" s="37" t="s">
        <v>731</v>
      </c>
      <c r="AL42" s="37" t="s">
        <v>732</v>
      </c>
      <c r="AM42" s="37" t="s">
        <v>733</v>
      </c>
      <c r="AN42" s="37" t="s">
        <v>174</v>
      </c>
      <c r="AO42" s="43">
        <v>0</v>
      </c>
      <c r="AP42" s="35">
        <v>100</v>
      </c>
      <c r="AQ42" s="35" t="s">
        <v>175</v>
      </c>
      <c r="AR42" s="44">
        <v>1200</v>
      </c>
      <c r="AS42" s="37" t="s">
        <v>176</v>
      </c>
    </row>
    <row r="43" spans="1:45" ht="189" x14ac:dyDescent="0.25">
      <c r="A43" s="46" t="s">
        <v>734</v>
      </c>
      <c r="B43" s="42">
        <v>45243</v>
      </c>
      <c r="C43" s="37">
        <v>1416</v>
      </c>
      <c r="D43" s="36" t="s">
        <v>735</v>
      </c>
      <c r="E43" s="1" t="s">
        <v>736</v>
      </c>
      <c r="F43" s="33">
        <v>45264</v>
      </c>
      <c r="G43" s="35" t="s">
        <v>737</v>
      </c>
      <c r="H43" s="37" t="s">
        <v>719</v>
      </c>
      <c r="I43" s="37" t="s">
        <v>738</v>
      </c>
      <c r="J43" s="39">
        <v>20764800</v>
      </c>
      <c r="K43" s="40">
        <v>0</v>
      </c>
      <c r="L43" s="41">
        <v>0</v>
      </c>
      <c r="M43" s="38">
        <v>20764800</v>
      </c>
      <c r="N43" s="41">
        <v>0</v>
      </c>
      <c r="O43" s="38">
        <v>20764800</v>
      </c>
      <c r="P43" s="27">
        <v>20764800</v>
      </c>
      <c r="Q43" s="27">
        <v>20764800</v>
      </c>
      <c r="R43" s="27">
        <v>12.36</v>
      </c>
      <c r="S43" s="38">
        <v>12.36</v>
      </c>
      <c r="T43" s="38">
        <v>6180</v>
      </c>
      <c r="U43" s="38">
        <v>1680000</v>
      </c>
      <c r="V43" s="38">
        <v>1680000</v>
      </c>
      <c r="W43" s="38">
        <v>0</v>
      </c>
      <c r="X43" s="38">
        <v>0</v>
      </c>
      <c r="Y43" s="38">
        <v>0</v>
      </c>
      <c r="Z43" s="38">
        <v>0</v>
      </c>
      <c r="AA43" s="38">
        <v>1680000</v>
      </c>
      <c r="AB43" s="38">
        <v>20764800</v>
      </c>
      <c r="AC43" s="38">
        <v>3360</v>
      </c>
      <c r="AD43" s="38">
        <v>3360</v>
      </c>
      <c r="AE43" s="33">
        <v>45301</v>
      </c>
      <c r="AF43" s="33"/>
      <c r="AG43" s="33"/>
      <c r="AH43" s="33">
        <v>45332</v>
      </c>
      <c r="AI43" s="33"/>
      <c r="AJ43" s="42"/>
      <c r="AK43" s="37" t="s">
        <v>171</v>
      </c>
      <c r="AL43" s="37" t="s">
        <v>739</v>
      </c>
      <c r="AM43" s="37" t="s">
        <v>173</v>
      </c>
      <c r="AN43" s="37" t="s">
        <v>224</v>
      </c>
      <c r="AO43" s="43">
        <v>0</v>
      </c>
      <c r="AP43" s="35">
        <v>100</v>
      </c>
      <c r="AQ43" s="35" t="s">
        <v>175</v>
      </c>
      <c r="AR43" s="44">
        <v>500</v>
      </c>
      <c r="AS43" s="37" t="s">
        <v>176</v>
      </c>
    </row>
    <row r="44" spans="1:45" ht="189" x14ac:dyDescent="0.25">
      <c r="A44" s="46" t="s">
        <v>740</v>
      </c>
      <c r="B44" s="42">
        <v>45243</v>
      </c>
      <c r="C44" s="37">
        <v>1416</v>
      </c>
      <c r="D44" s="36" t="s">
        <v>741</v>
      </c>
      <c r="E44" s="1" t="s">
        <v>742</v>
      </c>
      <c r="F44" s="33">
        <v>45264</v>
      </c>
      <c r="G44" s="35" t="s">
        <v>743</v>
      </c>
      <c r="H44" s="37" t="s">
        <v>719</v>
      </c>
      <c r="I44" s="37" t="s">
        <v>744</v>
      </c>
      <c r="J44" s="39">
        <v>5343840</v>
      </c>
      <c r="K44" s="40">
        <v>0</v>
      </c>
      <c r="L44" s="41">
        <v>0</v>
      </c>
      <c r="M44" s="38">
        <v>5343840</v>
      </c>
      <c r="N44" s="41">
        <v>0</v>
      </c>
      <c r="O44" s="38">
        <v>5343840</v>
      </c>
      <c r="P44" s="27">
        <v>5343840</v>
      </c>
      <c r="Q44" s="27">
        <v>5343840</v>
      </c>
      <c r="R44" s="27">
        <v>12.37</v>
      </c>
      <c r="S44" s="38">
        <v>12.37</v>
      </c>
      <c r="T44" s="38">
        <v>37110</v>
      </c>
      <c r="U44" s="38">
        <v>432000</v>
      </c>
      <c r="V44" s="38">
        <v>432000</v>
      </c>
      <c r="W44" s="38">
        <v>0</v>
      </c>
      <c r="X44" s="38">
        <v>0</v>
      </c>
      <c r="Y44" s="38">
        <v>0</v>
      </c>
      <c r="Z44" s="38">
        <v>0</v>
      </c>
      <c r="AA44" s="38">
        <v>432000</v>
      </c>
      <c r="AB44" s="38">
        <v>5343840</v>
      </c>
      <c r="AC44" s="38">
        <v>144</v>
      </c>
      <c r="AD44" s="38">
        <v>144</v>
      </c>
      <c r="AE44" s="33">
        <v>45301</v>
      </c>
      <c r="AF44" s="33"/>
      <c r="AG44" s="33"/>
      <c r="AH44" s="33">
        <v>45332</v>
      </c>
      <c r="AI44" s="33"/>
      <c r="AJ44" s="42"/>
      <c r="AK44" s="37" t="s">
        <v>171</v>
      </c>
      <c r="AL44" s="37" t="s">
        <v>745</v>
      </c>
      <c r="AM44" s="37" t="s">
        <v>173</v>
      </c>
      <c r="AN44" s="37" t="s">
        <v>224</v>
      </c>
      <c r="AO44" s="43">
        <v>0</v>
      </c>
      <c r="AP44" s="35">
        <v>100</v>
      </c>
      <c r="AQ44" s="35" t="s">
        <v>175</v>
      </c>
      <c r="AR44" s="44">
        <v>3000</v>
      </c>
      <c r="AS44" s="37" t="s">
        <v>176</v>
      </c>
    </row>
    <row r="45" spans="1:45" ht="189" x14ac:dyDescent="0.25">
      <c r="A45" s="46" t="s">
        <v>746</v>
      </c>
      <c r="B45" s="42">
        <v>45245</v>
      </c>
      <c r="C45" s="37">
        <v>1416</v>
      </c>
      <c r="D45" s="36" t="s">
        <v>747</v>
      </c>
      <c r="E45" s="1" t="s">
        <v>748</v>
      </c>
      <c r="F45" s="33">
        <v>45265</v>
      </c>
      <c r="G45" s="35" t="s">
        <v>749</v>
      </c>
      <c r="H45" s="37" t="s">
        <v>719</v>
      </c>
      <c r="I45" s="37" t="s">
        <v>750</v>
      </c>
      <c r="J45" s="39">
        <v>54898060</v>
      </c>
      <c r="K45" s="40">
        <v>0</v>
      </c>
      <c r="L45" s="41">
        <v>0</v>
      </c>
      <c r="M45" s="38">
        <v>54898060</v>
      </c>
      <c r="N45" s="41">
        <v>0</v>
      </c>
      <c r="O45" s="38">
        <v>54898060</v>
      </c>
      <c r="P45" s="27">
        <v>54898060</v>
      </c>
      <c r="Q45" s="27">
        <v>54898060</v>
      </c>
      <c r="R45" s="27">
        <v>12.37</v>
      </c>
      <c r="S45" s="38">
        <v>12.37</v>
      </c>
      <c r="T45" s="38">
        <v>12370</v>
      </c>
      <c r="U45" s="38">
        <v>4438000</v>
      </c>
      <c r="V45" s="38">
        <v>4438000</v>
      </c>
      <c r="W45" s="38">
        <v>0</v>
      </c>
      <c r="X45" s="38">
        <v>0</v>
      </c>
      <c r="Y45" s="38">
        <v>0</v>
      </c>
      <c r="Z45" s="38">
        <v>0</v>
      </c>
      <c r="AA45" s="38">
        <v>4438000</v>
      </c>
      <c r="AB45" s="38">
        <v>54898060</v>
      </c>
      <c r="AC45" s="38">
        <v>4438</v>
      </c>
      <c r="AD45" s="38">
        <v>4438</v>
      </c>
      <c r="AE45" s="33">
        <v>45301</v>
      </c>
      <c r="AF45" s="33"/>
      <c r="AG45" s="33"/>
      <c r="AH45" s="33">
        <v>45332</v>
      </c>
      <c r="AI45" s="33"/>
      <c r="AJ45" s="42"/>
      <c r="AK45" s="37" t="s">
        <v>171</v>
      </c>
      <c r="AL45" s="37" t="s">
        <v>188</v>
      </c>
      <c r="AM45" s="37" t="s">
        <v>173</v>
      </c>
      <c r="AN45" s="37" t="s">
        <v>751</v>
      </c>
      <c r="AO45" s="43">
        <v>0</v>
      </c>
      <c r="AP45" s="35">
        <v>100</v>
      </c>
      <c r="AQ45" s="35" t="s">
        <v>175</v>
      </c>
      <c r="AR45" s="44">
        <v>1000</v>
      </c>
      <c r="AS45" s="37" t="s">
        <v>176</v>
      </c>
    </row>
    <row r="46" spans="1:45" ht="69" customHeight="1" x14ac:dyDescent="0.25">
      <c r="A46" s="46" t="s">
        <v>752</v>
      </c>
      <c r="B46" s="42">
        <v>45246</v>
      </c>
      <c r="C46" s="37">
        <v>1416</v>
      </c>
      <c r="D46" s="36" t="s">
        <v>753</v>
      </c>
      <c r="E46" s="1" t="s">
        <v>754</v>
      </c>
      <c r="F46" s="33">
        <v>45265</v>
      </c>
      <c r="G46" s="35" t="s">
        <v>755</v>
      </c>
      <c r="H46" s="37" t="s">
        <v>719</v>
      </c>
      <c r="I46" s="37" t="s">
        <v>756</v>
      </c>
      <c r="J46" s="39">
        <v>2674640</v>
      </c>
      <c r="K46" s="40">
        <v>0</v>
      </c>
      <c r="L46" s="41">
        <v>0</v>
      </c>
      <c r="M46" s="38">
        <v>2674640</v>
      </c>
      <c r="N46" s="41">
        <v>0</v>
      </c>
      <c r="O46" s="38">
        <v>2674640</v>
      </c>
      <c r="P46" s="27">
        <v>2674640</v>
      </c>
      <c r="Q46" s="27">
        <v>2674640</v>
      </c>
      <c r="R46" s="27">
        <v>10.72</v>
      </c>
      <c r="S46" s="38">
        <v>10.72</v>
      </c>
      <c r="T46" s="38">
        <v>5360</v>
      </c>
      <c r="U46" s="38">
        <v>249500</v>
      </c>
      <c r="V46" s="38">
        <v>249500</v>
      </c>
      <c r="W46" s="38">
        <v>0</v>
      </c>
      <c r="X46" s="38">
        <v>0</v>
      </c>
      <c r="Y46" s="38">
        <v>0</v>
      </c>
      <c r="Z46" s="38">
        <v>0</v>
      </c>
      <c r="AA46" s="38">
        <v>249500</v>
      </c>
      <c r="AB46" s="38">
        <v>2674640</v>
      </c>
      <c r="AC46" s="38">
        <v>499</v>
      </c>
      <c r="AD46" s="38">
        <v>499</v>
      </c>
      <c r="AE46" s="33">
        <v>45301</v>
      </c>
      <c r="AF46" s="33"/>
      <c r="AG46" s="33"/>
      <c r="AH46" s="33">
        <v>45332</v>
      </c>
      <c r="AI46" s="33"/>
      <c r="AJ46" s="42"/>
      <c r="AK46" s="37" t="s">
        <v>757</v>
      </c>
      <c r="AL46" s="37" t="s">
        <v>758</v>
      </c>
      <c r="AM46" s="37" t="s">
        <v>759</v>
      </c>
      <c r="AN46" s="37" t="s">
        <v>724</v>
      </c>
      <c r="AO46" s="43">
        <v>0</v>
      </c>
      <c r="AP46" s="35">
        <v>100</v>
      </c>
      <c r="AQ46" s="35" t="s">
        <v>175</v>
      </c>
      <c r="AR46" s="44">
        <v>500</v>
      </c>
      <c r="AS46" s="37" t="s">
        <v>176</v>
      </c>
    </row>
    <row r="47" spans="1:45" ht="69" customHeight="1" x14ac:dyDescent="0.25">
      <c r="A47" s="46" t="s">
        <v>760</v>
      </c>
      <c r="B47" s="42">
        <v>45246</v>
      </c>
      <c r="C47" s="37">
        <v>1416</v>
      </c>
      <c r="D47" s="36" t="s">
        <v>761</v>
      </c>
      <c r="E47" s="1" t="s">
        <v>762</v>
      </c>
      <c r="F47" s="33">
        <v>45265</v>
      </c>
      <c r="G47" s="35" t="s">
        <v>763</v>
      </c>
      <c r="H47" s="37" t="s">
        <v>719</v>
      </c>
      <c r="I47" s="37" t="s">
        <v>764</v>
      </c>
      <c r="J47" s="39">
        <v>10963680</v>
      </c>
      <c r="K47" s="40">
        <v>0</v>
      </c>
      <c r="L47" s="41">
        <v>0</v>
      </c>
      <c r="M47" s="38">
        <v>10963680</v>
      </c>
      <c r="N47" s="41">
        <v>0</v>
      </c>
      <c r="O47" s="38">
        <v>10963680</v>
      </c>
      <c r="P47" s="27">
        <v>10963680</v>
      </c>
      <c r="Q47" s="27">
        <v>10963680</v>
      </c>
      <c r="R47" s="27">
        <v>7.28</v>
      </c>
      <c r="S47" s="38">
        <v>7.28</v>
      </c>
      <c r="T47" s="38">
        <v>7280</v>
      </c>
      <c r="U47" s="38">
        <v>1506000</v>
      </c>
      <c r="V47" s="38">
        <v>1506000</v>
      </c>
      <c r="W47" s="38">
        <v>0</v>
      </c>
      <c r="X47" s="38">
        <v>0</v>
      </c>
      <c r="Y47" s="38">
        <v>0</v>
      </c>
      <c r="Z47" s="38">
        <v>0</v>
      </c>
      <c r="AA47" s="38">
        <v>1506000</v>
      </c>
      <c r="AB47" s="38">
        <v>10963680</v>
      </c>
      <c r="AC47" s="38">
        <v>1506</v>
      </c>
      <c r="AD47" s="38">
        <v>1506</v>
      </c>
      <c r="AE47" s="33">
        <v>45301</v>
      </c>
      <c r="AF47" s="33"/>
      <c r="AG47" s="33"/>
      <c r="AH47" s="33">
        <v>45332</v>
      </c>
      <c r="AI47" s="33"/>
      <c r="AJ47" s="42"/>
      <c r="AK47" s="37" t="s">
        <v>765</v>
      </c>
      <c r="AL47" s="37" t="s">
        <v>766</v>
      </c>
      <c r="AM47" s="37" t="s">
        <v>767</v>
      </c>
      <c r="AN47" s="37" t="s">
        <v>768</v>
      </c>
      <c r="AO47" s="43">
        <v>0</v>
      </c>
      <c r="AP47" s="35">
        <v>100</v>
      </c>
      <c r="AQ47" s="35" t="s">
        <v>175</v>
      </c>
      <c r="AR47" s="44">
        <v>1000</v>
      </c>
      <c r="AS47" s="37" t="s">
        <v>176</v>
      </c>
    </row>
    <row r="48" spans="1:45" ht="69" customHeight="1" x14ac:dyDescent="0.25">
      <c r="A48" s="46" t="s">
        <v>769</v>
      </c>
      <c r="B48" s="42">
        <v>45246</v>
      </c>
      <c r="C48" s="37">
        <v>1416</v>
      </c>
      <c r="D48" s="36" t="s">
        <v>770</v>
      </c>
      <c r="E48" s="1" t="s">
        <v>771</v>
      </c>
      <c r="F48" s="33">
        <v>45265</v>
      </c>
      <c r="G48" s="35" t="s">
        <v>772</v>
      </c>
      <c r="H48" s="37" t="s">
        <v>710</v>
      </c>
      <c r="I48" s="37" t="s">
        <v>773</v>
      </c>
      <c r="J48" s="39">
        <v>20917831.34</v>
      </c>
      <c r="K48" s="40">
        <v>10.000010546026324</v>
      </c>
      <c r="L48" s="41">
        <v>2091785.3399999999</v>
      </c>
      <c r="M48" s="38">
        <v>18826046</v>
      </c>
      <c r="N48" s="41">
        <v>2092072.3399999999</v>
      </c>
      <c r="O48" s="38">
        <v>18825759</v>
      </c>
      <c r="P48" s="27">
        <v>18825759</v>
      </c>
      <c r="Q48" s="27">
        <v>18825759</v>
      </c>
      <c r="R48" s="27">
        <v>581.94000000000005</v>
      </c>
      <c r="S48" s="38">
        <v>581.94000000000005</v>
      </c>
      <c r="T48" s="38">
        <v>29097.000000000004</v>
      </c>
      <c r="U48" s="38">
        <v>32350</v>
      </c>
      <c r="V48" s="38">
        <v>32350</v>
      </c>
      <c r="W48" s="38">
        <v>0</v>
      </c>
      <c r="X48" s="38">
        <v>0</v>
      </c>
      <c r="Y48" s="38">
        <v>0</v>
      </c>
      <c r="Z48" s="38">
        <v>0</v>
      </c>
      <c r="AA48" s="38">
        <v>32350</v>
      </c>
      <c r="AB48" s="38">
        <v>18825759</v>
      </c>
      <c r="AC48" s="38">
        <v>647</v>
      </c>
      <c r="AD48" s="38">
        <v>647</v>
      </c>
      <c r="AE48" s="33">
        <v>45301</v>
      </c>
      <c r="AF48" s="33"/>
      <c r="AG48" s="33"/>
      <c r="AH48" s="33">
        <v>45332</v>
      </c>
      <c r="AI48" s="33"/>
      <c r="AJ48" s="42"/>
      <c r="AK48" s="37" t="s">
        <v>712</v>
      </c>
      <c r="AL48" s="37" t="s">
        <v>774</v>
      </c>
      <c r="AM48" s="37" t="s">
        <v>714</v>
      </c>
      <c r="AN48" s="37" t="s">
        <v>50</v>
      </c>
      <c r="AO48" s="43">
        <v>100</v>
      </c>
      <c r="AP48" s="35">
        <v>0</v>
      </c>
      <c r="AQ48" s="35" t="s">
        <v>164</v>
      </c>
      <c r="AR48" s="44">
        <v>50</v>
      </c>
      <c r="AS48" s="37" t="s">
        <v>176</v>
      </c>
    </row>
    <row r="49" spans="1:45" ht="69" customHeight="1" x14ac:dyDescent="0.25">
      <c r="A49" s="46" t="s">
        <v>775</v>
      </c>
      <c r="B49" s="42">
        <v>45246</v>
      </c>
      <c r="C49" s="37">
        <v>1416</v>
      </c>
      <c r="D49" s="36" t="s">
        <v>776</v>
      </c>
      <c r="E49" s="1" t="s">
        <v>777</v>
      </c>
      <c r="F49" s="33">
        <v>45273</v>
      </c>
      <c r="G49" s="35" t="s">
        <v>778</v>
      </c>
      <c r="H49" s="37" t="s">
        <v>719</v>
      </c>
      <c r="I49" s="37" t="s">
        <v>779</v>
      </c>
      <c r="J49" s="39">
        <v>20509500</v>
      </c>
      <c r="K49" s="40">
        <v>0</v>
      </c>
      <c r="L49" s="41">
        <v>0</v>
      </c>
      <c r="M49" s="38">
        <v>20509500</v>
      </c>
      <c r="N49" s="41">
        <v>0</v>
      </c>
      <c r="O49" s="38">
        <v>20509500</v>
      </c>
      <c r="P49" s="27">
        <v>20509500</v>
      </c>
      <c r="Q49" s="27">
        <v>20509500</v>
      </c>
      <c r="R49" s="27">
        <v>7.26</v>
      </c>
      <c r="S49" s="38">
        <v>7.26</v>
      </c>
      <c r="T49" s="38">
        <v>3630</v>
      </c>
      <c r="U49" s="38">
        <v>2825000</v>
      </c>
      <c r="V49" s="38">
        <v>2825000</v>
      </c>
      <c r="W49" s="38">
        <v>0</v>
      </c>
      <c r="X49" s="38">
        <v>0</v>
      </c>
      <c r="Y49" s="38">
        <v>0</v>
      </c>
      <c r="Z49" s="38">
        <v>0</v>
      </c>
      <c r="AA49" s="38">
        <v>2825000</v>
      </c>
      <c r="AB49" s="38">
        <v>20509500</v>
      </c>
      <c r="AC49" s="38">
        <v>5650</v>
      </c>
      <c r="AD49" s="38">
        <v>5650</v>
      </c>
      <c r="AE49" s="33">
        <v>45301</v>
      </c>
      <c r="AF49" s="33"/>
      <c r="AG49" s="33"/>
      <c r="AH49" s="33">
        <v>45332</v>
      </c>
      <c r="AI49" s="33"/>
      <c r="AJ49" s="42"/>
      <c r="AK49" s="37" t="s">
        <v>765</v>
      </c>
      <c r="AL49" s="37" t="s">
        <v>766</v>
      </c>
      <c r="AM49" s="37" t="s">
        <v>767</v>
      </c>
      <c r="AN49" s="37" t="s">
        <v>369</v>
      </c>
      <c r="AO49" s="43">
        <v>0</v>
      </c>
      <c r="AP49" s="35">
        <v>100</v>
      </c>
      <c r="AQ49" s="35" t="s">
        <v>175</v>
      </c>
      <c r="AR49" s="44">
        <v>500</v>
      </c>
      <c r="AS49" s="37" t="s">
        <v>176</v>
      </c>
    </row>
    <row r="50" spans="1:45" ht="69" customHeight="1" x14ac:dyDescent="0.25">
      <c r="A50" s="46" t="s">
        <v>780</v>
      </c>
      <c r="B50" s="42">
        <v>45252</v>
      </c>
      <c r="C50" s="37">
        <v>1416</v>
      </c>
      <c r="D50" s="36" t="s">
        <v>781</v>
      </c>
      <c r="E50" s="1" t="s">
        <v>782</v>
      </c>
      <c r="F50" s="33">
        <v>45272</v>
      </c>
      <c r="G50" s="35" t="s">
        <v>783</v>
      </c>
      <c r="H50" s="37" t="s">
        <v>784</v>
      </c>
      <c r="I50" s="37" t="s">
        <v>785</v>
      </c>
      <c r="J50" s="39">
        <v>120813651.86</v>
      </c>
      <c r="K50" s="40">
        <v>0</v>
      </c>
      <c r="L50" s="41">
        <v>0</v>
      </c>
      <c r="M50" s="38">
        <v>120813651.86</v>
      </c>
      <c r="N50" s="41">
        <v>0</v>
      </c>
      <c r="O50" s="38">
        <v>120813651.86</v>
      </c>
      <c r="P50" s="27">
        <v>120813651.86</v>
      </c>
      <c r="Q50" s="27">
        <v>120813651.86</v>
      </c>
      <c r="R50" s="27">
        <v>250650.73</v>
      </c>
      <c r="S50" s="38">
        <v>250650.73</v>
      </c>
      <c r="T50" s="38">
        <v>250650.73</v>
      </c>
      <c r="U50" s="38">
        <v>482</v>
      </c>
      <c r="V50" s="38">
        <v>482</v>
      </c>
      <c r="W50" s="38">
        <v>0</v>
      </c>
      <c r="X50" s="38">
        <v>0</v>
      </c>
      <c r="Y50" s="38">
        <v>0</v>
      </c>
      <c r="Z50" s="38">
        <v>0</v>
      </c>
      <c r="AA50" s="38">
        <v>482</v>
      </c>
      <c r="AB50" s="38">
        <v>120813651.86</v>
      </c>
      <c r="AC50" s="38">
        <v>482</v>
      </c>
      <c r="AD50" s="38">
        <v>482</v>
      </c>
      <c r="AE50" s="33">
        <v>45301</v>
      </c>
      <c r="AF50" s="33"/>
      <c r="AG50" s="33"/>
      <c r="AH50" s="33">
        <v>45332</v>
      </c>
      <c r="AI50" s="33"/>
      <c r="AJ50" s="42"/>
      <c r="AK50" s="37" t="s">
        <v>786</v>
      </c>
      <c r="AL50" s="37" t="s">
        <v>787</v>
      </c>
      <c r="AM50" s="37" t="s">
        <v>788</v>
      </c>
      <c r="AN50" s="37" t="s">
        <v>326</v>
      </c>
      <c r="AO50" s="43">
        <v>0</v>
      </c>
      <c r="AP50" s="35">
        <v>100</v>
      </c>
      <c r="AQ50" s="35" t="s">
        <v>164</v>
      </c>
      <c r="AR50" s="44">
        <v>1</v>
      </c>
      <c r="AS50" s="37" t="s">
        <v>176</v>
      </c>
    </row>
    <row r="51" spans="1:45" ht="69" customHeight="1" x14ac:dyDescent="0.25">
      <c r="A51" s="46" t="s">
        <v>789</v>
      </c>
      <c r="B51" s="42">
        <v>45252</v>
      </c>
      <c r="C51" s="37">
        <v>1416</v>
      </c>
      <c r="D51" s="36" t="s">
        <v>790</v>
      </c>
      <c r="E51" s="1" t="s">
        <v>791</v>
      </c>
      <c r="F51" s="33">
        <v>45272</v>
      </c>
      <c r="G51" s="35" t="s">
        <v>792</v>
      </c>
      <c r="H51" s="37" t="s">
        <v>364</v>
      </c>
      <c r="I51" s="37" t="s">
        <v>793</v>
      </c>
      <c r="J51" s="39">
        <v>112543483.09999999</v>
      </c>
      <c r="K51" s="40">
        <v>0</v>
      </c>
      <c r="L51" s="41">
        <v>0</v>
      </c>
      <c r="M51" s="38">
        <v>112543483.09999999</v>
      </c>
      <c r="N51" s="41">
        <v>0</v>
      </c>
      <c r="O51" s="38">
        <v>112543483.09999999</v>
      </c>
      <c r="P51" s="27">
        <v>112543483.09999999</v>
      </c>
      <c r="Q51" s="27">
        <v>112543483.09999999</v>
      </c>
      <c r="R51" s="27">
        <v>200397.93999287748</v>
      </c>
      <c r="S51" s="38">
        <v>200397.93999287748</v>
      </c>
      <c r="T51" s="38">
        <v>240477.52799145295</v>
      </c>
      <c r="U51" s="38">
        <v>561.6</v>
      </c>
      <c r="V51" s="38">
        <v>561.6</v>
      </c>
      <c r="W51" s="38">
        <v>0</v>
      </c>
      <c r="X51" s="38">
        <v>0</v>
      </c>
      <c r="Y51" s="38">
        <v>0</v>
      </c>
      <c r="Z51" s="38">
        <v>0</v>
      </c>
      <c r="AA51" s="38">
        <v>561.6</v>
      </c>
      <c r="AB51" s="38">
        <v>112543483.09999999</v>
      </c>
      <c r="AC51" s="38">
        <v>468.00000000000006</v>
      </c>
      <c r="AD51" s="38">
        <v>468</v>
      </c>
      <c r="AE51" s="33">
        <v>45323</v>
      </c>
      <c r="AF51" s="33"/>
      <c r="AG51" s="33"/>
      <c r="AH51" s="33">
        <v>45352</v>
      </c>
      <c r="AI51" s="33"/>
      <c r="AJ51" s="42"/>
      <c r="AK51" s="37" t="s">
        <v>794</v>
      </c>
      <c r="AL51" s="37" t="s">
        <v>795</v>
      </c>
      <c r="AM51" s="37" t="s">
        <v>796</v>
      </c>
      <c r="AN51" s="37" t="s">
        <v>174</v>
      </c>
      <c r="AO51" s="43">
        <v>0</v>
      </c>
      <c r="AP51" s="35">
        <v>100</v>
      </c>
      <c r="AQ51" s="35" t="s">
        <v>164</v>
      </c>
      <c r="AR51" s="49">
        <v>1.2</v>
      </c>
      <c r="AS51" s="37" t="s">
        <v>176</v>
      </c>
    </row>
    <row r="52" spans="1:45" ht="66" customHeight="1" x14ac:dyDescent="0.25">
      <c r="A52" s="46" t="s">
        <v>805</v>
      </c>
      <c r="B52" s="42">
        <v>45254</v>
      </c>
      <c r="C52" s="37">
        <v>1416</v>
      </c>
      <c r="D52" s="36" t="s">
        <v>806</v>
      </c>
      <c r="E52" s="1" t="s">
        <v>807</v>
      </c>
      <c r="F52" s="33">
        <v>45275</v>
      </c>
      <c r="G52" s="35" t="s">
        <v>808</v>
      </c>
      <c r="H52" s="37" t="s">
        <v>169</v>
      </c>
      <c r="I52" s="37" t="s">
        <v>809</v>
      </c>
      <c r="J52" s="39">
        <v>197227280</v>
      </c>
      <c r="K52" s="40">
        <v>0</v>
      </c>
      <c r="L52" s="41">
        <v>0</v>
      </c>
      <c r="M52" s="38">
        <v>197227280</v>
      </c>
      <c r="N52" s="41">
        <v>0</v>
      </c>
      <c r="O52" s="38">
        <v>197227280</v>
      </c>
      <c r="P52" s="27">
        <v>197227280</v>
      </c>
      <c r="Q52" s="27">
        <v>197227280</v>
      </c>
      <c r="R52" s="27">
        <v>12.37</v>
      </c>
      <c r="S52" s="38">
        <v>12.37</v>
      </c>
      <c r="T52" s="38">
        <v>24740</v>
      </c>
      <c r="U52" s="38">
        <v>15944000</v>
      </c>
      <c r="V52" s="38">
        <v>15944000</v>
      </c>
      <c r="W52" s="38">
        <v>0</v>
      </c>
      <c r="X52" s="38">
        <v>0</v>
      </c>
      <c r="Y52" s="38">
        <v>0</v>
      </c>
      <c r="Z52" s="38">
        <v>0</v>
      </c>
      <c r="AA52" s="38">
        <v>15944000</v>
      </c>
      <c r="AB52" s="38">
        <v>197227280</v>
      </c>
      <c r="AC52" s="38">
        <v>7972</v>
      </c>
      <c r="AD52" s="38">
        <v>7972</v>
      </c>
      <c r="AE52" s="33">
        <v>45323</v>
      </c>
      <c r="AF52" s="33"/>
      <c r="AG52" s="33"/>
      <c r="AH52" s="33">
        <v>44986</v>
      </c>
      <c r="AI52" s="33"/>
      <c r="AJ52" s="42"/>
      <c r="AK52" s="37" t="s">
        <v>810</v>
      </c>
      <c r="AL52" s="37" t="s">
        <v>811</v>
      </c>
      <c r="AM52" s="37" t="s">
        <v>812</v>
      </c>
      <c r="AN52" s="37" t="s">
        <v>813</v>
      </c>
      <c r="AO52" s="43">
        <v>0</v>
      </c>
      <c r="AP52" s="35">
        <v>100</v>
      </c>
      <c r="AQ52" s="35" t="s">
        <v>175</v>
      </c>
      <c r="AR52" s="44">
        <v>2000</v>
      </c>
      <c r="AS52" s="37" t="s">
        <v>176</v>
      </c>
    </row>
    <row r="53" spans="1:45" ht="66" customHeight="1" x14ac:dyDescent="0.25">
      <c r="A53" s="46" t="s">
        <v>814</v>
      </c>
      <c r="B53" s="42">
        <v>45254</v>
      </c>
      <c r="C53" s="37">
        <v>1416</v>
      </c>
      <c r="D53" s="36" t="s">
        <v>815</v>
      </c>
      <c r="E53" s="1" t="s">
        <v>816</v>
      </c>
      <c r="F53" s="33">
        <v>45282</v>
      </c>
      <c r="G53" s="35" t="s">
        <v>817</v>
      </c>
      <c r="H53" s="37" t="s">
        <v>784</v>
      </c>
      <c r="I53" s="37" t="s">
        <v>818</v>
      </c>
      <c r="J53" s="39">
        <v>968144403.38</v>
      </c>
      <c r="K53" s="40">
        <v>0</v>
      </c>
      <c r="L53" s="41">
        <v>0</v>
      </c>
      <c r="M53" s="38">
        <v>968144403.38</v>
      </c>
      <c r="N53" s="41">
        <v>0</v>
      </c>
      <c r="O53" s="38">
        <v>968144403.38</v>
      </c>
      <c r="P53" s="27">
        <v>968144403.38</v>
      </c>
      <c r="Q53" s="27">
        <v>968144403.38</v>
      </c>
      <c r="R53" s="27">
        <v>263842.7</v>
      </c>
      <c r="S53" s="38">
        <v>263842.7</v>
      </c>
      <c r="T53" s="38">
        <v>184689.88999999998</v>
      </c>
      <c r="U53" s="38">
        <v>3669.4</v>
      </c>
      <c r="V53" s="38">
        <v>606.9</v>
      </c>
      <c r="W53" s="38">
        <v>3062.5</v>
      </c>
      <c r="X53" s="38">
        <v>0</v>
      </c>
      <c r="Y53" s="38">
        <v>0</v>
      </c>
      <c r="Z53" s="38">
        <v>0</v>
      </c>
      <c r="AA53" s="38">
        <v>3669.4</v>
      </c>
      <c r="AB53" s="38">
        <v>968144403.38000011</v>
      </c>
      <c r="AC53" s="38">
        <v>5242.0000000000009</v>
      </c>
      <c r="AD53" s="38">
        <v>5242</v>
      </c>
      <c r="AE53" s="33">
        <v>45306</v>
      </c>
      <c r="AF53" s="33">
        <v>45413</v>
      </c>
      <c r="AG53" s="33"/>
      <c r="AH53" s="33">
        <v>45337</v>
      </c>
      <c r="AI53" s="33">
        <v>45444</v>
      </c>
      <c r="AJ53" s="42"/>
      <c r="AK53" s="37" t="s">
        <v>786</v>
      </c>
      <c r="AL53" s="37" t="s">
        <v>819</v>
      </c>
      <c r="AM53" s="37" t="s">
        <v>788</v>
      </c>
      <c r="AN53" s="37" t="s">
        <v>326</v>
      </c>
      <c r="AO53" s="43">
        <v>0</v>
      </c>
      <c r="AP53" s="35">
        <v>100</v>
      </c>
      <c r="AQ53" s="35" t="s">
        <v>164</v>
      </c>
      <c r="AR53" s="49">
        <v>0.7</v>
      </c>
      <c r="AS53" s="37" t="s">
        <v>176</v>
      </c>
    </row>
    <row r="54" spans="1:45" ht="66" customHeight="1" x14ac:dyDescent="0.25">
      <c r="A54" s="46" t="s">
        <v>820</v>
      </c>
      <c r="B54" s="42">
        <v>45254</v>
      </c>
      <c r="C54" s="37">
        <v>1416</v>
      </c>
      <c r="D54" s="36" t="s">
        <v>821</v>
      </c>
      <c r="E54" s="1" t="s">
        <v>822</v>
      </c>
      <c r="F54" s="33">
        <v>45275</v>
      </c>
      <c r="G54" s="35" t="s">
        <v>823</v>
      </c>
      <c r="H54" s="37" t="s">
        <v>169</v>
      </c>
      <c r="I54" s="37" t="s">
        <v>824</v>
      </c>
      <c r="J54" s="39">
        <v>58205312</v>
      </c>
      <c r="K54" s="40">
        <v>0</v>
      </c>
      <c r="L54" s="41">
        <v>0</v>
      </c>
      <c r="M54" s="38">
        <v>58205312</v>
      </c>
      <c r="N54" s="41">
        <v>0</v>
      </c>
      <c r="O54" s="38">
        <v>58205312</v>
      </c>
      <c r="P54" s="27">
        <v>58205312</v>
      </c>
      <c r="Q54" s="27">
        <v>58205312</v>
      </c>
      <c r="R54" s="27">
        <v>29.48</v>
      </c>
      <c r="S54" s="38">
        <v>29.48</v>
      </c>
      <c r="T54" s="38">
        <v>11792</v>
      </c>
      <c r="U54" s="38">
        <v>1974400</v>
      </c>
      <c r="V54" s="38">
        <v>1974400</v>
      </c>
      <c r="W54" s="38">
        <v>0</v>
      </c>
      <c r="X54" s="38">
        <v>0</v>
      </c>
      <c r="Y54" s="38">
        <v>0</v>
      </c>
      <c r="Z54" s="38">
        <v>0</v>
      </c>
      <c r="AA54" s="38">
        <v>1974400</v>
      </c>
      <c r="AB54" s="38">
        <v>58205312</v>
      </c>
      <c r="AC54" s="38">
        <v>4936</v>
      </c>
      <c r="AD54" s="38">
        <v>4936</v>
      </c>
      <c r="AE54" s="33">
        <v>45323</v>
      </c>
      <c r="AF54" s="33"/>
      <c r="AG54" s="33"/>
      <c r="AH54" s="33">
        <v>45352</v>
      </c>
      <c r="AI54" s="33"/>
      <c r="AJ54" s="42"/>
      <c r="AK54" s="37" t="s">
        <v>825</v>
      </c>
      <c r="AL54" s="37" t="s">
        <v>826</v>
      </c>
      <c r="AM54" s="37" t="s">
        <v>827</v>
      </c>
      <c r="AN54" s="37" t="s">
        <v>828</v>
      </c>
      <c r="AO54" s="43">
        <v>0</v>
      </c>
      <c r="AP54" s="35">
        <v>100</v>
      </c>
      <c r="AQ54" s="35" t="s">
        <v>175</v>
      </c>
      <c r="AR54" s="44">
        <v>400</v>
      </c>
      <c r="AS54" s="37" t="s">
        <v>176</v>
      </c>
    </row>
    <row r="55" spans="1:45" ht="66" customHeight="1" x14ac:dyDescent="0.25">
      <c r="A55" s="46" t="s">
        <v>829</v>
      </c>
      <c r="B55" s="42">
        <v>45254</v>
      </c>
      <c r="C55" s="37">
        <v>1416</v>
      </c>
      <c r="D55" s="36" t="s">
        <v>830</v>
      </c>
      <c r="E55" s="1" t="s">
        <v>831</v>
      </c>
      <c r="F55" s="33">
        <v>45275</v>
      </c>
      <c r="G55" s="35" t="s">
        <v>832</v>
      </c>
      <c r="H55" s="37" t="s">
        <v>169</v>
      </c>
      <c r="I55" s="37" t="s">
        <v>833</v>
      </c>
      <c r="J55" s="39">
        <v>46219245</v>
      </c>
      <c r="K55" s="40">
        <v>0</v>
      </c>
      <c r="L55" s="41">
        <v>0</v>
      </c>
      <c r="M55" s="38">
        <v>46219245</v>
      </c>
      <c r="N55" s="41">
        <v>0</v>
      </c>
      <c r="O55" s="38">
        <v>46219245</v>
      </c>
      <c r="P55" s="27">
        <v>46219245</v>
      </c>
      <c r="Q55" s="27">
        <v>46219245</v>
      </c>
      <c r="R55" s="27">
        <v>12.49</v>
      </c>
      <c r="S55" s="38">
        <v>12.49</v>
      </c>
      <c r="T55" s="38">
        <v>6245</v>
      </c>
      <c r="U55" s="38">
        <v>3700500</v>
      </c>
      <c r="V55" s="38">
        <v>3700500</v>
      </c>
      <c r="W55" s="38">
        <v>0</v>
      </c>
      <c r="X55" s="38">
        <v>0</v>
      </c>
      <c r="Y55" s="38">
        <v>0</v>
      </c>
      <c r="Z55" s="38">
        <v>0</v>
      </c>
      <c r="AA55" s="38">
        <v>3700500</v>
      </c>
      <c r="AB55" s="38">
        <v>46219245</v>
      </c>
      <c r="AC55" s="38">
        <v>7401</v>
      </c>
      <c r="AD55" s="38">
        <v>7401</v>
      </c>
      <c r="AE55" s="33">
        <v>45301</v>
      </c>
      <c r="AF55" s="33"/>
      <c r="AG55" s="33"/>
      <c r="AH55" s="33">
        <v>45332</v>
      </c>
      <c r="AI55" s="33"/>
      <c r="AJ55" s="42"/>
      <c r="AK55" s="37" t="s">
        <v>834</v>
      </c>
      <c r="AL55" s="37" t="s">
        <v>835</v>
      </c>
      <c r="AM55" s="37" t="s">
        <v>836</v>
      </c>
      <c r="AN55" s="37" t="s">
        <v>813</v>
      </c>
      <c r="AO55" s="43">
        <v>0</v>
      </c>
      <c r="AP55" s="35">
        <v>100</v>
      </c>
      <c r="AQ55" s="35" t="s">
        <v>175</v>
      </c>
      <c r="AR55" s="44">
        <v>500</v>
      </c>
      <c r="AS55" s="37" t="s">
        <v>176</v>
      </c>
    </row>
    <row r="56" spans="1:45" ht="66" customHeight="1" x14ac:dyDescent="0.25">
      <c r="A56" s="46" t="s">
        <v>837</v>
      </c>
      <c r="B56" s="42">
        <v>45254</v>
      </c>
      <c r="C56" s="37">
        <v>1416</v>
      </c>
      <c r="D56" s="36" t="s">
        <v>838</v>
      </c>
      <c r="E56" s="1" t="s">
        <v>839</v>
      </c>
      <c r="F56" s="33">
        <v>45282</v>
      </c>
      <c r="G56" s="35" t="s">
        <v>840</v>
      </c>
      <c r="H56" s="37" t="s">
        <v>169</v>
      </c>
      <c r="I56" s="37" t="s">
        <v>841</v>
      </c>
      <c r="J56" s="39">
        <v>332011680</v>
      </c>
      <c r="K56" s="40">
        <v>0</v>
      </c>
      <c r="L56" s="41">
        <v>0</v>
      </c>
      <c r="M56" s="38">
        <v>332011680</v>
      </c>
      <c r="N56" s="41">
        <v>0</v>
      </c>
      <c r="O56" s="38">
        <v>332011680</v>
      </c>
      <c r="P56" s="27">
        <v>332011680</v>
      </c>
      <c r="Q56" s="27">
        <v>332011680</v>
      </c>
      <c r="R56" s="27">
        <v>12.32</v>
      </c>
      <c r="S56" s="38">
        <v>12.32</v>
      </c>
      <c r="T56" s="38">
        <v>12320</v>
      </c>
      <c r="U56" s="38">
        <v>26949000</v>
      </c>
      <c r="V56" s="38">
        <v>26949000</v>
      </c>
      <c r="W56" s="38">
        <v>0</v>
      </c>
      <c r="X56" s="38">
        <v>0</v>
      </c>
      <c r="Y56" s="38">
        <v>0</v>
      </c>
      <c r="Z56" s="38">
        <v>0</v>
      </c>
      <c r="AA56" s="38">
        <v>26949000</v>
      </c>
      <c r="AB56" s="38">
        <v>332011680</v>
      </c>
      <c r="AC56" s="38">
        <v>26949</v>
      </c>
      <c r="AD56" s="38">
        <v>26949</v>
      </c>
      <c r="AE56" s="33">
        <v>45301</v>
      </c>
      <c r="AF56" s="33"/>
      <c r="AG56" s="33"/>
      <c r="AH56" s="33">
        <v>45332</v>
      </c>
      <c r="AI56" s="33"/>
      <c r="AJ56" s="42"/>
      <c r="AK56" s="37" t="s">
        <v>834</v>
      </c>
      <c r="AL56" s="37" t="s">
        <v>842</v>
      </c>
      <c r="AM56" s="37" t="s">
        <v>836</v>
      </c>
      <c r="AN56" s="37" t="s">
        <v>813</v>
      </c>
      <c r="AO56" s="43">
        <v>0</v>
      </c>
      <c r="AP56" s="35">
        <v>100</v>
      </c>
      <c r="AQ56" s="35" t="s">
        <v>175</v>
      </c>
      <c r="AR56" s="44">
        <v>1000</v>
      </c>
      <c r="AS56" s="37" t="s">
        <v>176</v>
      </c>
    </row>
    <row r="57" spans="1:45" ht="60.75" customHeight="1" x14ac:dyDescent="0.25">
      <c r="A57" s="46" t="s">
        <v>852</v>
      </c>
      <c r="B57" s="42">
        <v>45259</v>
      </c>
      <c r="C57" s="37">
        <v>1416</v>
      </c>
      <c r="D57" s="36" t="s">
        <v>853</v>
      </c>
      <c r="E57" s="1" t="s">
        <v>854</v>
      </c>
      <c r="F57" s="33">
        <v>45279</v>
      </c>
      <c r="G57" s="35" t="s">
        <v>855</v>
      </c>
      <c r="H57" s="37" t="s">
        <v>169</v>
      </c>
      <c r="I57" s="37" t="s">
        <v>730</v>
      </c>
      <c r="J57" s="39">
        <v>225303312</v>
      </c>
      <c r="K57" s="40">
        <v>0</v>
      </c>
      <c r="L57" s="41">
        <v>0</v>
      </c>
      <c r="M57" s="38">
        <v>225303312</v>
      </c>
      <c r="N57" s="41">
        <v>0</v>
      </c>
      <c r="O57" s="38">
        <v>225303312</v>
      </c>
      <c r="P57" s="27">
        <v>225303312</v>
      </c>
      <c r="Q57" s="27">
        <v>225303312</v>
      </c>
      <c r="R57" s="27">
        <v>12.68</v>
      </c>
      <c r="S57" s="38">
        <v>12.68</v>
      </c>
      <c r="T57" s="38">
        <v>15216</v>
      </c>
      <c r="U57" s="38">
        <v>17768400</v>
      </c>
      <c r="V57" s="38">
        <v>9120000</v>
      </c>
      <c r="W57" s="38">
        <v>8648400</v>
      </c>
      <c r="X57" s="38">
        <v>0</v>
      </c>
      <c r="Y57" s="38">
        <v>0</v>
      </c>
      <c r="Z57" s="38">
        <v>0</v>
      </c>
      <c r="AA57" s="38">
        <v>17768400</v>
      </c>
      <c r="AB57" s="38">
        <v>225303312</v>
      </c>
      <c r="AC57" s="38">
        <v>14807</v>
      </c>
      <c r="AD57" s="38">
        <v>14807</v>
      </c>
      <c r="AE57" s="33">
        <v>45352</v>
      </c>
      <c r="AF57" s="33">
        <v>45443</v>
      </c>
      <c r="AG57" s="33"/>
      <c r="AH57" s="33">
        <v>45383</v>
      </c>
      <c r="AI57" s="33">
        <v>45474</v>
      </c>
      <c r="AJ57" s="42"/>
      <c r="AK57" s="37" t="s">
        <v>731</v>
      </c>
      <c r="AL57" s="37" t="s">
        <v>732</v>
      </c>
      <c r="AM57" s="37" t="s">
        <v>733</v>
      </c>
      <c r="AN57" s="37" t="s">
        <v>174</v>
      </c>
      <c r="AO57" s="43">
        <v>0</v>
      </c>
      <c r="AP57" s="35">
        <v>100</v>
      </c>
      <c r="AQ57" s="35" t="s">
        <v>175</v>
      </c>
      <c r="AR57" s="44">
        <v>1200</v>
      </c>
      <c r="AS57" s="37" t="s">
        <v>380</v>
      </c>
    </row>
    <row r="58" spans="1:45" ht="60.75" customHeight="1" x14ac:dyDescent="0.25">
      <c r="A58" s="46" t="s">
        <v>856</v>
      </c>
      <c r="B58" s="42">
        <v>45259</v>
      </c>
      <c r="C58" s="37">
        <v>1416</v>
      </c>
      <c r="D58" s="36" t="s">
        <v>485</v>
      </c>
      <c r="E58" s="1" t="s">
        <v>857</v>
      </c>
      <c r="F58" s="33" t="s">
        <v>485</v>
      </c>
      <c r="G58" s="35" t="s">
        <v>485</v>
      </c>
      <c r="H58" s="37" t="s">
        <v>485</v>
      </c>
      <c r="I58" s="37" t="s">
        <v>858</v>
      </c>
      <c r="J58" s="39">
        <v>11989016.76</v>
      </c>
      <c r="K58" s="40">
        <v>100</v>
      </c>
      <c r="L58" s="41">
        <v>11989016.76</v>
      </c>
      <c r="M58" s="38"/>
      <c r="N58" s="41">
        <v>11989016.76</v>
      </c>
      <c r="O58" s="38">
        <v>0</v>
      </c>
      <c r="P58" s="27">
        <v>0</v>
      </c>
      <c r="Q58" s="27">
        <v>0</v>
      </c>
      <c r="R58" s="27" t="e">
        <v>#DIV/0!</v>
      </c>
      <c r="S58" s="38" t="e">
        <v>#DIV/0!</v>
      </c>
      <c r="T58" s="38" t="e">
        <v>#DIV/0!</v>
      </c>
      <c r="U58" s="38">
        <v>0</v>
      </c>
      <c r="V58" s="38">
        <v>0</v>
      </c>
      <c r="W58" s="38">
        <v>0</v>
      </c>
      <c r="X58" s="38">
        <v>0</v>
      </c>
      <c r="Y58" s="38"/>
      <c r="Z58" s="38" t="e">
        <v>#DIV/0!</v>
      </c>
      <c r="AA58" s="38"/>
      <c r="AB58" s="38" t="e">
        <v>#DIV/0!</v>
      </c>
      <c r="AC58" s="38" t="e">
        <v>#DIV/0!</v>
      </c>
      <c r="AD58" s="38" t="e">
        <v>#DIV/0!</v>
      </c>
      <c r="AE58" s="33">
        <v>45413</v>
      </c>
      <c r="AF58" s="33"/>
      <c r="AG58" s="33"/>
      <c r="AH58" s="33"/>
      <c r="AI58" s="33"/>
      <c r="AJ58" s="42"/>
      <c r="AK58" s="37"/>
      <c r="AL58" s="37"/>
      <c r="AM58" s="37"/>
      <c r="AN58" s="37"/>
      <c r="AO58" s="43"/>
      <c r="AP58" s="35"/>
      <c r="AQ58" s="35"/>
      <c r="AR58" s="44"/>
      <c r="AS58" s="37" t="s">
        <v>485</v>
      </c>
    </row>
    <row r="59" spans="1:45" ht="60.75" customHeight="1" x14ac:dyDescent="0.25">
      <c r="A59" s="46" t="s">
        <v>872</v>
      </c>
      <c r="B59" s="42">
        <v>45264</v>
      </c>
      <c r="C59" s="37">
        <v>1416</v>
      </c>
      <c r="D59" s="36" t="s">
        <v>873</v>
      </c>
      <c r="E59" s="1" t="s">
        <v>874</v>
      </c>
      <c r="F59" s="33">
        <v>45285</v>
      </c>
      <c r="G59" s="35" t="s">
        <v>875</v>
      </c>
      <c r="H59" s="37" t="s">
        <v>291</v>
      </c>
      <c r="I59" s="37" t="s">
        <v>876</v>
      </c>
      <c r="J59" s="39">
        <v>10021808.16</v>
      </c>
      <c r="K59" s="40">
        <v>87.736469303958415</v>
      </c>
      <c r="L59" s="41">
        <v>8792780.6400000006</v>
      </c>
      <c r="M59" s="38">
        <v>1229027.52</v>
      </c>
      <c r="N59" s="41">
        <v>8792780.6400000006</v>
      </c>
      <c r="O59" s="38">
        <v>1229027.52</v>
      </c>
      <c r="P59" s="27">
        <v>1229027.52</v>
      </c>
      <c r="Q59" s="27">
        <v>1229027.52</v>
      </c>
      <c r="R59" s="27">
        <v>98.86</v>
      </c>
      <c r="S59" s="38">
        <v>98.86</v>
      </c>
      <c r="T59" s="38">
        <v>2076.06</v>
      </c>
      <c r="U59" s="38">
        <v>12432</v>
      </c>
      <c r="V59" s="38">
        <v>12432</v>
      </c>
      <c r="W59" s="38">
        <v>0</v>
      </c>
      <c r="X59" s="38">
        <v>0</v>
      </c>
      <c r="Y59" s="38">
        <v>0</v>
      </c>
      <c r="Z59" s="38">
        <v>0</v>
      </c>
      <c r="AA59" s="38">
        <v>12432</v>
      </c>
      <c r="AB59" s="38">
        <v>1229027.52</v>
      </c>
      <c r="AC59" s="38">
        <v>592</v>
      </c>
      <c r="AD59" s="38">
        <v>592</v>
      </c>
      <c r="AE59" s="33">
        <v>45352</v>
      </c>
      <c r="AF59" s="33"/>
      <c r="AG59" s="33"/>
      <c r="AH59" s="33">
        <v>45383</v>
      </c>
      <c r="AI59" s="33"/>
      <c r="AJ59" s="42"/>
      <c r="AK59" s="37" t="s">
        <v>877</v>
      </c>
      <c r="AL59" s="37" t="s">
        <v>878</v>
      </c>
      <c r="AM59" s="37" t="s">
        <v>879</v>
      </c>
      <c r="AN59" s="37" t="s">
        <v>50</v>
      </c>
      <c r="AO59" s="43">
        <v>100</v>
      </c>
      <c r="AP59" s="35">
        <v>0</v>
      </c>
      <c r="AQ59" s="35" t="s">
        <v>441</v>
      </c>
      <c r="AR59" s="44">
        <v>21</v>
      </c>
      <c r="AS59" s="37" t="s">
        <v>176</v>
      </c>
    </row>
    <row r="60" spans="1:45" ht="60.75" customHeight="1" x14ac:dyDescent="0.25">
      <c r="A60" s="46" t="s">
        <v>888</v>
      </c>
      <c r="B60" s="42">
        <v>45264</v>
      </c>
      <c r="C60" s="37">
        <v>1416</v>
      </c>
      <c r="D60" s="36" t="s">
        <v>889</v>
      </c>
      <c r="E60" s="1" t="s">
        <v>890</v>
      </c>
      <c r="F60" s="33">
        <v>45285</v>
      </c>
      <c r="G60" s="35" t="s">
        <v>891</v>
      </c>
      <c r="H60" s="37" t="s">
        <v>138</v>
      </c>
      <c r="I60" s="37" t="s">
        <v>892</v>
      </c>
      <c r="J60" s="39">
        <v>24725220.030000001</v>
      </c>
      <c r="K60" s="40">
        <v>0.499999999393338</v>
      </c>
      <c r="L60" s="41">
        <v>123626.10000000149</v>
      </c>
      <c r="M60" s="38">
        <v>24601593.93</v>
      </c>
      <c r="N60" s="41">
        <v>123626.10000000149</v>
      </c>
      <c r="O60" s="38">
        <v>24601593.93</v>
      </c>
      <c r="P60" s="27">
        <v>24601583.789999999</v>
      </c>
      <c r="Q60" s="27">
        <v>24601583.789999999</v>
      </c>
      <c r="R60" s="27">
        <v>10554.09</v>
      </c>
      <c r="S60" s="38">
        <v>10554.09</v>
      </c>
      <c r="T60" s="38">
        <v>221635.89</v>
      </c>
      <c r="U60" s="38">
        <v>2331</v>
      </c>
      <c r="V60" s="38">
        <v>2331</v>
      </c>
      <c r="W60" s="38">
        <v>0</v>
      </c>
      <c r="X60" s="38">
        <v>0</v>
      </c>
      <c r="Y60" s="38">
        <v>0</v>
      </c>
      <c r="Z60" s="38">
        <v>0</v>
      </c>
      <c r="AA60" s="38">
        <v>2331</v>
      </c>
      <c r="AB60" s="38">
        <v>24601583.789999999</v>
      </c>
      <c r="AC60" s="38">
        <v>111</v>
      </c>
      <c r="AD60" s="38">
        <v>111</v>
      </c>
      <c r="AE60" s="33">
        <v>45352</v>
      </c>
      <c r="AF60" s="33"/>
      <c r="AG60" s="33"/>
      <c r="AH60" s="33">
        <v>45017</v>
      </c>
      <c r="AI60" s="33"/>
      <c r="AJ60" s="42"/>
      <c r="AK60" s="37" t="s">
        <v>893</v>
      </c>
      <c r="AL60" s="37" t="s">
        <v>894</v>
      </c>
      <c r="AM60" s="37" t="s">
        <v>895</v>
      </c>
      <c r="AN60" s="37" t="s">
        <v>50</v>
      </c>
      <c r="AO60" s="43">
        <v>100</v>
      </c>
      <c r="AP60" s="35">
        <v>0</v>
      </c>
      <c r="AQ60" s="35" t="s">
        <v>441</v>
      </c>
      <c r="AR60" s="44">
        <v>21</v>
      </c>
      <c r="AS60" s="37" t="s">
        <v>176</v>
      </c>
    </row>
    <row r="61" spans="1:45" ht="60.75" customHeight="1" x14ac:dyDescent="0.25">
      <c r="A61" s="46" t="s">
        <v>896</v>
      </c>
      <c r="B61" s="42">
        <v>45264</v>
      </c>
      <c r="C61" s="37">
        <v>1416</v>
      </c>
      <c r="D61" s="36" t="s">
        <v>485</v>
      </c>
      <c r="E61" s="1" t="s">
        <v>897</v>
      </c>
      <c r="F61" s="33" t="s">
        <v>485</v>
      </c>
      <c r="G61" s="35" t="s">
        <v>485</v>
      </c>
      <c r="H61" s="37" t="s">
        <v>485</v>
      </c>
      <c r="I61" s="37" t="s">
        <v>898</v>
      </c>
      <c r="J61" s="39">
        <v>1009470</v>
      </c>
      <c r="K61" s="40">
        <v>100</v>
      </c>
      <c r="L61" s="41">
        <v>1009470</v>
      </c>
      <c r="M61" s="38"/>
      <c r="N61" s="41">
        <v>1009470</v>
      </c>
      <c r="O61" s="38">
        <v>0</v>
      </c>
      <c r="P61" s="27">
        <v>0</v>
      </c>
      <c r="Q61" s="27">
        <v>0</v>
      </c>
      <c r="R61" s="27" t="e">
        <v>#DIV/0!</v>
      </c>
      <c r="S61" s="38" t="e">
        <v>#DIV/0!</v>
      </c>
      <c r="T61" s="38" t="e">
        <v>#DIV/0!</v>
      </c>
      <c r="U61" s="38">
        <v>0</v>
      </c>
      <c r="V61" s="38">
        <v>0</v>
      </c>
      <c r="W61" s="38">
        <v>0</v>
      </c>
      <c r="X61" s="38">
        <v>0</v>
      </c>
      <c r="Y61" s="38"/>
      <c r="Z61" s="38" t="e">
        <v>#DIV/0!</v>
      </c>
      <c r="AA61" s="38"/>
      <c r="AB61" s="38" t="e">
        <v>#DIV/0!</v>
      </c>
      <c r="AC61" s="38" t="e">
        <v>#DIV/0!</v>
      </c>
      <c r="AD61" s="38" t="e">
        <v>#DIV/0!</v>
      </c>
      <c r="AE61" s="33">
        <v>45352</v>
      </c>
      <c r="AF61" s="33"/>
      <c r="AG61" s="33"/>
      <c r="AH61" s="33"/>
      <c r="AI61" s="33"/>
      <c r="AJ61" s="42"/>
      <c r="AK61" s="37"/>
      <c r="AL61" s="37"/>
      <c r="AM61" s="37"/>
      <c r="AN61" s="37"/>
      <c r="AO61" s="43"/>
      <c r="AP61" s="35"/>
      <c r="AQ61" s="35"/>
      <c r="AR61" s="44"/>
      <c r="AS61" s="37" t="s">
        <v>485</v>
      </c>
    </row>
    <row r="62" spans="1:45" ht="32.450000000000003" customHeight="1" x14ac:dyDescent="0.25">
      <c r="A62" s="46" t="s">
        <v>899</v>
      </c>
      <c r="B62" s="42">
        <v>45268</v>
      </c>
      <c r="C62" s="37">
        <v>1416</v>
      </c>
      <c r="D62" s="36" t="s">
        <v>900</v>
      </c>
      <c r="E62" s="1" t="s">
        <v>901</v>
      </c>
      <c r="F62" s="33">
        <v>45289</v>
      </c>
      <c r="G62" s="35" t="s">
        <v>902</v>
      </c>
      <c r="H62" s="37" t="s">
        <v>219</v>
      </c>
      <c r="I62" s="37" t="s">
        <v>903</v>
      </c>
      <c r="J62" s="39">
        <v>14412600</v>
      </c>
      <c r="K62" s="40">
        <v>0</v>
      </c>
      <c r="L62" s="41">
        <v>0</v>
      </c>
      <c r="M62" s="38">
        <v>14412600</v>
      </c>
      <c r="N62" s="41">
        <v>0</v>
      </c>
      <c r="O62" s="38">
        <v>14412600</v>
      </c>
      <c r="P62" s="27">
        <v>14412600</v>
      </c>
      <c r="Q62" s="27">
        <v>14412600</v>
      </c>
      <c r="R62" s="27">
        <v>7.85</v>
      </c>
      <c r="S62" s="38">
        <v>7.85</v>
      </c>
      <c r="T62" s="38">
        <v>3925</v>
      </c>
      <c r="U62" s="38">
        <v>1836000</v>
      </c>
      <c r="V62" s="38">
        <v>1836000</v>
      </c>
      <c r="W62" s="38">
        <v>0</v>
      </c>
      <c r="X62" s="38">
        <v>0</v>
      </c>
      <c r="Y62" s="38">
        <v>613000</v>
      </c>
      <c r="Z62" s="38">
        <v>4812050</v>
      </c>
      <c r="AA62" s="38">
        <v>1223000</v>
      </c>
      <c r="AB62" s="38">
        <v>9600550</v>
      </c>
      <c r="AC62" s="38">
        <v>3672</v>
      </c>
      <c r="AD62" s="38">
        <v>3672</v>
      </c>
      <c r="AE62" s="33">
        <v>45383</v>
      </c>
      <c r="AF62" s="33"/>
      <c r="AG62" s="33"/>
      <c r="AH62" s="33">
        <v>45413</v>
      </c>
      <c r="AI62" s="33"/>
      <c r="AJ62" s="42"/>
      <c r="AK62" s="37" t="s">
        <v>904</v>
      </c>
      <c r="AL62" s="37" t="s">
        <v>905</v>
      </c>
      <c r="AM62" s="37" t="s">
        <v>906</v>
      </c>
      <c r="AN62" s="37" t="s">
        <v>50</v>
      </c>
      <c r="AO62" s="43">
        <v>100</v>
      </c>
      <c r="AP62" s="35">
        <v>0</v>
      </c>
      <c r="AQ62" s="35" t="s">
        <v>175</v>
      </c>
      <c r="AR62" s="44">
        <v>500</v>
      </c>
      <c r="AS62" s="37" t="s">
        <v>176</v>
      </c>
    </row>
    <row r="63" spans="1:45" ht="42.6" customHeight="1" x14ac:dyDescent="0.25">
      <c r="A63" s="46" t="s">
        <v>907</v>
      </c>
      <c r="B63" s="42">
        <v>45268</v>
      </c>
      <c r="C63" s="37">
        <v>1416</v>
      </c>
      <c r="D63" s="36" t="s">
        <v>908</v>
      </c>
      <c r="E63" s="1" t="s">
        <v>909</v>
      </c>
      <c r="F63" s="33">
        <v>45302</v>
      </c>
      <c r="G63" s="35" t="s">
        <v>910</v>
      </c>
      <c r="H63" s="37" t="s">
        <v>169</v>
      </c>
      <c r="I63" s="37" t="s">
        <v>911</v>
      </c>
      <c r="J63" s="39">
        <v>312035112</v>
      </c>
      <c r="K63" s="40">
        <v>0</v>
      </c>
      <c r="L63" s="41">
        <v>0</v>
      </c>
      <c r="M63" s="38">
        <v>312035112</v>
      </c>
      <c r="N63" s="41">
        <v>0</v>
      </c>
      <c r="O63" s="38">
        <v>312035112</v>
      </c>
      <c r="P63" s="27">
        <v>312035112</v>
      </c>
      <c r="Q63" s="27">
        <v>312035112</v>
      </c>
      <c r="R63" s="27">
        <v>12.84</v>
      </c>
      <c r="S63" s="38">
        <v>12.84</v>
      </c>
      <c r="T63" s="38">
        <v>30816</v>
      </c>
      <c r="U63" s="38">
        <v>24301800</v>
      </c>
      <c r="V63" s="38">
        <v>11232000</v>
      </c>
      <c r="W63" s="38">
        <v>13069800</v>
      </c>
      <c r="X63" s="38">
        <v>0</v>
      </c>
      <c r="Y63" s="38">
        <v>9834600</v>
      </c>
      <c r="Z63" s="38">
        <v>126276264</v>
      </c>
      <c r="AA63" s="38">
        <v>14467200</v>
      </c>
      <c r="AB63" s="38">
        <v>185758848</v>
      </c>
      <c r="AC63" s="38">
        <v>10125.75</v>
      </c>
      <c r="AD63" s="38">
        <v>10126</v>
      </c>
      <c r="AE63" s="33">
        <v>45352</v>
      </c>
      <c r="AF63" s="33">
        <v>45444</v>
      </c>
      <c r="AG63" s="33"/>
      <c r="AH63" s="33">
        <v>45383</v>
      </c>
      <c r="AI63" s="33">
        <v>45474</v>
      </c>
      <c r="AJ63" s="42"/>
      <c r="AK63" s="37" t="s">
        <v>731</v>
      </c>
      <c r="AL63" s="37" t="s">
        <v>912</v>
      </c>
      <c r="AM63" s="37" t="s">
        <v>733</v>
      </c>
      <c r="AN63" s="37" t="s">
        <v>174</v>
      </c>
      <c r="AO63" s="43">
        <v>0</v>
      </c>
      <c r="AP63" s="35">
        <v>100</v>
      </c>
      <c r="AQ63" s="35" t="s">
        <v>175</v>
      </c>
      <c r="AR63" s="44">
        <v>2400</v>
      </c>
      <c r="AS63" s="37" t="s">
        <v>380</v>
      </c>
    </row>
    <row r="64" spans="1:45" ht="41.45" customHeight="1" x14ac:dyDescent="0.25">
      <c r="A64" s="46" t="s">
        <v>913</v>
      </c>
      <c r="B64" s="42">
        <v>45268</v>
      </c>
      <c r="C64" s="37">
        <v>1416</v>
      </c>
      <c r="D64" s="36" t="s">
        <v>914</v>
      </c>
      <c r="E64" s="1" t="s">
        <v>915</v>
      </c>
      <c r="F64" s="33">
        <v>45300</v>
      </c>
      <c r="G64" s="35" t="s">
        <v>916</v>
      </c>
      <c r="H64" s="37" t="s">
        <v>291</v>
      </c>
      <c r="I64" s="37" t="s">
        <v>917</v>
      </c>
      <c r="J64" s="39">
        <v>26867326.5</v>
      </c>
      <c r="K64" s="40">
        <v>0.49999999069501372</v>
      </c>
      <c r="L64" s="41">
        <v>134336.62999999896</v>
      </c>
      <c r="M64" s="38">
        <v>26732989.870000001</v>
      </c>
      <c r="N64" s="41">
        <v>134336.62999999896</v>
      </c>
      <c r="O64" s="38">
        <v>26732989.870000001</v>
      </c>
      <c r="P64" s="27">
        <v>26723938.5</v>
      </c>
      <c r="Q64" s="27">
        <v>26723938.5</v>
      </c>
      <c r="R64" s="27">
        <v>14.91</v>
      </c>
      <c r="S64" s="38">
        <v>14.91</v>
      </c>
      <c r="T64" s="38">
        <v>745.5</v>
      </c>
      <c r="U64" s="38">
        <v>1792350</v>
      </c>
      <c r="V64" s="38">
        <v>1792350</v>
      </c>
      <c r="W64" s="38">
        <v>0</v>
      </c>
      <c r="X64" s="38">
        <v>0</v>
      </c>
      <c r="Y64" s="38">
        <v>57100</v>
      </c>
      <c r="Z64" s="38">
        <v>851361</v>
      </c>
      <c r="AA64" s="38">
        <v>1735250</v>
      </c>
      <c r="AB64" s="38">
        <v>25872577.5</v>
      </c>
      <c r="AC64" s="38">
        <v>35847</v>
      </c>
      <c r="AD64" s="38">
        <v>35847</v>
      </c>
      <c r="AE64" s="33">
        <v>45323</v>
      </c>
      <c r="AF64" s="33"/>
      <c r="AG64" s="33"/>
      <c r="AH64" s="33">
        <v>45352</v>
      </c>
      <c r="AI64" s="33"/>
      <c r="AJ64" s="42"/>
      <c r="AK64" s="37" t="s">
        <v>918</v>
      </c>
      <c r="AL64" s="37" t="s">
        <v>919</v>
      </c>
      <c r="AM64" s="37" t="s">
        <v>920</v>
      </c>
      <c r="AN64" s="37" t="s">
        <v>50</v>
      </c>
      <c r="AO64" s="43">
        <v>100</v>
      </c>
      <c r="AP64" s="35">
        <v>0</v>
      </c>
      <c r="AQ64" s="35" t="s">
        <v>441</v>
      </c>
      <c r="AR64" s="44">
        <v>50</v>
      </c>
      <c r="AS64" s="37" t="s">
        <v>176</v>
      </c>
    </row>
    <row r="65" spans="1:45" ht="42" customHeight="1" x14ac:dyDescent="0.25">
      <c r="A65" s="46" t="s">
        <v>921</v>
      </c>
      <c r="B65" s="42">
        <v>45264</v>
      </c>
      <c r="C65" s="37">
        <v>1416</v>
      </c>
      <c r="D65" s="36" t="s">
        <v>485</v>
      </c>
      <c r="E65" s="1" t="s">
        <v>922</v>
      </c>
      <c r="F65" s="33" t="s">
        <v>485</v>
      </c>
      <c r="G65" s="35" t="s">
        <v>485</v>
      </c>
      <c r="H65" s="37" t="s">
        <v>485</v>
      </c>
      <c r="I65" s="37" t="s">
        <v>923</v>
      </c>
      <c r="J65" s="39">
        <v>90409106.969999999</v>
      </c>
      <c r="K65" s="40">
        <v>100</v>
      </c>
      <c r="L65" s="41">
        <v>90409106.969999999</v>
      </c>
      <c r="M65" s="38"/>
      <c r="N65" s="41">
        <v>90409106.969999999</v>
      </c>
      <c r="O65" s="38">
        <v>0</v>
      </c>
      <c r="P65" s="27">
        <v>0</v>
      </c>
      <c r="Q65" s="27">
        <v>0</v>
      </c>
      <c r="R65" s="27" t="e">
        <v>#DIV/0!</v>
      </c>
      <c r="S65" s="38" t="e">
        <v>#DIV/0!</v>
      </c>
      <c r="T65" s="38" t="e">
        <v>#DIV/0!</v>
      </c>
      <c r="U65" s="38">
        <v>0</v>
      </c>
      <c r="V65" s="38">
        <v>0</v>
      </c>
      <c r="W65" s="38">
        <v>0</v>
      </c>
      <c r="X65" s="38">
        <v>0</v>
      </c>
      <c r="Y65" s="38"/>
      <c r="Z65" s="38" t="e">
        <v>#DIV/0!</v>
      </c>
      <c r="AA65" s="38"/>
      <c r="AB65" s="38" t="e">
        <v>#DIV/0!</v>
      </c>
      <c r="AC65" s="38" t="e">
        <v>#DIV/0!</v>
      </c>
      <c r="AD65" s="38" t="e">
        <v>#DIV/0!</v>
      </c>
      <c r="AE65" s="33">
        <v>45412</v>
      </c>
      <c r="AF65" s="33"/>
      <c r="AG65" s="33"/>
      <c r="AH65" s="33"/>
      <c r="AI65" s="33"/>
      <c r="AJ65" s="42"/>
      <c r="AK65" s="37"/>
      <c r="AL65" s="37"/>
      <c r="AM65" s="37"/>
      <c r="AN65" s="37"/>
      <c r="AO65" s="43"/>
      <c r="AP65" s="35"/>
      <c r="AQ65" s="35"/>
      <c r="AR65" s="44"/>
      <c r="AS65" s="37" t="s">
        <v>485</v>
      </c>
    </row>
    <row r="66" spans="1:45" ht="42" customHeight="1" x14ac:dyDescent="0.25">
      <c r="A66" s="46" t="s">
        <v>932</v>
      </c>
      <c r="B66" s="42">
        <v>45268</v>
      </c>
      <c r="C66" s="37">
        <v>1416</v>
      </c>
      <c r="D66" s="36" t="s">
        <v>933</v>
      </c>
      <c r="E66" s="1" t="s">
        <v>934</v>
      </c>
      <c r="F66" s="33">
        <v>45289</v>
      </c>
      <c r="G66" s="35" t="s">
        <v>935</v>
      </c>
      <c r="H66" s="37" t="s">
        <v>291</v>
      </c>
      <c r="I66" s="37" t="s">
        <v>936</v>
      </c>
      <c r="J66" s="39">
        <v>215192050</v>
      </c>
      <c r="K66" s="40">
        <v>0</v>
      </c>
      <c r="L66" s="41">
        <v>0</v>
      </c>
      <c r="M66" s="38">
        <v>215192050</v>
      </c>
      <c r="N66" s="41">
        <v>0</v>
      </c>
      <c r="O66" s="38">
        <v>215192050</v>
      </c>
      <c r="P66" s="27">
        <v>215192050</v>
      </c>
      <c r="Q66" s="27">
        <v>215192050</v>
      </c>
      <c r="R66" s="27">
        <v>7.85</v>
      </c>
      <c r="S66" s="38">
        <v>7.85</v>
      </c>
      <c r="T66" s="38">
        <v>7850</v>
      </c>
      <c r="U66" s="38">
        <v>27413000</v>
      </c>
      <c r="V66" s="38">
        <v>27413000</v>
      </c>
      <c r="W66" s="38">
        <v>0</v>
      </c>
      <c r="X66" s="38">
        <v>0</v>
      </c>
      <c r="Y66" s="38">
        <v>7264000</v>
      </c>
      <c r="Z66" s="38">
        <v>57022400</v>
      </c>
      <c r="AA66" s="38">
        <v>20149000</v>
      </c>
      <c r="AB66" s="38">
        <v>158169650</v>
      </c>
      <c r="AC66" s="38">
        <v>27413</v>
      </c>
      <c r="AD66" s="38">
        <v>27413</v>
      </c>
      <c r="AE66" s="33">
        <v>45383</v>
      </c>
      <c r="AF66" s="33"/>
      <c r="AG66" s="33"/>
      <c r="AH66" s="33"/>
      <c r="AI66" s="33"/>
      <c r="AJ66" s="42"/>
      <c r="AK66" s="37" t="s">
        <v>937</v>
      </c>
      <c r="AL66" s="37" t="s">
        <v>938</v>
      </c>
      <c r="AM66" s="37" t="s">
        <v>939</v>
      </c>
      <c r="AN66" s="37" t="s">
        <v>50</v>
      </c>
      <c r="AO66" s="43">
        <v>100</v>
      </c>
      <c r="AP66" s="35">
        <v>0</v>
      </c>
      <c r="AQ66" s="35" t="s">
        <v>175</v>
      </c>
      <c r="AR66" s="44">
        <v>1000</v>
      </c>
      <c r="AS66" s="37" t="s">
        <v>52</v>
      </c>
    </row>
    <row r="67" spans="1:45" ht="42" customHeight="1" x14ac:dyDescent="0.25">
      <c r="A67" s="46" t="s">
        <v>940</v>
      </c>
      <c r="B67" s="42">
        <v>45268</v>
      </c>
      <c r="C67" s="37">
        <v>1416</v>
      </c>
      <c r="D67" s="36" t="s">
        <v>485</v>
      </c>
      <c r="E67" s="1" t="s">
        <v>941</v>
      </c>
      <c r="F67" s="33" t="s">
        <v>485</v>
      </c>
      <c r="G67" s="35" t="s">
        <v>485</v>
      </c>
      <c r="H67" s="37" t="s">
        <v>485</v>
      </c>
      <c r="I67" s="37" t="s">
        <v>942</v>
      </c>
      <c r="J67" s="39">
        <v>378638760</v>
      </c>
      <c r="K67" s="40">
        <v>100</v>
      </c>
      <c r="L67" s="41">
        <v>378638760</v>
      </c>
      <c r="M67" s="38"/>
      <c r="N67" s="41">
        <v>378638760</v>
      </c>
      <c r="O67" s="38">
        <v>0</v>
      </c>
      <c r="P67" s="27">
        <v>0</v>
      </c>
      <c r="Q67" s="27">
        <v>0</v>
      </c>
      <c r="R67" s="27" t="e">
        <v>#DIV/0!</v>
      </c>
      <c r="S67" s="38" t="e">
        <v>#DIV/0!</v>
      </c>
      <c r="T67" s="38" t="e">
        <v>#DIV/0!</v>
      </c>
      <c r="U67" s="38">
        <v>0</v>
      </c>
      <c r="V67" s="38">
        <v>0</v>
      </c>
      <c r="W67" s="38">
        <v>0</v>
      </c>
      <c r="X67" s="38">
        <v>0</v>
      </c>
      <c r="Y67" s="38"/>
      <c r="Z67" s="38" t="e">
        <v>#DIV/0!</v>
      </c>
      <c r="AA67" s="38"/>
      <c r="AB67" s="38" t="e">
        <v>#DIV/0!</v>
      </c>
      <c r="AC67" s="38" t="e">
        <v>#DIV/0!</v>
      </c>
      <c r="AD67" s="38" t="e">
        <v>#DIV/0!</v>
      </c>
      <c r="AE67" s="33">
        <v>45323</v>
      </c>
      <c r="AF67" s="33"/>
      <c r="AG67" s="33"/>
      <c r="AH67" s="33"/>
      <c r="AI67" s="33"/>
      <c r="AJ67" s="42"/>
      <c r="AK67" s="37"/>
      <c r="AL67" s="37"/>
      <c r="AM67" s="37"/>
      <c r="AN67" s="37"/>
      <c r="AO67" s="43"/>
      <c r="AP67" s="35"/>
      <c r="AQ67" s="35"/>
      <c r="AR67" s="44"/>
      <c r="AS67" s="37" t="s">
        <v>485</v>
      </c>
    </row>
    <row r="68" spans="1:45" ht="42" customHeight="1" x14ac:dyDescent="0.25">
      <c r="A68" s="46" t="s">
        <v>943</v>
      </c>
      <c r="B68" s="42">
        <v>45268</v>
      </c>
      <c r="C68" s="37">
        <v>1416</v>
      </c>
      <c r="D68" s="36" t="s">
        <v>485</v>
      </c>
      <c r="E68" s="1" t="s">
        <v>944</v>
      </c>
      <c r="F68" s="33" t="s">
        <v>485</v>
      </c>
      <c r="G68" s="35" t="s">
        <v>485</v>
      </c>
      <c r="H68" s="37" t="s">
        <v>485</v>
      </c>
      <c r="I68" s="37" t="s">
        <v>945</v>
      </c>
      <c r="J68" s="39">
        <v>2719716153</v>
      </c>
      <c r="K68" s="40">
        <v>100</v>
      </c>
      <c r="L68" s="41">
        <v>2719716153</v>
      </c>
      <c r="M68" s="38"/>
      <c r="N68" s="41">
        <v>2719716153</v>
      </c>
      <c r="O68" s="38">
        <v>0</v>
      </c>
      <c r="P68" s="27">
        <v>0</v>
      </c>
      <c r="Q68" s="27">
        <v>0</v>
      </c>
      <c r="R68" s="27" t="e">
        <v>#DIV/0!</v>
      </c>
      <c r="S68" s="38" t="e">
        <v>#DIV/0!</v>
      </c>
      <c r="T68" s="38" t="e">
        <v>#DIV/0!</v>
      </c>
      <c r="U68" s="38">
        <v>0</v>
      </c>
      <c r="V68" s="38">
        <v>0</v>
      </c>
      <c r="W68" s="38">
        <v>0</v>
      </c>
      <c r="X68" s="38">
        <v>0</v>
      </c>
      <c r="Y68" s="38"/>
      <c r="Z68" s="38" t="e">
        <v>#DIV/0!</v>
      </c>
      <c r="AA68" s="38"/>
      <c r="AB68" s="38" t="e">
        <v>#DIV/0!</v>
      </c>
      <c r="AC68" s="38" t="e">
        <v>#DIV/0!</v>
      </c>
      <c r="AD68" s="38" t="e">
        <v>#DIV/0!</v>
      </c>
      <c r="AE68" s="33">
        <v>45352</v>
      </c>
      <c r="AF68" s="33">
        <v>45427</v>
      </c>
      <c r="AG68" s="33">
        <v>45458</v>
      </c>
      <c r="AH68" s="33"/>
      <c r="AI68" s="33"/>
      <c r="AJ68" s="42"/>
      <c r="AK68" s="37"/>
      <c r="AL68" s="37"/>
      <c r="AM68" s="37"/>
      <c r="AN68" s="37"/>
      <c r="AO68" s="43"/>
      <c r="AP68" s="35"/>
      <c r="AQ68" s="35"/>
      <c r="AR68" s="44"/>
      <c r="AS68" s="37" t="s">
        <v>485</v>
      </c>
    </row>
    <row r="69" spans="1:45" ht="105" x14ac:dyDescent="0.25">
      <c r="A69" s="46" t="s">
        <v>946</v>
      </c>
      <c r="B69" s="42">
        <v>45268</v>
      </c>
      <c r="C69" s="37">
        <v>1416</v>
      </c>
      <c r="D69" s="36" t="s">
        <v>485</v>
      </c>
      <c r="E69" s="1" t="s">
        <v>947</v>
      </c>
      <c r="F69" s="33" t="s">
        <v>485</v>
      </c>
      <c r="G69" s="35" t="s">
        <v>485</v>
      </c>
      <c r="H69" s="37" t="s">
        <v>485</v>
      </c>
      <c r="I69" s="37" t="s">
        <v>948</v>
      </c>
      <c r="J69" s="39">
        <v>360840</v>
      </c>
      <c r="K69" s="40">
        <v>100</v>
      </c>
      <c r="L69" s="41">
        <v>360840</v>
      </c>
      <c r="M69" s="38"/>
      <c r="N69" s="41">
        <v>360840</v>
      </c>
      <c r="O69" s="38">
        <v>0</v>
      </c>
      <c r="P69" s="27">
        <v>0</v>
      </c>
      <c r="Q69" s="27">
        <v>0</v>
      </c>
      <c r="R69" s="27" t="e">
        <v>#DIV/0!</v>
      </c>
      <c r="S69" s="38" t="e">
        <v>#DIV/0!</v>
      </c>
      <c r="T69" s="38" t="e">
        <v>#DIV/0!</v>
      </c>
      <c r="U69" s="38">
        <v>0</v>
      </c>
      <c r="V69" s="38">
        <v>0</v>
      </c>
      <c r="W69" s="38">
        <v>0</v>
      </c>
      <c r="X69" s="38">
        <v>0</v>
      </c>
      <c r="Y69" s="38"/>
      <c r="Z69" s="38" t="e">
        <v>#DIV/0!</v>
      </c>
      <c r="AA69" s="38"/>
      <c r="AB69" s="38" t="e">
        <v>#DIV/0!</v>
      </c>
      <c r="AC69" s="38" t="e">
        <v>#DIV/0!</v>
      </c>
      <c r="AD69" s="38" t="e">
        <v>#DIV/0!</v>
      </c>
      <c r="AE69" s="33">
        <v>45323</v>
      </c>
      <c r="AF69" s="33"/>
      <c r="AG69" s="33"/>
      <c r="AH69" s="33"/>
      <c r="AI69" s="33"/>
      <c r="AJ69" s="42"/>
      <c r="AK69" s="37"/>
      <c r="AL69" s="37"/>
      <c r="AM69" s="37"/>
      <c r="AN69" s="37"/>
      <c r="AO69" s="43"/>
      <c r="AP69" s="35"/>
      <c r="AQ69" s="35"/>
      <c r="AR69" s="44"/>
      <c r="AS69" s="37" t="s">
        <v>485</v>
      </c>
    </row>
    <row r="70" spans="1:45" ht="87" customHeight="1" x14ac:dyDescent="0.25">
      <c r="A70" s="46" t="s">
        <v>949</v>
      </c>
      <c r="B70" s="42">
        <v>45268</v>
      </c>
      <c r="C70" s="37">
        <v>1416</v>
      </c>
      <c r="D70" s="36" t="s">
        <v>950</v>
      </c>
      <c r="E70" s="1" t="s">
        <v>951</v>
      </c>
      <c r="F70" s="33">
        <v>45300</v>
      </c>
      <c r="G70" s="35" t="s">
        <v>952</v>
      </c>
      <c r="H70" s="54" t="s">
        <v>273</v>
      </c>
      <c r="I70" s="37" t="s">
        <v>953</v>
      </c>
      <c r="J70" s="39">
        <v>16921827.09</v>
      </c>
      <c r="K70" s="40">
        <v>90.109767928139249</v>
      </c>
      <c r="L70" s="41">
        <v>15248219.119999999</v>
      </c>
      <c r="M70" s="38">
        <v>1673607.97</v>
      </c>
      <c r="N70" s="41">
        <v>15248219.119999999</v>
      </c>
      <c r="O70" s="38">
        <v>1673607.97</v>
      </c>
      <c r="P70" s="27">
        <v>1672673.31</v>
      </c>
      <c r="Q70" s="27">
        <v>1672673.31</v>
      </c>
      <c r="R70" s="27">
        <v>92.51</v>
      </c>
      <c r="S70" s="38">
        <v>92.51</v>
      </c>
      <c r="T70" s="38">
        <v>1942.71</v>
      </c>
      <c r="U70" s="38">
        <v>18081</v>
      </c>
      <c r="V70" s="38">
        <v>18081</v>
      </c>
      <c r="W70" s="38">
        <v>0</v>
      </c>
      <c r="X70" s="38">
        <v>0</v>
      </c>
      <c r="Y70" s="38">
        <v>0</v>
      </c>
      <c r="Z70" s="38">
        <v>0</v>
      </c>
      <c r="AA70" s="38">
        <v>18081</v>
      </c>
      <c r="AB70" s="38">
        <v>1672673.31</v>
      </c>
      <c r="AC70" s="38">
        <v>861</v>
      </c>
      <c r="AD70" s="38">
        <v>861</v>
      </c>
      <c r="AE70" s="33">
        <v>45323</v>
      </c>
      <c r="AF70" s="33"/>
      <c r="AG70" s="33"/>
      <c r="AH70" s="33">
        <v>45352</v>
      </c>
      <c r="AI70" s="33"/>
      <c r="AJ70" s="42"/>
      <c r="AK70" s="37" t="s">
        <v>954</v>
      </c>
      <c r="AL70" s="37" t="s">
        <v>955</v>
      </c>
      <c r="AM70" s="37" t="s">
        <v>956</v>
      </c>
      <c r="AN70" s="37" t="s">
        <v>50</v>
      </c>
      <c r="AO70" s="43">
        <v>100</v>
      </c>
      <c r="AP70" s="35">
        <v>0</v>
      </c>
      <c r="AQ70" s="35" t="s">
        <v>441</v>
      </c>
      <c r="AR70" s="44">
        <v>21</v>
      </c>
      <c r="AS70" s="37" t="s">
        <v>176</v>
      </c>
    </row>
    <row r="71" spans="1:45" ht="87" customHeight="1" x14ac:dyDescent="0.25">
      <c r="A71" s="46" t="s">
        <v>957</v>
      </c>
      <c r="B71" s="42">
        <v>45268</v>
      </c>
      <c r="C71" s="37">
        <v>1416</v>
      </c>
      <c r="D71" s="36" t="s">
        <v>958</v>
      </c>
      <c r="E71" s="1" t="s">
        <v>959</v>
      </c>
      <c r="F71" s="33">
        <v>45289</v>
      </c>
      <c r="G71" s="35" t="s">
        <v>960</v>
      </c>
      <c r="H71" s="37" t="s">
        <v>169</v>
      </c>
      <c r="I71" s="37" t="s">
        <v>961</v>
      </c>
      <c r="J71" s="39">
        <v>9649710</v>
      </c>
      <c r="K71" s="40">
        <v>0</v>
      </c>
      <c r="L71" s="41">
        <v>0</v>
      </c>
      <c r="M71" s="38">
        <v>9649710</v>
      </c>
      <c r="N71" s="41">
        <v>0</v>
      </c>
      <c r="O71" s="38">
        <v>4824855</v>
      </c>
      <c r="P71" s="27">
        <v>4824855</v>
      </c>
      <c r="Q71" s="27">
        <v>9649710</v>
      </c>
      <c r="R71" s="27">
        <v>7.42</v>
      </c>
      <c r="S71" s="38">
        <v>7.42</v>
      </c>
      <c r="T71" s="38">
        <v>1855</v>
      </c>
      <c r="U71" s="38">
        <v>1300500</v>
      </c>
      <c r="V71" s="38">
        <v>433750</v>
      </c>
      <c r="W71" s="38">
        <v>216500</v>
      </c>
      <c r="X71" s="38"/>
      <c r="Y71" s="38">
        <v>424250</v>
      </c>
      <c r="Z71" s="38">
        <v>3147935</v>
      </c>
      <c r="AA71" s="38">
        <v>226000</v>
      </c>
      <c r="AB71" s="38">
        <v>1676920</v>
      </c>
      <c r="AC71" s="38">
        <v>5202</v>
      </c>
      <c r="AD71" s="38">
        <v>5202</v>
      </c>
      <c r="AE71" s="33">
        <v>45352</v>
      </c>
      <c r="AF71" s="33">
        <v>45565</v>
      </c>
      <c r="AG71" s="33">
        <v>45717</v>
      </c>
      <c r="AH71" s="33">
        <v>45383</v>
      </c>
      <c r="AI71" s="33">
        <v>45597</v>
      </c>
      <c r="AJ71" s="42">
        <v>45748</v>
      </c>
      <c r="AK71" s="37" t="s">
        <v>962</v>
      </c>
      <c r="AL71" s="37" t="s">
        <v>963</v>
      </c>
      <c r="AM71" s="37" t="s">
        <v>964</v>
      </c>
      <c r="AN71" s="37" t="s">
        <v>768</v>
      </c>
      <c r="AO71" s="43">
        <v>0</v>
      </c>
      <c r="AP71" s="35">
        <v>100</v>
      </c>
      <c r="AQ71" s="35" t="s">
        <v>175</v>
      </c>
      <c r="AR71" s="44">
        <v>250</v>
      </c>
      <c r="AS71" s="37" t="s">
        <v>52</v>
      </c>
    </row>
    <row r="72" spans="1:45" ht="105" x14ac:dyDescent="0.25">
      <c r="A72" s="46" t="s">
        <v>965</v>
      </c>
      <c r="B72" s="42">
        <v>45268</v>
      </c>
      <c r="C72" s="37">
        <v>1416</v>
      </c>
      <c r="D72" s="36" t="s">
        <v>966</v>
      </c>
      <c r="E72" s="1" t="s">
        <v>967</v>
      </c>
      <c r="F72" s="33">
        <v>45303</v>
      </c>
      <c r="G72" s="35" t="s">
        <v>968</v>
      </c>
      <c r="H72" s="37" t="s">
        <v>219</v>
      </c>
      <c r="I72" s="37" t="s">
        <v>969</v>
      </c>
      <c r="J72" s="39">
        <v>4389001226.3999996</v>
      </c>
      <c r="K72" s="40">
        <v>0</v>
      </c>
      <c r="L72" s="41">
        <v>0</v>
      </c>
      <c r="M72" s="38">
        <v>4389001226.3999996</v>
      </c>
      <c r="N72" s="41">
        <v>0</v>
      </c>
      <c r="O72" s="38">
        <v>4389001226.3999996</v>
      </c>
      <c r="P72" s="27">
        <v>4389001226.3999996</v>
      </c>
      <c r="Q72" s="27">
        <v>4389001226.3999996</v>
      </c>
      <c r="R72" s="27">
        <v>9102.7899999999991</v>
      </c>
      <c r="S72" s="38">
        <v>9102.7899999999991</v>
      </c>
      <c r="T72" s="38">
        <v>273083.69999999995</v>
      </c>
      <c r="U72" s="38">
        <v>482160</v>
      </c>
      <c r="V72" s="38">
        <v>482160</v>
      </c>
      <c r="W72" s="38">
        <v>0</v>
      </c>
      <c r="X72" s="38">
        <v>0</v>
      </c>
      <c r="Y72" s="38">
        <v>275430</v>
      </c>
      <c r="Z72" s="38">
        <v>2507181449.6999998</v>
      </c>
      <c r="AA72" s="38">
        <v>206730</v>
      </c>
      <c r="AB72" s="38">
        <v>1881819776.6999998</v>
      </c>
      <c r="AC72" s="38">
        <v>16072</v>
      </c>
      <c r="AD72" s="38">
        <v>16072</v>
      </c>
      <c r="AE72" s="33">
        <v>45381</v>
      </c>
      <c r="AF72" s="33"/>
      <c r="AG72" s="33"/>
      <c r="AH72" s="33">
        <v>45413</v>
      </c>
      <c r="AI72" s="33"/>
      <c r="AJ72" s="42"/>
      <c r="AK72" s="37" t="s">
        <v>970</v>
      </c>
      <c r="AL72" s="37" t="s">
        <v>971</v>
      </c>
      <c r="AM72" s="37" t="s">
        <v>972</v>
      </c>
      <c r="AN72" s="37" t="s">
        <v>50</v>
      </c>
      <c r="AO72" s="43">
        <v>100</v>
      </c>
      <c r="AP72" s="35">
        <v>0</v>
      </c>
      <c r="AQ72" s="35" t="s">
        <v>164</v>
      </c>
      <c r="AR72" s="44">
        <v>30</v>
      </c>
      <c r="AS72" s="37" t="s">
        <v>52</v>
      </c>
    </row>
    <row r="73" spans="1:45" ht="105" x14ac:dyDescent="0.25">
      <c r="A73" s="46" t="s">
        <v>973</v>
      </c>
      <c r="B73" s="42">
        <v>45268</v>
      </c>
      <c r="C73" s="37">
        <v>1416</v>
      </c>
      <c r="D73" s="36" t="s">
        <v>974</v>
      </c>
      <c r="E73" s="1" t="s">
        <v>975</v>
      </c>
      <c r="F73" s="33">
        <v>45300</v>
      </c>
      <c r="G73" s="35" t="s">
        <v>976</v>
      </c>
      <c r="H73" s="37" t="s">
        <v>282</v>
      </c>
      <c r="I73" s="37" t="s">
        <v>977</v>
      </c>
      <c r="J73" s="39">
        <v>14067507.300000001</v>
      </c>
      <c r="K73" s="40">
        <v>95.026197711658554</v>
      </c>
      <c r="L73" s="41">
        <v>13367817.300000001</v>
      </c>
      <c r="M73" s="38">
        <v>699690</v>
      </c>
      <c r="N73" s="41">
        <v>13367817.300000001</v>
      </c>
      <c r="O73" s="38">
        <v>699690</v>
      </c>
      <c r="P73" s="27">
        <v>699649.44</v>
      </c>
      <c r="Q73" s="27">
        <v>699649.44</v>
      </c>
      <c r="R73" s="27">
        <v>220.64</v>
      </c>
      <c r="S73" s="38">
        <v>220.64</v>
      </c>
      <c r="T73" s="38">
        <v>4633.4399999999996</v>
      </c>
      <c r="U73" s="38">
        <v>3171</v>
      </c>
      <c r="V73" s="38">
        <v>3171</v>
      </c>
      <c r="W73" s="38">
        <v>0</v>
      </c>
      <c r="X73" s="38">
        <v>0</v>
      </c>
      <c r="Y73" s="38">
        <v>0</v>
      </c>
      <c r="Z73" s="38">
        <v>0</v>
      </c>
      <c r="AA73" s="38">
        <v>3171</v>
      </c>
      <c r="AB73" s="38">
        <v>699649.44</v>
      </c>
      <c r="AC73" s="38">
        <v>151</v>
      </c>
      <c r="AD73" s="38">
        <v>151</v>
      </c>
      <c r="AE73" s="33">
        <v>45383</v>
      </c>
      <c r="AF73" s="33"/>
      <c r="AG73" s="33"/>
      <c r="AH73" s="33">
        <v>45413</v>
      </c>
      <c r="AI73" s="33"/>
      <c r="AJ73" s="42"/>
      <c r="AK73" s="37" t="s">
        <v>284</v>
      </c>
      <c r="AL73" s="37" t="s">
        <v>301</v>
      </c>
      <c r="AM73" s="37" t="s">
        <v>286</v>
      </c>
      <c r="AN73" s="37" t="s">
        <v>50</v>
      </c>
      <c r="AO73" s="43">
        <v>100</v>
      </c>
      <c r="AP73" s="35">
        <v>0</v>
      </c>
      <c r="AQ73" s="35" t="s">
        <v>441</v>
      </c>
      <c r="AR73" s="44">
        <v>21</v>
      </c>
      <c r="AS73" s="37" t="s">
        <v>176</v>
      </c>
    </row>
    <row r="74" spans="1:45" ht="80.25" customHeight="1" x14ac:dyDescent="0.25">
      <c r="A74" s="46" t="s">
        <v>978</v>
      </c>
      <c r="B74" s="42">
        <v>45268</v>
      </c>
      <c r="C74" s="37">
        <v>1416</v>
      </c>
      <c r="D74" s="36" t="s">
        <v>979</v>
      </c>
      <c r="E74" s="1" t="s">
        <v>980</v>
      </c>
      <c r="F74" s="33">
        <v>45289</v>
      </c>
      <c r="G74" s="35" t="s">
        <v>981</v>
      </c>
      <c r="H74" s="37" t="s">
        <v>169</v>
      </c>
      <c r="I74" s="37" t="s">
        <v>982</v>
      </c>
      <c r="J74" s="39">
        <v>41731032</v>
      </c>
      <c r="K74" s="40">
        <v>0</v>
      </c>
      <c r="L74" s="41">
        <v>0</v>
      </c>
      <c r="M74" s="38">
        <v>41731032</v>
      </c>
      <c r="N74" s="41">
        <v>0</v>
      </c>
      <c r="O74" s="38">
        <v>41731032</v>
      </c>
      <c r="P74" s="27">
        <v>41731032</v>
      </c>
      <c r="Q74" s="27">
        <v>41731032</v>
      </c>
      <c r="R74" s="27">
        <v>24.92</v>
      </c>
      <c r="S74" s="38">
        <v>24.92</v>
      </c>
      <c r="T74" s="38">
        <v>14952.000000000002</v>
      </c>
      <c r="U74" s="38">
        <v>1674600</v>
      </c>
      <c r="V74" s="38">
        <v>1134600</v>
      </c>
      <c r="W74" s="38">
        <v>540000</v>
      </c>
      <c r="X74" s="38">
        <v>0</v>
      </c>
      <c r="Y74" s="38">
        <v>0</v>
      </c>
      <c r="Z74" s="38">
        <v>0</v>
      </c>
      <c r="AA74" s="38">
        <v>1674600</v>
      </c>
      <c r="AB74" s="38">
        <v>41731032</v>
      </c>
      <c r="AC74" s="38">
        <v>2791</v>
      </c>
      <c r="AD74" s="38">
        <v>2791</v>
      </c>
      <c r="AE74" s="33">
        <v>45323</v>
      </c>
      <c r="AF74" s="33">
        <v>45412</v>
      </c>
      <c r="AG74" s="33"/>
      <c r="AH74" s="33">
        <v>45352</v>
      </c>
      <c r="AI74" s="33">
        <v>45444</v>
      </c>
      <c r="AJ74" s="42"/>
      <c r="AK74" s="37" t="s">
        <v>731</v>
      </c>
      <c r="AL74" s="37" t="s">
        <v>983</v>
      </c>
      <c r="AM74" s="37" t="s">
        <v>733</v>
      </c>
      <c r="AN74" s="37" t="s">
        <v>174</v>
      </c>
      <c r="AO74" s="43">
        <v>0</v>
      </c>
      <c r="AP74" s="35">
        <v>100</v>
      </c>
      <c r="AQ74" s="35" t="s">
        <v>175</v>
      </c>
      <c r="AR74" s="44">
        <v>600</v>
      </c>
      <c r="AS74" s="37" t="s">
        <v>380</v>
      </c>
    </row>
    <row r="75" spans="1:45" ht="81.75" customHeight="1" x14ac:dyDescent="0.25">
      <c r="A75" s="46" t="s">
        <v>984</v>
      </c>
      <c r="B75" s="42">
        <v>45268</v>
      </c>
      <c r="C75" s="37">
        <v>1416</v>
      </c>
      <c r="D75" s="35" t="s">
        <v>547</v>
      </c>
      <c r="E75" s="1" t="s">
        <v>985</v>
      </c>
      <c r="F75" s="35" t="s">
        <v>547</v>
      </c>
      <c r="G75" s="35" t="s">
        <v>547</v>
      </c>
      <c r="H75" s="35" t="s">
        <v>547</v>
      </c>
      <c r="I75" s="37" t="s">
        <v>986</v>
      </c>
      <c r="J75" s="39">
        <v>468865320</v>
      </c>
      <c r="K75" s="40">
        <v>100</v>
      </c>
      <c r="L75" s="41">
        <v>468865320</v>
      </c>
      <c r="M75" s="38"/>
      <c r="N75" s="41">
        <v>468865320</v>
      </c>
      <c r="O75" s="38">
        <v>0</v>
      </c>
      <c r="P75" s="27">
        <v>0</v>
      </c>
      <c r="Q75" s="27">
        <v>0</v>
      </c>
      <c r="R75" s="27" t="e">
        <v>#DIV/0!</v>
      </c>
      <c r="S75" s="38" t="e">
        <v>#DIV/0!</v>
      </c>
      <c r="T75" s="38" t="e">
        <v>#DIV/0!</v>
      </c>
      <c r="U75" s="38">
        <v>0</v>
      </c>
      <c r="V75" s="38">
        <v>0</v>
      </c>
      <c r="W75" s="38">
        <v>0</v>
      </c>
      <c r="X75" s="38">
        <v>0</v>
      </c>
      <c r="Y75" s="38"/>
      <c r="Z75" s="38" t="e">
        <v>#DIV/0!</v>
      </c>
      <c r="AA75" s="38"/>
      <c r="AB75" s="38" t="e">
        <v>#DIV/0!</v>
      </c>
      <c r="AC75" s="38" t="e">
        <v>#DIV/0!</v>
      </c>
      <c r="AD75" s="38" t="e">
        <v>#DIV/0!</v>
      </c>
      <c r="AE75" s="33">
        <v>45352</v>
      </c>
      <c r="AF75" s="33">
        <v>45565</v>
      </c>
      <c r="AG75" s="33">
        <v>45717</v>
      </c>
      <c r="AH75" s="33"/>
      <c r="AI75" s="33"/>
      <c r="AJ75" s="42"/>
      <c r="AK75" s="37"/>
      <c r="AL75" s="37"/>
      <c r="AM75" s="37"/>
      <c r="AN75" s="37"/>
      <c r="AO75" s="43"/>
      <c r="AP75" s="35"/>
      <c r="AQ75" s="35"/>
      <c r="AR75" s="44"/>
      <c r="AS75" s="37" t="s">
        <v>485</v>
      </c>
    </row>
    <row r="76" spans="1:45" ht="114.75" customHeight="1" x14ac:dyDescent="0.25">
      <c r="A76" s="46" t="s">
        <v>987</v>
      </c>
      <c r="B76" s="42">
        <v>45268</v>
      </c>
      <c r="C76" s="37">
        <v>1416</v>
      </c>
      <c r="D76" s="36" t="s">
        <v>988</v>
      </c>
      <c r="E76" s="1" t="s">
        <v>989</v>
      </c>
      <c r="F76" s="33">
        <v>45289</v>
      </c>
      <c r="G76" s="35" t="s">
        <v>990</v>
      </c>
      <c r="H76" s="37" t="s">
        <v>219</v>
      </c>
      <c r="I76" s="37" t="s">
        <v>991</v>
      </c>
      <c r="J76" s="39">
        <v>85205610</v>
      </c>
      <c r="K76" s="40">
        <v>0</v>
      </c>
      <c r="L76" s="41">
        <v>0</v>
      </c>
      <c r="M76" s="38">
        <v>85205610</v>
      </c>
      <c r="N76" s="41">
        <v>0</v>
      </c>
      <c r="O76" s="38">
        <v>85205610</v>
      </c>
      <c r="P76" s="27">
        <v>85205610</v>
      </c>
      <c r="Q76" s="27">
        <v>85205610</v>
      </c>
      <c r="R76" s="27">
        <v>12.51</v>
      </c>
      <c r="S76" s="38">
        <v>12.51</v>
      </c>
      <c r="T76" s="38">
        <v>6255</v>
      </c>
      <c r="U76" s="38">
        <v>6811000</v>
      </c>
      <c r="V76" s="38">
        <v>6811000</v>
      </c>
      <c r="W76" s="38">
        <v>0</v>
      </c>
      <c r="X76" s="38">
        <v>0</v>
      </c>
      <c r="Y76" s="38">
        <v>260000</v>
      </c>
      <c r="Z76" s="38">
        <v>3252600</v>
      </c>
      <c r="AA76" s="38">
        <v>6551000</v>
      </c>
      <c r="AB76" s="38">
        <v>81953010</v>
      </c>
      <c r="AC76" s="38">
        <v>13622</v>
      </c>
      <c r="AD76" s="38">
        <v>13622</v>
      </c>
      <c r="AE76" s="33">
        <v>45381</v>
      </c>
      <c r="AF76" s="33"/>
      <c r="AG76" s="33"/>
      <c r="AH76" s="33">
        <v>45413</v>
      </c>
      <c r="AI76" s="33"/>
      <c r="AJ76" s="42"/>
      <c r="AK76" s="37" t="s">
        <v>992</v>
      </c>
      <c r="AL76" s="37" t="s">
        <v>993</v>
      </c>
      <c r="AM76" s="37" t="s">
        <v>994</v>
      </c>
      <c r="AN76" s="37" t="s">
        <v>50</v>
      </c>
      <c r="AO76" s="43">
        <v>100</v>
      </c>
      <c r="AP76" s="35">
        <v>0</v>
      </c>
      <c r="AQ76" s="35" t="s">
        <v>175</v>
      </c>
      <c r="AR76" s="44">
        <v>500</v>
      </c>
      <c r="AS76" s="37" t="s">
        <v>176</v>
      </c>
    </row>
    <row r="77" spans="1:45" ht="105" x14ac:dyDescent="0.25">
      <c r="A77" s="46" t="s">
        <v>995</v>
      </c>
      <c r="B77" s="42">
        <v>45268</v>
      </c>
      <c r="C77" s="37">
        <v>1416</v>
      </c>
      <c r="D77" s="36" t="s">
        <v>996</v>
      </c>
      <c r="E77" s="1" t="s">
        <v>997</v>
      </c>
      <c r="F77" s="33">
        <v>45310</v>
      </c>
      <c r="G77" s="35" t="s">
        <v>998</v>
      </c>
      <c r="H77" s="37" t="s">
        <v>219</v>
      </c>
      <c r="I77" s="37" t="s">
        <v>999</v>
      </c>
      <c r="J77" s="39">
        <v>6881444100</v>
      </c>
      <c r="K77" s="40">
        <v>0</v>
      </c>
      <c r="L77" s="41">
        <v>0</v>
      </c>
      <c r="M77" s="38">
        <v>6881444100</v>
      </c>
      <c r="N77" s="41">
        <v>3440722050</v>
      </c>
      <c r="O77" s="38">
        <v>3440722050</v>
      </c>
      <c r="P77" s="27">
        <v>3440722050</v>
      </c>
      <c r="Q77" s="27">
        <v>6881444100</v>
      </c>
      <c r="R77" s="27">
        <v>5594.67</v>
      </c>
      <c r="S77" s="38">
        <v>5594.67</v>
      </c>
      <c r="T77" s="38">
        <v>83920.05</v>
      </c>
      <c r="U77" s="38">
        <v>1230000</v>
      </c>
      <c r="V77" s="38">
        <v>379500</v>
      </c>
      <c r="W77" s="38">
        <v>235500</v>
      </c>
      <c r="X77" s="38">
        <v>0</v>
      </c>
      <c r="Y77" s="38">
        <v>1660</v>
      </c>
      <c r="Z77" s="38">
        <v>9287152.1999999993</v>
      </c>
      <c r="AA77" s="38">
        <v>613340</v>
      </c>
      <c r="AB77" s="38">
        <v>3431434897.8000002</v>
      </c>
      <c r="AC77" s="38">
        <v>82000</v>
      </c>
      <c r="AD77" s="38">
        <v>82000</v>
      </c>
      <c r="AE77" s="33">
        <v>45397</v>
      </c>
      <c r="AF77" s="33">
        <v>45474</v>
      </c>
      <c r="AG77" s="33" t="s">
        <v>1000</v>
      </c>
      <c r="AH77" s="33">
        <v>45427</v>
      </c>
      <c r="AI77" s="33">
        <v>45505</v>
      </c>
      <c r="AJ77" s="42" t="s">
        <v>1001</v>
      </c>
      <c r="AK77" s="37" t="s">
        <v>1002</v>
      </c>
      <c r="AL77" s="37" t="s">
        <v>1003</v>
      </c>
      <c r="AM77" s="37" t="s">
        <v>1004</v>
      </c>
      <c r="AN77" s="37" t="s">
        <v>174</v>
      </c>
      <c r="AO77" s="43">
        <v>0</v>
      </c>
      <c r="AP77" s="35">
        <v>100</v>
      </c>
      <c r="AQ77" s="35" t="s">
        <v>164</v>
      </c>
      <c r="AR77" s="44">
        <v>15</v>
      </c>
      <c r="AS77" s="37" t="s">
        <v>52</v>
      </c>
    </row>
    <row r="78" spans="1:45" ht="105" x14ac:dyDescent="0.25">
      <c r="A78" s="46" t="s">
        <v>1005</v>
      </c>
      <c r="B78" s="42">
        <v>45268</v>
      </c>
      <c r="C78" s="37">
        <v>1416</v>
      </c>
      <c r="D78" s="36" t="s">
        <v>1006</v>
      </c>
      <c r="E78" s="1" t="s">
        <v>1007</v>
      </c>
      <c r="F78" s="33">
        <v>45289</v>
      </c>
      <c r="G78" s="35" t="s">
        <v>1008</v>
      </c>
      <c r="H78" s="37" t="s">
        <v>374</v>
      </c>
      <c r="I78" s="37" t="s">
        <v>1009</v>
      </c>
      <c r="J78" s="39">
        <v>41597582.399999999</v>
      </c>
      <c r="K78" s="40">
        <v>0</v>
      </c>
      <c r="L78" s="41">
        <v>0</v>
      </c>
      <c r="M78" s="38">
        <v>41597582.399999999</v>
      </c>
      <c r="N78" s="41">
        <v>0</v>
      </c>
      <c r="O78" s="38">
        <v>41597582.399999999</v>
      </c>
      <c r="P78" s="27">
        <v>41597582.399999999</v>
      </c>
      <c r="Q78" s="27">
        <v>41597582.399999999</v>
      </c>
      <c r="R78" s="27">
        <v>16048.449999999999</v>
      </c>
      <c r="S78" s="38">
        <v>16048.449999999999</v>
      </c>
      <c r="T78" s="38">
        <v>57774.42</v>
      </c>
      <c r="U78" s="38">
        <v>2592</v>
      </c>
      <c r="V78" s="38">
        <v>2592</v>
      </c>
      <c r="W78" s="38">
        <v>0</v>
      </c>
      <c r="X78" s="38">
        <v>0</v>
      </c>
      <c r="Y78" s="38">
        <v>1976.4</v>
      </c>
      <c r="Z78" s="38">
        <v>31718156.579999998</v>
      </c>
      <c r="AA78" s="38">
        <v>615.6</v>
      </c>
      <c r="AB78" s="38">
        <v>9879425.8200000003</v>
      </c>
      <c r="AC78" s="38">
        <v>720</v>
      </c>
      <c r="AD78" s="38">
        <v>720</v>
      </c>
      <c r="AE78" s="33">
        <v>45323</v>
      </c>
      <c r="AF78" s="33"/>
      <c r="AG78" s="33"/>
      <c r="AH78" s="33">
        <v>45352</v>
      </c>
      <c r="AI78" s="33"/>
      <c r="AJ78" s="42"/>
      <c r="AK78" s="37" t="s">
        <v>323</v>
      </c>
      <c r="AL78" s="37" t="s">
        <v>1010</v>
      </c>
      <c r="AM78" s="37" t="s">
        <v>1011</v>
      </c>
      <c r="AN78" s="37" t="s">
        <v>174</v>
      </c>
      <c r="AO78" s="43">
        <v>0</v>
      </c>
      <c r="AP78" s="35">
        <v>100</v>
      </c>
      <c r="AQ78" s="35">
        <v>100</v>
      </c>
      <c r="AR78" s="49">
        <v>3.6</v>
      </c>
      <c r="AS78" s="37" t="s">
        <v>176</v>
      </c>
    </row>
    <row r="79" spans="1:45" ht="47.25" customHeight="1" x14ac:dyDescent="0.25">
      <c r="A79" s="46" t="s">
        <v>1012</v>
      </c>
      <c r="B79" s="42">
        <v>45268</v>
      </c>
      <c r="C79" s="37">
        <v>1416</v>
      </c>
      <c r="D79" s="36"/>
      <c r="E79" s="1" t="s">
        <v>1013</v>
      </c>
      <c r="F79" s="33"/>
      <c r="G79" s="35"/>
      <c r="H79" s="37"/>
      <c r="I79" s="37" t="s">
        <v>764</v>
      </c>
      <c r="J79" s="39">
        <v>2676317280</v>
      </c>
      <c r="K79" s="40">
        <v>100</v>
      </c>
      <c r="L79" s="41">
        <v>2676317280</v>
      </c>
      <c r="M79" s="38"/>
      <c r="N79" s="41">
        <v>2676317280</v>
      </c>
      <c r="O79" s="38">
        <v>0</v>
      </c>
      <c r="P79" s="27">
        <v>0</v>
      </c>
      <c r="Q79" s="27">
        <v>0</v>
      </c>
      <c r="R79" s="27" t="e">
        <v>#DIV/0!</v>
      </c>
      <c r="S79" s="38" t="e">
        <v>#DIV/0!</v>
      </c>
      <c r="T79" s="38" t="e">
        <v>#DIV/0!</v>
      </c>
      <c r="U79" s="38">
        <v>0</v>
      </c>
      <c r="V79" s="38">
        <v>0</v>
      </c>
      <c r="W79" s="38">
        <v>0</v>
      </c>
      <c r="X79" s="38">
        <v>0</v>
      </c>
      <c r="Y79" s="38"/>
      <c r="Z79" s="38" t="e">
        <v>#DIV/0!</v>
      </c>
      <c r="AA79" s="38"/>
      <c r="AB79" s="38" t="e">
        <v>#DIV/0!</v>
      </c>
      <c r="AC79" s="38" t="e">
        <v>#DIV/0!</v>
      </c>
      <c r="AD79" s="38" t="e">
        <v>#DIV/0!</v>
      </c>
      <c r="AE79" s="33">
        <v>45352</v>
      </c>
      <c r="AF79" s="33">
        <v>45504</v>
      </c>
      <c r="AG79" s="33">
        <v>45717</v>
      </c>
      <c r="AH79" s="33"/>
      <c r="AI79" s="33"/>
      <c r="AJ79" s="42"/>
      <c r="AK79" s="37"/>
      <c r="AL79" s="37"/>
      <c r="AM79" s="37"/>
      <c r="AN79" s="37"/>
      <c r="AO79" s="43"/>
      <c r="AP79" s="35"/>
      <c r="AQ79" s="35"/>
      <c r="AR79" s="44"/>
      <c r="AS79" s="37" t="s">
        <v>485</v>
      </c>
    </row>
    <row r="80" spans="1:45" ht="47.25" customHeight="1" x14ac:dyDescent="0.25">
      <c r="A80" s="46" t="s">
        <v>1014</v>
      </c>
      <c r="B80" s="42">
        <v>45268</v>
      </c>
      <c r="C80" s="37">
        <v>1416</v>
      </c>
      <c r="D80" s="36"/>
      <c r="E80" s="1" t="s">
        <v>1015</v>
      </c>
      <c r="F80" s="33"/>
      <c r="G80" s="35"/>
      <c r="H80" s="37"/>
      <c r="I80" s="37" t="s">
        <v>1016</v>
      </c>
      <c r="J80" s="39">
        <v>13163854000</v>
      </c>
      <c r="K80" s="40">
        <v>100</v>
      </c>
      <c r="L80" s="41">
        <v>13163854000</v>
      </c>
      <c r="M80" s="38"/>
      <c r="N80" s="41">
        <v>13163854000</v>
      </c>
      <c r="O80" s="38">
        <v>0</v>
      </c>
      <c r="P80" s="27">
        <v>0</v>
      </c>
      <c r="Q80" s="27">
        <v>0</v>
      </c>
      <c r="R80" s="27" t="e">
        <v>#DIV/0!</v>
      </c>
      <c r="S80" s="38" t="e">
        <v>#DIV/0!</v>
      </c>
      <c r="T80" s="38" t="e">
        <v>#DIV/0!</v>
      </c>
      <c r="U80" s="38">
        <v>0</v>
      </c>
      <c r="V80" s="38">
        <v>0</v>
      </c>
      <c r="W80" s="38">
        <v>0</v>
      </c>
      <c r="X80" s="38">
        <v>0</v>
      </c>
      <c r="Y80" s="38"/>
      <c r="Z80" s="38" t="e">
        <v>#DIV/0!</v>
      </c>
      <c r="AA80" s="38"/>
      <c r="AB80" s="38" t="e">
        <v>#DIV/0!</v>
      </c>
      <c r="AC80" s="38" t="e">
        <v>#DIV/0!</v>
      </c>
      <c r="AD80" s="38" t="e">
        <v>#DIV/0!</v>
      </c>
      <c r="AE80" s="33">
        <v>45352</v>
      </c>
      <c r="AF80" s="33">
        <v>45717</v>
      </c>
      <c r="AG80" s="33"/>
      <c r="AH80" s="33"/>
      <c r="AI80" s="33"/>
      <c r="AJ80" s="42"/>
      <c r="AK80" s="37"/>
      <c r="AL80" s="37"/>
      <c r="AM80" s="37"/>
      <c r="AN80" s="37"/>
      <c r="AO80" s="43"/>
      <c r="AP80" s="35"/>
      <c r="AQ80" s="35"/>
      <c r="AR80" s="44"/>
      <c r="AS80" s="37" t="s">
        <v>485</v>
      </c>
    </row>
    <row r="81" spans="1:45" ht="97.5" customHeight="1" x14ac:dyDescent="0.25">
      <c r="A81" s="46" t="s">
        <v>1017</v>
      </c>
      <c r="B81" s="42">
        <v>45271</v>
      </c>
      <c r="C81" s="37">
        <v>1416</v>
      </c>
      <c r="D81" s="36" t="s">
        <v>1018</v>
      </c>
      <c r="E81" s="1" t="s">
        <v>1019</v>
      </c>
      <c r="F81" s="33">
        <v>45307</v>
      </c>
      <c r="G81" s="35" t="s">
        <v>1020</v>
      </c>
      <c r="H81" s="37" t="s">
        <v>219</v>
      </c>
      <c r="I81" s="37" t="s">
        <v>1021</v>
      </c>
      <c r="J81" s="39">
        <v>522671220</v>
      </c>
      <c r="K81" s="40">
        <v>0</v>
      </c>
      <c r="L81" s="41">
        <v>0</v>
      </c>
      <c r="M81" s="39">
        <v>522671220</v>
      </c>
      <c r="N81" s="41">
        <v>0</v>
      </c>
      <c r="O81" s="39">
        <v>522671220</v>
      </c>
      <c r="P81" s="27">
        <v>522671220</v>
      </c>
      <c r="Q81" s="27">
        <v>522671220</v>
      </c>
      <c r="R81" s="27">
        <v>12.38</v>
      </c>
      <c r="S81" s="38">
        <v>12.38</v>
      </c>
      <c r="T81" s="38">
        <v>12380</v>
      </c>
      <c r="U81" s="38">
        <v>42219000</v>
      </c>
      <c r="V81" s="38">
        <v>42219000</v>
      </c>
      <c r="W81" s="38">
        <v>0</v>
      </c>
      <c r="X81" s="38">
        <v>0</v>
      </c>
      <c r="Y81" s="38">
        <v>1393000</v>
      </c>
      <c r="Z81" s="38">
        <v>17245340</v>
      </c>
      <c r="AA81" s="38">
        <v>40826000</v>
      </c>
      <c r="AB81" s="38">
        <v>505425880.00000006</v>
      </c>
      <c r="AC81" s="38">
        <v>42219</v>
      </c>
      <c r="AD81" s="38">
        <v>42219</v>
      </c>
      <c r="AE81" s="33">
        <v>45381</v>
      </c>
      <c r="AF81" s="33"/>
      <c r="AG81" s="33"/>
      <c r="AH81" s="33">
        <v>45413</v>
      </c>
      <c r="AI81" s="33"/>
      <c r="AJ81" s="42"/>
      <c r="AK81" s="37" t="s">
        <v>1022</v>
      </c>
      <c r="AL81" s="37" t="s">
        <v>1023</v>
      </c>
      <c r="AM81" s="37" t="s">
        <v>1024</v>
      </c>
      <c r="AN81" s="37" t="s">
        <v>50</v>
      </c>
      <c r="AO81" s="43">
        <v>100</v>
      </c>
      <c r="AP81" s="35">
        <v>0</v>
      </c>
      <c r="AQ81" s="35" t="s">
        <v>175</v>
      </c>
      <c r="AR81" s="44">
        <v>1000</v>
      </c>
      <c r="AS81" s="37" t="s">
        <v>52</v>
      </c>
    </row>
    <row r="82" spans="1:45" ht="78.75" customHeight="1" x14ac:dyDescent="0.25">
      <c r="A82" s="46" t="s">
        <v>1025</v>
      </c>
      <c r="B82" s="42">
        <v>45271</v>
      </c>
      <c r="C82" s="37">
        <v>1416</v>
      </c>
      <c r="D82" s="36" t="s">
        <v>1026</v>
      </c>
      <c r="E82" s="1" t="s">
        <v>1027</v>
      </c>
      <c r="F82" s="33">
        <v>45300</v>
      </c>
      <c r="G82" s="35" t="s">
        <v>1028</v>
      </c>
      <c r="H82" s="37" t="s">
        <v>291</v>
      </c>
      <c r="I82" s="37" t="s">
        <v>1029</v>
      </c>
      <c r="J82" s="39">
        <v>220214728.80000001</v>
      </c>
      <c r="K82" s="40">
        <v>0.50007063832690279</v>
      </c>
      <c r="L82" s="41">
        <v>1101229.2000000179</v>
      </c>
      <c r="M82" s="38">
        <v>219113499.59999999</v>
      </c>
      <c r="N82" s="41">
        <v>1101229.2000000179</v>
      </c>
      <c r="O82" s="38">
        <v>219113499.59999999</v>
      </c>
      <c r="P82" s="27">
        <v>219113499.59999999</v>
      </c>
      <c r="Q82" s="27">
        <v>219113499.59999999</v>
      </c>
      <c r="R82" s="27">
        <v>4084.89</v>
      </c>
      <c r="S82" s="38">
        <v>4084.89</v>
      </c>
      <c r="T82" s="38">
        <v>4084.89</v>
      </c>
      <c r="U82" s="38">
        <v>53640</v>
      </c>
      <c r="V82" s="38">
        <v>53640</v>
      </c>
      <c r="W82" s="38">
        <v>0</v>
      </c>
      <c r="X82" s="38">
        <v>0</v>
      </c>
      <c r="Y82" s="38">
        <v>0</v>
      </c>
      <c r="Z82" s="38">
        <v>0</v>
      </c>
      <c r="AA82" s="38">
        <v>53640</v>
      </c>
      <c r="AB82" s="38">
        <v>219113499.59999999</v>
      </c>
      <c r="AC82" s="38">
        <v>53640</v>
      </c>
      <c r="AD82" s="38">
        <v>53640</v>
      </c>
      <c r="AE82" s="33">
        <v>45352</v>
      </c>
      <c r="AF82" s="33"/>
      <c r="AG82" s="33"/>
      <c r="AH82" s="33">
        <v>45383</v>
      </c>
      <c r="AI82" s="33"/>
      <c r="AJ82" s="42"/>
      <c r="AK82" s="37" t="s">
        <v>1030</v>
      </c>
      <c r="AL82" s="37" t="s">
        <v>1031</v>
      </c>
      <c r="AM82" s="37" t="s">
        <v>1032</v>
      </c>
      <c r="AN82" s="37" t="s">
        <v>50</v>
      </c>
      <c r="AO82" s="43">
        <v>100</v>
      </c>
      <c r="AP82" s="35">
        <v>0</v>
      </c>
      <c r="AQ82" s="35" t="s">
        <v>441</v>
      </c>
      <c r="AR82" s="44">
        <v>1</v>
      </c>
      <c r="AS82" s="37" t="s">
        <v>176</v>
      </c>
    </row>
    <row r="83" spans="1:45" ht="108" customHeight="1" x14ac:dyDescent="0.25">
      <c r="A83" s="46" t="s">
        <v>1033</v>
      </c>
      <c r="B83" s="42">
        <v>45273</v>
      </c>
      <c r="C83" s="37">
        <v>1416</v>
      </c>
      <c r="D83" s="36" t="s">
        <v>1034</v>
      </c>
      <c r="E83" s="1" t="s">
        <v>1035</v>
      </c>
      <c r="F83" s="33">
        <v>45303</v>
      </c>
      <c r="G83" s="35" t="s">
        <v>1036</v>
      </c>
      <c r="H83" s="37" t="s">
        <v>219</v>
      </c>
      <c r="I83" s="37" t="s">
        <v>1037</v>
      </c>
      <c r="J83" s="39">
        <v>158125500</v>
      </c>
      <c r="K83" s="40">
        <v>0</v>
      </c>
      <c r="L83" s="41">
        <v>0</v>
      </c>
      <c r="M83" s="38">
        <v>158125500</v>
      </c>
      <c r="N83" s="41">
        <v>0</v>
      </c>
      <c r="O83" s="38">
        <v>158125500</v>
      </c>
      <c r="P83" s="27">
        <v>158125500</v>
      </c>
      <c r="Q83" s="27">
        <v>158125500</v>
      </c>
      <c r="R83" s="27">
        <v>11.05</v>
      </c>
      <c r="S83" s="38">
        <v>11.05</v>
      </c>
      <c r="T83" s="38">
        <v>22100</v>
      </c>
      <c r="U83" s="38">
        <v>14310000</v>
      </c>
      <c r="V83" s="38">
        <v>14310000</v>
      </c>
      <c r="W83" s="38">
        <v>0</v>
      </c>
      <c r="X83" s="38">
        <v>0</v>
      </c>
      <c r="Y83" s="38">
        <v>216000</v>
      </c>
      <c r="Z83" s="38">
        <v>2386800</v>
      </c>
      <c r="AA83" s="38">
        <v>14094000</v>
      </c>
      <c r="AB83" s="38">
        <v>155738700</v>
      </c>
      <c r="AC83" s="38">
        <v>7155</v>
      </c>
      <c r="AD83" s="38">
        <v>7155</v>
      </c>
      <c r="AE83" s="33">
        <v>45381</v>
      </c>
      <c r="AF83" s="33"/>
      <c r="AG83" s="33"/>
      <c r="AH83" s="33">
        <v>45413</v>
      </c>
      <c r="AI83" s="33"/>
      <c r="AJ83" s="42"/>
      <c r="AK83" s="37" t="s">
        <v>1038</v>
      </c>
      <c r="AL83" s="37" t="s">
        <v>1039</v>
      </c>
      <c r="AM83" s="37" t="s">
        <v>1040</v>
      </c>
      <c r="AN83" s="37" t="s">
        <v>50</v>
      </c>
      <c r="AO83" s="43">
        <v>100</v>
      </c>
      <c r="AP83" s="35">
        <v>0</v>
      </c>
      <c r="AQ83" s="35" t="s">
        <v>175</v>
      </c>
      <c r="AR83" s="44">
        <v>2000</v>
      </c>
      <c r="AS83" s="37" t="s">
        <v>176</v>
      </c>
    </row>
    <row r="84" spans="1:45" ht="105" x14ac:dyDescent="0.25">
      <c r="A84" s="46" t="s">
        <v>1041</v>
      </c>
      <c r="B84" s="42">
        <v>45273</v>
      </c>
      <c r="C84" s="37">
        <v>1416</v>
      </c>
      <c r="D84" s="36" t="s">
        <v>1042</v>
      </c>
      <c r="E84" s="1" t="s">
        <v>1043</v>
      </c>
      <c r="F84" s="33">
        <v>45300</v>
      </c>
      <c r="G84" s="35" t="s">
        <v>1044</v>
      </c>
      <c r="H84" s="37" t="s">
        <v>411</v>
      </c>
      <c r="I84" s="37" t="s">
        <v>1045</v>
      </c>
      <c r="J84" s="39">
        <v>206377759.94</v>
      </c>
      <c r="K84" s="40">
        <v>0</v>
      </c>
      <c r="L84" s="41">
        <v>0</v>
      </c>
      <c r="M84" s="38">
        <v>206377759.94</v>
      </c>
      <c r="N84" s="41">
        <v>0</v>
      </c>
      <c r="O84" s="38">
        <v>206377759.94</v>
      </c>
      <c r="P84" s="27">
        <v>206377759.94</v>
      </c>
      <c r="Q84" s="27">
        <v>206377759.94</v>
      </c>
      <c r="R84" s="27">
        <v>52768.54</v>
      </c>
      <c r="S84" s="38">
        <v>52768.54</v>
      </c>
      <c r="T84" s="38">
        <v>52768.54</v>
      </c>
      <c r="U84" s="38">
        <v>3911</v>
      </c>
      <c r="V84" s="38">
        <v>1326</v>
      </c>
      <c r="W84" s="38">
        <v>2585</v>
      </c>
      <c r="X84" s="38">
        <v>0</v>
      </c>
      <c r="Y84" s="38">
        <v>3464</v>
      </c>
      <c r="Z84" s="38">
        <v>182790222.56</v>
      </c>
      <c r="AA84" s="38">
        <v>447</v>
      </c>
      <c r="AB84" s="38">
        <v>23587537.379999999</v>
      </c>
      <c r="AC84" s="38">
        <v>3911</v>
      </c>
      <c r="AD84" s="38">
        <v>3911</v>
      </c>
      <c r="AE84" s="33">
        <v>45366</v>
      </c>
      <c r="AF84" s="33">
        <v>45413</v>
      </c>
      <c r="AG84" s="33"/>
      <c r="AH84" s="33">
        <v>45397</v>
      </c>
      <c r="AI84" s="33">
        <v>45458</v>
      </c>
      <c r="AJ84" s="42"/>
      <c r="AK84" s="37" t="s">
        <v>786</v>
      </c>
      <c r="AL84" s="37" t="s">
        <v>1046</v>
      </c>
      <c r="AM84" s="37" t="s">
        <v>788</v>
      </c>
      <c r="AN84" s="37" t="s">
        <v>326</v>
      </c>
      <c r="AO84" s="43">
        <v>0</v>
      </c>
      <c r="AP84" s="35">
        <v>100</v>
      </c>
      <c r="AQ84" s="35" t="s">
        <v>164</v>
      </c>
      <c r="AR84" s="44">
        <v>1</v>
      </c>
      <c r="AS84" s="37" t="s">
        <v>176</v>
      </c>
    </row>
    <row r="85" spans="1:45" ht="75.75" customHeight="1" x14ac:dyDescent="0.25">
      <c r="A85" s="46" t="s">
        <v>1063</v>
      </c>
      <c r="B85" s="42">
        <v>45273</v>
      </c>
      <c r="C85" s="37">
        <v>1416</v>
      </c>
      <c r="D85" s="36" t="s">
        <v>1064</v>
      </c>
      <c r="E85" s="1" t="s">
        <v>1065</v>
      </c>
      <c r="F85" s="33">
        <v>45310</v>
      </c>
      <c r="G85" s="35" t="s">
        <v>1066</v>
      </c>
      <c r="H85" s="37" t="s">
        <v>1067</v>
      </c>
      <c r="I85" s="37" t="s">
        <v>1068</v>
      </c>
      <c r="J85" s="39">
        <v>1174571925</v>
      </c>
      <c r="K85" s="40">
        <v>0</v>
      </c>
      <c r="L85" s="41">
        <v>0</v>
      </c>
      <c r="M85" s="38">
        <v>1174571925</v>
      </c>
      <c r="N85" s="41">
        <v>0</v>
      </c>
      <c r="O85" s="38">
        <v>1174571925</v>
      </c>
      <c r="P85" s="27">
        <v>1174571925</v>
      </c>
      <c r="Q85" s="27">
        <v>1174571925</v>
      </c>
      <c r="R85" s="27">
        <v>18607.080000000002</v>
      </c>
      <c r="S85" s="38">
        <v>18607.080000000002</v>
      </c>
      <c r="T85" s="38">
        <v>93035.400000000009</v>
      </c>
      <c r="U85" s="38">
        <v>63125</v>
      </c>
      <c r="V85" s="38">
        <v>20000</v>
      </c>
      <c r="W85" s="38">
        <v>43125</v>
      </c>
      <c r="X85" s="38">
        <v>0</v>
      </c>
      <c r="Y85" s="38">
        <v>35700</v>
      </c>
      <c r="Z85" s="38">
        <v>664272756.00000012</v>
      </c>
      <c r="AA85" s="38">
        <v>27425</v>
      </c>
      <c r="AB85" s="38">
        <v>510299169.00000006</v>
      </c>
      <c r="AC85" s="38">
        <v>12625</v>
      </c>
      <c r="AD85" s="38">
        <v>12625</v>
      </c>
      <c r="AE85" s="33">
        <v>45443</v>
      </c>
      <c r="AF85" s="33">
        <v>45596</v>
      </c>
      <c r="AG85" s="33"/>
      <c r="AH85" s="33">
        <v>45474</v>
      </c>
      <c r="AI85" s="33">
        <v>45627</v>
      </c>
      <c r="AJ85" s="42"/>
      <c r="AK85" s="37" t="s">
        <v>1069</v>
      </c>
      <c r="AL85" s="37" t="s">
        <v>1070</v>
      </c>
      <c r="AM85" s="37" t="s">
        <v>1071</v>
      </c>
      <c r="AN85" s="37" t="s">
        <v>174</v>
      </c>
      <c r="AO85" s="43">
        <v>0</v>
      </c>
      <c r="AP85" s="35">
        <v>100</v>
      </c>
      <c r="AQ85" s="35" t="s">
        <v>164</v>
      </c>
      <c r="AR85" s="44">
        <v>5</v>
      </c>
      <c r="AS85" s="37" t="s">
        <v>52</v>
      </c>
    </row>
    <row r="86" spans="1:45" ht="105" x14ac:dyDescent="0.25">
      <c r="A86" s="46" t="s">
        <v>1076</v>
      </c>
      <c r="B86" s="42">
        <v>45274</v>
      </c>
      <c r="C86" s="37">
        <v>1416</v>
      </c>
      <c r="D86" s="36" t="s">
        <v>485</v>
      </c>
      <c r="E86" s="1" t="s">
        <v>1077</v>
      </c>
      <c r="F86" s="33" t="s">
        <v>485</v>
      </c>
      <c r="G86" s="35" t="s">
        <v>485</v>
      </c>
      <c r="H86" s="37" t="s">
        <v>485</v>
      </c>
      <c r="I86" s="37" t="s">
        <v>1078</v>
      </c>
      <c r="J86" s="39">
        <v>1379400</v>
      </c>
      <c r="K86" s="40">
        <v>100</v>
      </c>
      <c r="L86" s="41">
        <v>1379400</v>
      </c>
      <c r="M86" s="38"/>
      <c r="N86" s="41">
        <v>1379400</v>
      </c>
      <c r="O86" s="38">
        <v>0</v>
      </c>
      <c r="P86" s="27">
        <v>0</v>
      </c>
      <c r="Q86" s="27">
        <v>0</v>
      </c>
      <c r="R86" s="27" t="e">
        <v>#DIV/0!</v>
      </c>
      <c r="S86" s="38" t="e">
        <v>#DIV/0!</v>
      </c>
      <c r="T86" s="38" t="e">
        <v>#DIV/0!</v>
      </c>
      <c r="U86" s="38">
        <v>0</v>
      </c>
      <c r="V86" s="38">
        <v>0</v>
      </c>
      <c r="W86" s="38">
        <v>0</v>
      </c>
      <c r="X86" s="38">
        <v>0</v>
      </c>
      <c r="Y86" s="38"/>
      <c r="Z86" s="38" t="e">
        <v>#DIV/0!</v>
      </c>
      <c r="AA86" s="38"/>
      <c r="AB86" s="38" t="e">
        <v>#DIV/0!</v>
      </c>
      <c r="AC86" s="38" t="e">
        <v>#DIV/0!</v>
      </c>
      <c r="AD86" s="38" t="e">
        <v>#DIV/0!</v>
      </c>
      <c r="AE86" s="33">
        <v>45352</v>
      </c>
      <c r="AF86" s="33"/>
      <c r="AG86" s="33"/>
      <c r="AH86" s="33"/>
      <c r="AI86" s="33"/>
      <c r="AJ86" s="42"/>
      <c r="AK86" s="37"/>
      <c r="AL86" s="37"/>
      <c r="AM86" s="37"/>
      <c r="AN86" s="37"/>
      <c r="AO86" s="43"/>
      <c r="AP86" s="35"/>
      <c r="AQ86" s="35"/>
      <c r="AR86" s="44"/>
      <c r="AS86" s="37" t="s">
        <v>485</v>
      </c>
    </row>
    <row r="87" spans="1:45" ht="94.5" customHeight="1" x14ac:dyDescent="0.25">
      <c r="A87" s="46" t="s">
        <v>1090</v>
      </c>
      <c r="B87" s="42">
        <v>45275</v>
      </c>
      <c r="C87" s="37">
        <v>1416</v>
      </c>
      <c r="D87" s="36" t="s">
        <v>1091</v>
      </c>
      <c r="E87" s="1" t="s">
        <v>1092</v>
      </c>
      <c r="F87" s="33">
        <v>45313</v>
      </c>
      <c r="G87" s="35" t="s">
        <v>1093</v>
      </c>
      <c r="H87" s="37" t="s">
        <v>169</v>
      </c>
      <c r="I87" s="37" t="s">
        <v>756</v>
      </c>
      <c r="J87" s="39">
        <v>421756960</v>
      </c>
      <c r="K87" s="40">
        <v>0</v>
      </c>
      <c r="L87" s="41">
        <v>0</v>
      </c>
      <c r="M87" s="38">
        <v>421756960</v>
      </c>
      <c r="N87" s="41">
        <v>210878480</v>
      </c>
      <c r="O87" s="38">
        <v>210878480</v>
      </c>
      <c r="P87" s="27">
        <v>210878480</v>
      </c>
      <c r="Q87" s="27">
        <v>421756960</v>
      </c>
      <c r="R87" s="27">
        <v>10.72</v>
      </c>
      <c r="S87" s="38">
        <v>10.72</v>
      </c>
      <c r="T87" s="38" t="e">
        <v>#VALUE!</v>
      </c>
      <c r="U87" s="38">
        <v>39343000</v>
      </c>
      <c r="V87" s="38">
        <v>9838000</v>
      </c>
      <c r="W87" s="38">
        <v>9833500</v>
      </c>
      <c r="X87" s="38">
        <v>0</v>
      </c>
      <c r="Y87" s="38">
        <v>12913000</v>
      </c>
      <c r="Z87" s="38">
        <v>138427360</v>
      </c>
      <c r="AA87" s="38">
        <v>6758500</v>
      </c>
      <c r="AB87" s="38">
        <v>72451120</v>
      </c>
      <c r="AC87" s="38" t="s">
        <v>1094</v>
      </c>
      <c r="AD87" s="39" t="s">
        <v>1095</v>
      </c>
      <c r="AE87" s="33">
        <v>45352</v>
      </c>
      <c r="AF87" s="33">
        <v>45504</v>
      </c>
      <c r="AG87" s="33">
        <v>45717</v>
      </c>
      <c r="AH87" s="33">
        <v>45383</v>
      </c>
      <c r="AI87" s="33">
        <v>45536</v>
      </c>
      <c r="AJ87" s="42">
        <v>45748</v>
      </c>
      <c r="AK87" s="37" t="s">
        <v>1096</v>
      </c>
      <c r="AL87" s="37" t="s">
        <v>1097</v>
      </c>
      <c r="AM87" s="37" t="s">
        <v>1098</v>
      </c>
      <c r="AN87" s="37" t="s">
        <v>1099</v>
      </c>
      <c r="AO87" s="43">
        <v>0</v>
      </c>
      <c r="AP87" s="35">
        <v>100</v>
      </c>
      <c r="AQ87" s="35" t="s">
        <v>175</v>
      </c>
      <c r="AR87" s="48" t="s">
        <v>1100</v>
      </c>
      <c r="AS87" s="37" t="s">
        <v>380</v>
      </c>
    </row>
    <row r="88" spans="1:45" ht="105" x14ac:dyDescent="0.25">
      <c r="A88" s="46" t="s">
        <v>1101</v>
      </c>
      <c r="B88" s="42">
        <v>45275</v>
      </c>
      <c r="C88" s="37">
        <v>1416</v>
      </c>
      <c r="D88" s="36" t="s">
        <v>1102</v>
      </c>
      <c r="E88" s="1" t="s">
        <v>1103</v>
      </c>
      <c r="F88" s="33">
        <v>45314</v>
      </c>
      <c r="G88" s="35" t="s">
        <v>1104</v>
      </c>
      <c r="H88" s="37" t="s">
        <v>411</v>
      </c>
      <c r="I88" s="37" t="s">
        <v>1105</v>
      </c>
      <c r="J88" s="39">
        <v>1696403023.9200001</v>
      </c>
      <c r="K88" s="40">
        <v>0</v>
      </c>
      <c r="L88" s="41">
        <v>0</v>
      </c>
      <c r="M88" s="38">
        <v>1696403023.9200001</v>
      </c>
      <c r="N88" s="41">
        <v>0</v>
      </c>
      <c r="O88" s="38">
        <v>1696403023.9200001</v>
      </c>
      <c r="P88" s="27">
        <v>1696403023.9200001</v>
      </c>
      <c r="Q88" s="27">
        <v>1696403023.9200001</v>
      </c>
      <c r="R88" s="27">
        <v>263842.7</v>
      </c>
      <c r="S88" s="38">
        <v>263842.7</v>
      </c>
      <c r="T88" s="38">
        <v>105537.08000000002</v>
      </c>
      <c r="U88" s="38">
        <v>6429.6</v>
      </c>
      <c r="V88" s="38">
        <v>1328.3999999999999</v>
      </c>
      <c r="W88" s="38">
        <v>5101.2000000000007</v>
      </c>
      <c r="X88" s="38">
        <v>0</v>
      </c>
      <c r="Y88" s="38">
        <v>5527.2000000000007</v>
      </c>
      <c r="Z88" s="38">
        <v>1458311371.4400003</v>
      </c>
      <c r="AA88" s="38">
        <v>902.40000000000009</v>
      </c>
      <c r="AB88" s="38">
        <v>238091652.48000005</v>
      </c>
      <c r="AC88" s="38">
        <v>16074</v>
      </c>
      <c r="AD88" s="38">
        <v>16074</v>
      </c>
      <c r="AE88" s="33">
        <v>45366</v>
      </c>
      <c r="AF88" s="33">
        <v>45412</v>
      </c>
      <c r="AG88" s="33"/>
      <c r="AH88" s="33">
        <v>45397</v>
      </c>
      <c r="AI88" s="33">
        <v>45444</v>
      </c>
      <c r="AJ88" s="42"/>
      <c r="AK88" s="37" t="s">
        <v>786</v>
      </c>
      <c r="AL88" s="37" t="s">
        <v>1106</v>
      </c>
      <c r="AM88" s="37" t="s">
        <v>788</v>
      </c>
      <c r="AN88" s="37" t="s">
        <v>326</v>
      </c>
      <c r="AO88" s="43">
        <v>0</v>
      </c>
      <c r="AP88" s="35">
        <v>100</v>
      </c>
      <c r="AQ88" s="35" t="s">
        <v>164</v>
      </c>
      <c r="AR88" s="49">
        <v>0.4</v>
      </c>
      <c r="AS88" s="37" t="s">
        <v>176</v>
      </c>
    </row>
    <row r="89" spans="1:45" ht="69" customHeight="1" x14ac:dyDescent="0.25">
      <c r="A89" s="46" t="s">
        <v>1107</v>
      </c>
      <c r="B89" s="42">
        <v>45275</v>
      </c>
      <c r="C89" s="37">
        <v>1416</v>
      </c>
      <c r="D89" s="36" t="s">
        <v>485</v>
      </c>
      <c r="E89" s="1" t="s">
        <v>1108</v>
      </c>
      <c r="F89" s="33" t="s">
        <v>485</v>
      </c>
      <c r="G89" s="35" t="s">
        <v>485</v>
      </c>
      <c r="H89" s="37" t="s">
        <v>485</v>
      </c>
      <c r="I89" s="37" t="s">
        <v>1109</v>
      </c>
      <c r="J89" s="39">
        <v>63181752.479999997</v>
      </c>
      <c r="K89" s="40">
        <v>100</v>
      </c>
      <c r="L89" s="41">
        <v>63181752.479999997</v>
      </c>
      <c r="M89" s="38"/>
      <c r="N89" s="41">
        <v>63181752.479999997</v>
      </c>
      <c r="O89" s="38">
        <v>0</v>
      </c>
      <c r="P89" s="27">
        <v>0</v>
      </c>
      <c r="Q89" s="27">
        <v>0</v>
      </c>
      <c r="R89" s="27" t="e">
        <v>#DIV/0!</v>
      </c>
      <c r="S89" s="38" t="e">
        <v>#DIV/0!</v>
      </c>
      <c r="T89" s="38" t="e">
        <v>#DIV/0!</v>
      </c>
      <c r="U89" s="38">
        <v>0</v>
      </c>
      <c r="V89" s="38">
        <v>0</v>
      </c>
      <c r="W89" s="38">
        <v>0</v>
      </c>
      <c r="X89" s="38">
        <v>0</v>
      </c>
      <c r="Y89" s="38"/>
      <c r="Z89" s="38" t="e">
        <v>#DIV/0!</v>
      </c>
      <c r="AA89" s="38"/>
      <c r="AB89" s="38" t="e">
        <v>#DIV/0!</v>
      </c>
      <c r="AC89" s="38" t="e">
        <v>#DIV/0!</v>
      </c>
      <c r="AD89" s="38" t="e">
        <v>#DIV/0!</v>
      </c>
      <c r="AE89" s="33">
        <v>45352</v>
      </c>
      <c r="AF89" s="33"/>
      <c r="AG89" s="33"/>
      <c r="AH89" s="33"/>
      <c r="AI89" s="33"/>
      <c r="AJ89" s="42"/>
      <c r="AK89" s="37"/>
      <c r="AL89" s="37"/>
      <c r="AM89" s="37"/>
      <c r="AN89" s="37"/>
      <c r="AO89" s="43"/>
      <c r="AP89" s="35"/>
      <c r="AQ89" s="35"/>
      <c r="AR89" s="44"/>
      <c r="AS89" s="37" t="s">
        <v>485</v>
      </c>
    </row>
    <row r="90" spans="1:45" ht="69.75" customHeight="1" x14ac:dyDescent="0.25">
      <c r="A90" s="46" t="s">
        <v>1110</v>
      </c>
      <c r="B90" s="42">
        <v>45275</v>
      </c>
      <c r="C90" s="37">
        <v>1416</v>
      </c>
      <c r="D90" s="36" t="s">
        <v>1111</v>
      </c>
      <c r="E90" s="1" t="s">
        <v>1112</v>
      </c>
      <c r="F90" s="33">
        <v>45313</v>
      </c>
      <c r="G90" s="35" t="s">
        <v>1113</v>
      </c>
      <c r="H90" s="37" t="s">
        <v>169</v>
      </c>
      <c r="I90" s="37" t="s">
        <v>1114</v>
      </c>
      <c r="J90" s="39">
        <v>360340176</v>
      </c>
      <c r="K90" s="40">
        <v>0</v>
      </c>
      <c r="L90" s="41">
        <v>0</v>
      </c>
      <c r="M90" s="38">
        <v>360340176</v>
      </c>
      <c r="N90" s="41">
        <v>0</v>
      </c>
      <c r="O90" s="38">
        <v>360340176</v>
      </c>
      <c r="P90" s="27">
        <v>360340176</v>
      </c>
      <c r="Q90" s="27">
        <v>360340176</v>
      </c>
      <c r="R90" s="27">
        <v>175.81</v>
      </c>
      <c r="S90" s="38">
        <v>175.81</v>
      </c>
      <c r="T90" s="38">
        <v>70324</v>
      </c>
      <c r="U90" s="38">
        <v>2049600</v>
      </c>
      <c r="V90" s="38">
        <v>2049600</v>
      </c>
      <c r="W90" s="38">
        <v>0</v>
      </c>
      <c r="X90" s="38">
        <v>0</v>
      </c>
      <c r="Y90" s="38">
        <v>1444800</v>
      </c>
      <c r="Z90" s="38">
        <v>254010288</v>
      </c>
      <c r="AA90" s="38">
        <v>604800</v>
      </c>
      <c r="AB90" s="38">
        <v>106329888</v>
      </c>
      <c r="AC90" s="38">
        <v>5124</v>
      </c>
      <c r="AD90" s="38">
        <v>5124</v>
      </c>
      <c r="AE90" s="33">
        <v>45352</v>
      </c>
      <c r="AF90" s="33"/>
      <c r="AG90" s="33"/>
      <c r="AH90" s="33">
        <v>45383</v>
      </c>
      <c r="AI90" s="33"/>
      <c r="AJ90" s="42"/>
      <c r="AK90" s="37" t="s">
        <v>1115</v>
      </c>
      <c r="AL90" s="37" t="s">
        <v>1116</v>
      </c>
      <c r="AM90" s="37" t="s">
        <v>1117</v>
      </c>
      <c r="AN90" s="37" t="s">
        <v>174</v>
      </c>
      <c r="AO90" s="43">
        <v>0</v>
      </c>
      <c r="AP90" s="35">
        <v>100</v>
      </c>
      <c r="AQ90" s="35" t="s">
        <v>1118</v>
      </c>
      <c r="AR90" s="44">
        <v>400</v>
      </c>
      <c r="AS90" s="37" t="s">
        <v>176</v>
      </c>
    </row>
    <row r="91" spans="1:45" ht="117.75" customHeight="1" x14ac:dyDescent="0.25">
      <c r="A91" s="46" t="s">
        <v>1119</v>
      </c>
      <c r="B91" s="42">
        <v>45278</v>
      </c>
      <c r="C91" s="37">
        <v>1416</v>
      </c>
      <c r="D91" s="36" t="s">
        <v>485</v>
      </c>
      <c r="E91" s="1" t="s">
        <v>1120</v>
      </c>
      <c r="F91" s="33" t="s">
        <v>485</v>
      </c>
      <c r="G91" s="35" t="s">
        <v>485</v>
      </c>
      <c r="H91" s="37" t="s">
        <v>485</v>
      </c>
      <c r="I91" s="37" t="s">
        <v>1121</v>
      </c>
      <c r="J91" s="39">
        <v>455563001.51999998</v>
      </c>
      <c r="K91" s="40">
        <v>100</v>
      </c>
      <c r="L91" s="41">
        <v>455563001.51999998</v>
      </c>
      <c r="M91" s="38"/>
      <c r="N91" s="41">
        <v>455563001.51999998</v>
      </c>
      <c r="O91" s="38">
        <v>0</v>
      </c>
      <c r="P91" s="27">
        <v>0</v>
      </c>
      <c r="Q91" s="27">
        <v>0</v>
      </c>
      <c r="R91" s="27" t="e">
        <v>#DIV/0!</v>
      </c>
      <c r="S91" s="38" t="e">
        <v>#DIV/0!</v>
      </c>
      <c r="T91" s="38" t="e">
        <v>#DIV/0!</v>
      </c>
      <c r="U91" s="38">
        <v>0</v>
      </c>
      <c r="V91" s="38">
        <v>0</v>
      </c>
      <c r="W91" s="38">
        <v>0</v>
      </c>
      <c r="X91" s="38">
        <v>0</v>
      </c>
      <c r="Y91" s="38"/>
      <c r="Z91" s="38" t="e">
        <v>#DIV/0!</v>
      </c>
      <c r="AA91" s="38"/>
      <c r="AB91" s="38" t="e">
        <v>#DIV/0!</v>
      </c>
      <c r="AC91" s="38" t="e">
        <v>#DIV/0!</v>
      </c>
      <c r="AD91" s="38" t="e">
        <v>#DIV/0!</v>
      </c>
      <c r="AE91" s="33">
        <v>45352</v>
      </c>
      <c r="AF91" s="33"/>
      <c r="AG91" s="33"/>
      <c r="AH91" s="33"/>
      <c r="AI91" s="33"/>
      <c r="AJ91" s="42"/>
      <c r="AK91" s="37"/>
      <c r="AL91" s="37"/>
      <c r="AM91" s="37"/>
      <c r="AN91" s="37"/>
      <c r="AO91" s="43"/>
      <c r="AP91" s="35"/>
      <c r="AQ91" s="35"/>
      <c r="AR91" s="44"/>
      <c r="AS91" s="37" t="s">
        <v>485</v>
      </c>
    </row>
    <row r="92" spans="1:45" ht="66" customHeight="1" x14ac:dyDescent="0.25">
      <c r="A92" s="46" t="s">
        <v>1130</v>
      </c>
      <c r="B92" s="42">
        <v>45280</v>
      </c>
      <c r="C92" s="37">
        <v>1416</v>
      </c>
      <c r="D92" s="36" t="s">
        <v>1131</v>
      </c>
      <c r="E92" s="1" t="s">
        <v>1132</v>
      </c>
      <c r="F92" s="33">
        <v>45314</v>
      </c>
      <c r="G92" s="35" t="s">
        <v>1133</v>
      </c>
      <c r="H92" s="37" t="s">
        <v>219</v>
      </c>
      <c r="I92" s="37" t="s">
        <v>1134</v>
      </c>
      <c r="J92" s="39">
        <v>466054680</v>
      </c>
      <c r="K92" s="40">
        <v>0</v>
      </c>
      <c r="L92" s="41">
        <v>0</v>
      </c>
      <c r="M92" s="38">
        <v>466054680</v>
      </c>
      <c r="N92" s="41">
        <v>0</v>
      </c>
      <c r="O92" s="38">
        <v>466054680</v>
      </c>
      <c r="P92" s="27">
        <v>466054680</v>
      </c>
      <c r="Q92" s="27">
        <v>466054680</v>
      </c>
      <c r="R92" s="27">
        <v>164.15</v>
      </c>
      <c r="S92" s="38">
        <v>164.15</v>
      </c>
      <c r="T92" s="38">
        <v>65660</v>
      </c>
      <c r="U92" s="38">
        <v>2839200</v>
      </c>
      <c r="V92" s="38">
        <v>2839200</v>
      </c>
      <c r="W92" s="38">
        <v>0</v>
      </c>
      <c r="X92" s="38">
        <v>0</v>
      </c>
      <c r="Y92" s="38">
        <v>1330000</v>
      </c>
      <c r="Z92" s="38">
        <v>218319500</v>
      </c>
      <c r="AA92" s="38">
        <v>1509200</v>
      </c>
      <c r="AB92" s="38">
        <v>247735180</v>
      </c>
      <c r="AC92" s="38">
        <v>7098</v>
      </c>
      <c r="AD92" s="38">
        <v>7098</v>
      </c>
      <c r="AE92" s="33">
        <v>45383</v>
      </c>
      <c r="AF92" s="33"/>
      <c r="AG92" s="33"/>
      <c r="AH92" s="33">
        <v>45413</v>
      </c>
      <c r="AI92" s="33"/>
      <c r="AJ92" s="42"/>
      <c r="AK92" s="37" t="s">
        <v>1135</v>
      </c>
      <c r="AL92" s="37" t="s">
        <v>1116</v>
      </c>
      <c r="AM92" s="37" t="s">
        <v>1136</v>
      </c>
      <c r="AN92" s="37" t="s">
        <v>50</v>
      </c>
      <c r="AO92" s="43">
        <v>100</v>
      </c>
      <c r="AP92" s="35">
        <v>0</v>
      </c>
      <c r="AQ92" s="35" t="s">
        <v>1118</v>
      </c>
      <c r="AR92" s="44">
        <v>400</v>
      </c>
      <c r="AS92" s="37" t="s">
        <v>52</v>
      </c>
    </row>
    <row r="93" spans="1:45" ht="66" customHeight="1" x14ac:dyDescent="0.25">
      <c r="A93" s="46" t="s">
        <v>1137</v>
      </c>
      <c r="B93" s="42">
        <v>45280</v>
      </c>
      <c r="C93" s="37">
        <v>1416</v>
      </c>
      <c r="D93" s="36" t="s">
        <v>1138</v>
      </c>
      <c r="E93" s="1" t="s">
        <v>1139</v>
      </c>
      <c r="F93" s="33">
        <v>45313</v>
      </c>
      <c r="G93" s="35" t="s">
        <v>1140</v>
      </c>
      <c r="H93" s="37" t="s">
        <v>556</v>
      </c>
      <c r="I93" s="37" t="s">
        <v>1141</v>
      </c>
      <c r="J93" s="39">
        <v>380020516</v>
      </c>
      <c r="K93" s="40">
        <v>0</v>
      </c>
      <c r="L93" s="41">
        <v>0</v>
      </c>
      <c r="M93" s="38">
        <v>380020516</v>
      </c>
      <c r="N93" s="41">
        <v>0</v>
      </c>
      <c r="O93" s="38">
        <v>380020516</v>
      </c>
      <c r="P93" s="27">
        <v>380020516</v>
      </c>
      <c r="Q93" s="27">
        <v>380020516</v>
      </c>
      <c r="R93" s="27">
        <v>7950.22</v>
      </c>
      <c r="S93" s="38">
        <v>7950.22</v>
      </c>
      <c r="T93" s="38">
        <v>39751.1</v>
      </c>
      <c r="U93" s="38">
        <v>47800</v>
      </c>
      <c r="V93" s="38">
        <v>47800</v>
      </c>
      <c r="W93" s="38">
        <v>0</v>
      </c>
      <c r="X93" s="38">
        <v>0</v>
      </c>
      <c r="Y93" s="38">
        <v>38160</v>
      </c>
      <c r="Z93" s="38">
        <v>303380395.19999999</v>
      </c>
      <c r="AA93" s="38">
        <v>9640</v>
      </c>
      <c r="AB93" s="38">
        <v>76640120.799999997</v>
      </c>
      <c r="AC93" s="38">
        <v>9560</v>
      </c>
      <c r="AD93" s="38">
        <v>9560</v>
      </c>
      <c r="AE93" s="33">
        <v>45352</v>
      </c>
      <c r="AF93" s="33"/>
      <c r="AG93" s="33"/>
      <c r="AH93" s="33">
        <v>45383</v>
      </c>
      <c r="AI93" s="33"/>
      <c r="AJ93" s="42"/>
      <c r="AK93" s="37" t="s">
        <v>1142</v>
      </c>
      <c r="AL93" s="37" t="s">
        <v>1143</v>
      </c>
      <c r="AM93" s="37" t="s">
        <v>1144</v>
      </c>
      <c r="AN93" s="37" t="s">
        <v>174</v>
      </c>
      <c r="AO93" s="43">
        <v>0</v>
      </c>
      <c r="AP93" s="35">
        <v>100</v>
      </c>
      <c r="AQ93" s="35" t="s">
        <v>164</v>
      </c>
      <c r="AR93" s="44">
        <v>5</v>
      </c>
      <c r="AS93" s="37" t="s">
        <v>176</v>
      </c>
    </row>
    <row r="94" spans="1:45" s="55" customFormat="1" ht="66" customHeight="1" x14ac:dyDescent="0.25">
      <c r="A94" s="46" t="s">
        <v>1145</v>
      </c>
      <c r="B94" s="42">
        <v>45280</v>
      </c>
      <c r="C94" s="37">
        <v>1416</v>
      </c>
      <c r="D94" s="36" t="s">
        <v>1146</v>
      </c>
      <c r="E94" s="1" t="s">
        <v>1147</v>
      </c>
      <c r="F94" s="33">
        <v>45313</v>
      </c>
      <c r="G94" s="35" t="s">
        <v>1148</v>
      </c>
      <c r="H94" s="37" t="s">
        <v>1149</v>
      </c>
      <c r="I94" s="37" t="s">
        <v>1150</v>
      </c>
      <c r="J94" s="39">
        <v>379881680.63999999</v>
      </c>
      <c r="K94" s="40">
        <v>0</v>
      </c>
      <c r="L94" s="41">
        <v>0</v>
      </c>
      <c r="M94" s="38">
        <v>379881680.63999999</v>
      </c>
      <c r="N94" s="41">
        <v>0</v>
      </c>
      <c r="O94" s="38">
        <v>379881680.63999999</v>
      </c>
      <c r="P94" s="27">
        <v>379881680.63999999</v>
      </c>
      <c r="Q94" s="27">
        <v>379881680.63999999</v>
      </c>
      <c r="R94" s="27">
        <v>13332.55</v>
      </c>
      <c r="S94" s="38">
        <v>13332.55</v>
      </c>
      <c r="T94" s="38">
        <v>63996.239999999991</v>
      </c>
      <c r="U94" s="38">
        <v>28492.799999999999</v>
      </c>
      <c r="V94" s="38">
        <v>28492.799999999999</v>
      </c>
      <c r="W94" s="38">
        <v>0</v>
      </c>
      <c r="X94" s="38">
        <v>0</v>
      </c>
      <c r="Y94" s="38">
        <v>17664</v>
      </c>
      <c r="Z94" s="38">
        <v>235506163.19999999</v>
      </c>
      <c r="AA94" s="38">
        <v>10828.8</v>
      </c>
      <c r="AB94" s="38">
        <v>144375517.43999997</v>
      </c>
      <c r="AC94" s="38">
        <v>5936</v>
      </c>
      <c r="AD94" s="38">
        <v>5936</v>
      </c>
      <c r="AE94" s="33">
        <v>45352</v>
      </c>
      <c r="AF94" s="33"/>
      <c r="AG94" s="33"/>
      <c r="AH94" s="33">
        <v>45383</v>
      </c>
      <c r="AI94" s="33"/>
      <c r="AJ94" s="42"/>
      <c r="AK94" s="37" t="s">
        <v>1151</v>
      </c>
      <c r="AL94" s="37" t="s">
        <v>1152</v>
      </c>
      <c r="AM94" s="37" t="s">
        <v>1153</v>
      </c>
      <c r="AN94" s="37" t="s">
        <v>336</v>
      </c>
      <c r="AO94" s="43">
        <v>0</v>
      </c>
      <c r="AP94" s="35">
        <v>100</v>
      </c>
      <c r="AQ94" s="35" t="s">
        <v>379</v>
      </c>
      <c r="AR94" s="49">
        <v>4.8</v>
      </c>
      <c r="AS94" s="37" t="s">
        <v>176</v>
      </c>
    </row>
    <row r="95" spans="1:45" s="55" customFormat="1" ht="66" customHeight="1" x14ac:dyDescent="0.25">
      <c r="A95" s="46" t="s">
        <v>1154</v>
      </c>
      <c r="B95" s="42">
        <v>45280</v>
      </c>
      <c r="C95" s="37">
        <v>1416</v>
      </c>
      <c r="D95" s="36" t="s">
        <v>1155</v>
      </c>
      <c r="E95" s="1" t="s">
        <v>1156</v>
      </c>
      <c r="F95" s="33">
        <v>45314</v>
      </c>
      <c r="G95" s="35" t="s">
        <v>1157</v>
      </c>
      <c r="H95" s="37" t="s">
        <v>219</v>
      </c>
      <c r="I95" s="37" t="s">
        <v>1158</v>
      </c>
      <c r="J95" s="39">
        <v>712501307.10000002</v>
      </c>
      <c r="K95" s="40">
        <v>0</v>
      </c>
      <c r="L95" s="41">
        <v>0</v>
      </c>
      <c r="M95" s="38">
        <v>712501307.10000002</v>
      </c>
      <c r="N95" s="41">
        <v>0</v>
      </c>
      <c r="O95" s="38">
        <v>712501307.10000002</v>
      </c>
      <c r="P95" s="27">
        <v>712501307.10000002</v>
      </c>
      <c r="Q95" s="27">
        <v>712501307.10000002</v>
      </c>
      <c r="R95" s="27">
        <v>401.58000000000004</v>
      </c>
      <c r="S95" s="38">
        <v>401.58000000000004</v>
      </c>
      <c r="T95" s="38">
        <v>6023.7000000000007</v>
      </c>
      <c r="U95" s="38">
        <v>1774245</v>
      </c>
      <c r="V95" s="38">
        <v>1125000</v>
      </c>
      <c r="W95" s="38">
        <v>649245</v>
      </c>
      <c r="X95" s="38">
        <v>0</v>
      </c>
      <c r="Y95" s="38">
        <v>1672950</v>
      </c>
      <c r="Z95" s="38">
        <v>671823261.00000012</v>
      </c>
      <c r="AA95" s="38">
        <v>101295</v>
      </c>
      <c r="AB95" s="38">
        <v>40678046.100000001</v>
      </c>
      <c r="AC95" s="38">
        <v>118283</v>
      </c>
      <c r="AD95" s="38">
        <v>118283</v>
      </c>
      <c r="AE95" s="33">
        <v>45352</v>
      </c>
      <c r="AF95" s="33">
        <v>45444</v>
      </c>
      <c r="AG95" s="33"/>
      <c r="AH95" s="33">
        <v>45383</v>
      </c>
      <c r="AI95" s="33">
        <v>45474</v>
      </c>
      <c r="AJ95" s="42"/>
      <c r="AK95" s="37" t="s">
        <v>1159</v>
      </c>
      <c r="AL95" s="37" t="s">
        <v>1160</v>
      </c>
      <c r="AM95" s="37" t="s">
        <v>1161</v>
      </c>
      <c r="AN95" s="37" t="s">
        <v>50</v>
      </c>
      <c r="AO95" s="43">
        <v>100</v>
      </c>
      <c r="AP95" s="35">
        <v>0</v>
      </c>
      <c r="AQ95" s="35" t="s">
        <v>164</v>
      </c>
      <c r="AR95" s="44">
        <v>15</v>
      </c>
      <c r="AS95" s="37" t="s">
        <v>380</v>
      </c>
    </row>
    <row r="96" spans="1:45" ht="66" customHeight="1" x14ac:dyDescent="0.25">
      <c r="A96" s="46" t="s">
        <v>1162</v>
      </c>
      <c r="B96" s="42">
        <v>45280</v>
      </c>
      <c r="C96" s="37">
        <v>1416</v>
      </c>
      <c r="D96" s="36" t="s">
        <v>1163</v>
      </c>
      <c r="E96" s="1" t="s">
        <v>1164</v>
      </c>
      <c r="F96" s="33">
        <v>45307</v>
      </c>
      <c r="G96" s="35" t="s">
        <v>1165</v>
      </c>
      <c r="H96" s="37" t="s">
        <v>1166</v>
      </c>
      <c r="I96" s="37" t="s">
        <v>1167</v>
      </c>
      <c r="J96" s="39">
        <v>27891956.399999999</v>
      </c>
      <c r="K96" s="40">
        <v>0.50089279502816453</v>
      </c>
      <c r="L96" s="41">
        <v>139708.79999999702</v>
      </c>
      <c r="M96" s="38">
        <v>27752247.600000001</v>
      </c>
      <c r="N96" s="41">
        <v>139708.79999999702</v>
      </c>
      <c r="O96" s="38">
        <v>27752247.600000001</v>
      </c>
      <c r="P96" s="27">
        <v>27752247.600000001</v>
      </c>
      <c r="Q96" s="27">
        <v>27752247.600000001</v>
      </c>
      <c r="R96" s="27">
        <v>429.07000000000005</v>
      </c>
      <c r="S96" s="38">
        <v>429.07000000000005</v>
      </c>
      <c r="T96" s="38">
        <v>8581.4000000000015</v>
      </c>
      <c r="U96" s="38">
        <v>64680</v>
      </c>
      <c r="V96" s="38">
        <v>64680</v>
      </c>
      <c r="W96" s="38">
        <v>0</v>
      </c>
      <c r="X96" s="38">
        <v>0</v>
      </c>
      <c r="Y96" s="38">
        <v>0</v>
      </c>
      <c r="Z96" s="38">
        <v>0</v>
      </c>
      <c r="AA96" s="38">
        <v>64680</v>
      </c>
      <c r="AB96" s="38">
        <v>27752247.600000001</v>
      </c>
      <c r="AC96" s="38">
        <v>3234</v>
      </c>
      <c r="AD96" s="38">
        <v>3234</v>
      </c>
      <c r="AE96" s="33">
        <v>45352</v>
      </c>
      <c r="AF96" s="33"/>
      <c r="AG96" s="33"/>
      <c r="AH96" s="33">
        <v>45383</v>
      </c>
      <c r="AI96" s="33"/>
      <c r="AJ96" s="42"/>
      <c r="AK96" s="37" t="s">
        <v>1168</v>
      </c>
      <c r="AL96" s="37" t="s">
        <v>1169</v>
      </c>
      <c r="AM96" s="37" t="s">
        <v>1170</v>
      </c>
      <c r="AN96" s="37" t="s">
        <v>50</v>
      </c>
      <c r="AO96" s="43">
        <v>100</v>
      </c>
      <c r="AP96" s="35">
        <v>0</v>
      </c>
      <c r="AQ96" s="35" t="s">
        <v>441</v>
      </c>
      <c r="AR96" s="44">
        <v>20</v>
      </c>
      <c r="AS96" s="37" t="s">
        <v>176</v>
      </c>
    </row>
    <row r="97" spans="1:45" ht="66" customHeight="1" x14ac:dyDescent="0.25">
      <c r="A97" s="46" t="s">
        <v>1171</v>
      </c>
      <c r="B97" s="42">
        <v>45280</v>
      </c>
      <c r="C97" s="37">
        <v>1416</v>
      </c>
      <c r="D97" s="36" t="s">
        <v>1172</v>
      </c>
      <c r="E97" s="1" t="s">
        <v>1173</v>
      </c>
      <c r="F97" s="33">
        <v>45314</v>
      </c>
      <c r="G97" s="35" t="s">
        <v>1174</v>
      </c>
      <c r="H97" s="37" t="s">
        <v>219</v>
      </c>
      <c r="I97" s="37" t="s">
        <v>1175</v>
      </c>
      <c r="J97" s="39">
        <v>371696160</v>
      </c>
      <c r="K97" s="40">
        <v>0</v>
      </c>
      <c r="L97" s="41">
        <v>0</v>
      </c>
      <c r="M97" s="38">
        <v>371696160</v>
      </c>
      <c r="N97" s="41">
        <v>0</v>
      </c>
      <c r="O97" s="38">
        <v>371696160</v>
      </c>
      <c r="P97" s="27">
        <v>371696160</v>
      </c>
      <c r="Q97" s="27">
        <v>371696160</v>
      </c>
      <c r="R97" s="27">
        <v>48.48</v>
      </c>
      <c r="S97" s="38">
        <v>48.48</v>
      </c>
      <c r="T97" s="38">
        <v>48480</v>
      </c>
      <c r="U97" s="38">
        <v>7667000</v>
      </c>
      <c r="V97" s="38">
        <v>7667000</v>
      </c>
      <c r="W97" s="38">
        <v>0</v>
      </c>
      <c r="X97" s="38">
        <v>0</v>
      </c>
      <c r="Y97" s="38">
        <v>6190000</v>
      </c>
      <c r="Z97" s="38">
        <v>300091200</v>
      </c>
      <c r="AA97" s="38">
        <v>1477000</v>
      </c>
      <c r="AB97" s="38">
        <v>71604960</v>
      </c>
      <c r="AC97" s="38">
        <v>7667</v>
      </c>
      <c r="AD97" s="38">
        <v>7667</v>
      </c>
      <c r="AE97" s="33">
        <v>45381</v>
      </c>
      <c r="AF97" s="33"/>
      <c r="AG97" s="33"/>
      <c r="AH97" s="33">
        <v>45413</v>
      </c>
      <c r="AI97" s="33"/>
      <c r="AJ97" s="42"/>
      <c r="AK97" s="37" t="s">
        <v>1176</v>
      </c>
      <c r="AL97" s="37" t="s">
        <v>1177</v>
      </c>
      <c r="AM97" s="37" t="s">
        <v>1178</v>
      </c>
      <c r="AN97" s="37" t="s">
        <v>828</v>
      </c>
      <c r="AO97" s="43">
        <v>0</v>
      </c>
      <c r="AP97" s="35">
        <v>100</v>
      </c>
      <c r="AQ97" s="35" t="s">
        <v>1118</v>
      </c>
      <c r="AR97" s="44">
        <v>1000</v>
      </c>
      <c r="AS97" s="37" t="s">
        <v>52</v>
      </c>
    </row>
    <row r="98" spans="1:45" ht="66" customHeight="1" x14ac:dyDescent="0.25">
      <c r="A98" s="46" t="s">
        <v>1179</v>
      </c>
      <c r="B98" s="42">
        <v>45280</v>
      </c>
      <c r="C98" s="37">
        <v>1416</v>
      </c>
      <c r="D98" s="36" t="s">
        <v>1180</v>
      </c>
      <c r="E98" s="1" t="s">
        <v>1181</v>
      </c>
      <c r="F98" s="33">
        <v>45303</v>
      </c>
      <c r="G98" s="35" t="s">
        <v>1182</v>
      </c>
      <c r="H98" s="37" t="s">
        <v>291</v>
      </c>
      <c r="I98" s="37" t="s">
        <v>1183</v>
      </c>
      <c r="J98" s="39">
        <v>1135795.5</v>
      </c>
      <c r="K98" s="40">
        <v>0</v>
      </c>
      <c r="L98" s="41">
        <v>0</v>
      </c>
      <c r="M98" s="38">
        <v>1135795.5</v>
      </c>
      <c r="N98" s="41">
        <v>0</v>
      </c>
      <c r="O98" s="38">
        <v>1135795.5</v>
      </c>
      <c r="P98" s="27">
        <v>1135795.5</v>
      </c>
      <c r="Q98" s="27">
        <v>1135795.5</v>
      </c>
      <c r="R98" s="27">
        <v>1802.85</v>
      </c>
      <c r="S98" s="38">
        <v>1802.85</v>
      </c>
      <c r="T98" s="38">
        <v>37859.85</v>
      </c>
      <c r="U98" s="38">
        <v>630</v>
      </c>
      <c r="V98" s="38">
        <v>630</v>
      </c>
      <c r="W98" s="38">
        <v>0</v>
      </c>
      <c r="X98" s="38">
        <v>0</v>
      </c>
      <c r="Y98" s="38">
        <v>0</v>
      </c>
      <c r="Z98" s="38">
        <v>0</v>
      </c>
      <c r="AA98" s="38">
        <v>630</v>
      </c>
      <c r="AB98" s="38">
        <v>1135795.5</v>
      </c>
      <c r="AC98" s="38">
        <v>30</v>
      </c>
      <c r="AD98" s="38">
        <v>30</v>
      </c>
      <c r="AE98" s="33">
        <v>45352</v>
      </c>
      <c r="AF98" s="33"/>
      <c r="AG98" s="33"/>
      <c r="AH98" s="33">
        <v>45383</v>
      </c>
      <c r="AI98" s="33"/>
      <c r="AJ98" s="42"/>
      <c r="AK98" s="37" t="s">
        <v>1184</v>
      </c>
      <c r="AL98" s="37" t="s">
        <v>1185</v>
      </c>
      <c r="AM98" s="37" t="s">
        <v>1186</v>
      </c>
      <c r="AN98" s="37" t="s">
        <v>50</v>
      </c>
      <c r="AO98" s="43">
        <v>100</v>
      </c>
      <c r="AP98" s="35">
        <v>0</v>
      </c>
      <c r="AQ98" s="35" t="s">
        <v>441</v>
      </c>
      <c r="AR98" s="44">
        <v>21</v>
      </c>
      <c r="AS98" s="37" t="s">
        <v>176</v>
      </c>
    </row>
    <row r="99" spans="1:45" ht="66" customHeight="1" x14ac:dyDescent="0.25">
      <c r="A99" s="46" t="s">
        <v>1187</v>
      </c>
      <c r="B99" s="42">
        <v>45280</v>
      </c>
      <c r="C99" s="37">
        <v>1416</v>
      </c>
      <c r="D99" s="36" t="s">
        <v>1188</v>
      </c>
      <c r="E99" s="1" t="s">
        <v>1189</v>
      </c>
      <c r="F99" s="33">
        <v>45308</v>
      </c>
      <c r="G99" s="35" t="s">
        <v>1190</v>
      </c>
      <c r="H99" s="37" t="s">
        <v>219</v>
      </c>
      <c r="I99" s="37" t="s">
        <v>1191</v>
      </c>
      <c r="J99" s="39">
        <v>20722240</v>
      </c>
      <c r="K99" s="40">
        <v>0</v>
      </c>
      <c r="L99" s="41">
        <v>0</v>
      </c>
      <c r="M99" s="38">
        <v>20722240</v>
      </c>
      <c r="N99" s="41">
        <v>0</v>
      </c>
      <c r="O99" s="38">
        <v>20722240</v>
      </c>
      <c r="P99" s="27">
        <v>20722240</v>
      </c>
      <c r="Q99" s="27">
        <v>20722240</v>
      </c>
      <c r="R99" s="27">
        <v>51.04</v>
      </c>
      <c r="S99" s="38">
        <v>51.04</v>
      </c>
      <c r="T99" s="38">
        <v>25520</v>
      </c>
      <c r="U99" s="38">
        <v>406000</v>
      </c>
      <c r="V99" s="38">
        <v>406000</v>
      </c>
      <c r="W99" s="38">
        <v>0</v>
      </c>
      <c r="X99" s="38">
        <v>0</v>
      </c>
      <c r="Y99" s="38">
        <v>406000</v>
      </c>
      <c r="Z99" s="38">
        <v>20722240</v>
      </c>
      <c r="AA99" s="38">
        <v>0</v>
      </c>
      <c r="AB99" s="38">
        <v>0</v>
      </c>
      <c r="AC99" s="38">
        <v>812</v>
      </c>
      <c r="AD99" s="38">
        <v>812</v>
      </c>
      <c r="AE99" s="33">
        <v>45381</v>
      </c>
      <c r="AF99" s="33"/>
      <c r="AG99" s="33"/>
      <c r="AH99" s="33">
        <v>45413</v>
      </c>
      <c r="AI99" s="33"/>
      <c r="AJ99" s="42"/>
      <c r="AK99" s="37" t="s">
        <v>1176</v>
      </c>
      <c r="AL99" s="37" t="s">
        <v>1192</v>
      </c>
      <c r="AM99" s="37" t="s">
        <v>1178</v>
      </c>
      <c r="AN99" s="37" t="s">
        <v>828</v>
      </c>
      <c r="AO99" s="43">
        <v>0</v>
      </c>
      <c r="AP99" s="35">
        <v>100</v>
      </c>
      <c r="AQ99" s="35" t="s">
        <v>1118</v>
      </c>
      <c r="AR99" s="44">
        <v>500</v>
      </c>
      <c r="AS99" s="37" t="s">
        <v>52</v>
      </c>
    </row>
    <row r="100" spans="1:45" ht="66" customHeight="1" x14ac:dyDescent="0.25">
      <c r="A100" s="46" t="s">
        <v>1193</v>
      </c>
      <c r="B100" s="42">
        <v>45280</v>
      </c>
      <c r="C100" s="37">
        <v>1416</v>
      </c>
      <c r="D100" s="36" t="s">
        <v>1194</v>
      </c>
      <c r="E100" s="1" t="s">
        <v>1195</v>
      </c>
      <c r="F100" s="33">
        <v>45314</v>
      </c>
      <c r="G100" s="35" t="s">
        <v>1196</v>
      </c>
      <c r="H100" s="37" t="s">
        <v>169</v>
      </c>
      <c r="I100" s="37" t="s">
        <v>720</v>
      </c>
      <c r="J100" s="39">
        <v>1441732800</v>
      </c>
      <c r="K100" s="40">
        <v>0</v>
      </c>
      <c r="L100" s="41">
        <v>0</v>
      </c>
      <c r="M100" s="38">
        <v>1441732800</v>
      </c>
      <c r="N100" s="41">
        <v>720866400</v>
      </c>
      <c r="O100" s="38">
        <v>720866400</v>
      </c>
      <c r="P100" s="27">
        <v>720866400</v>
      </c>
      <c r="Q100" s="27">
        <v>1441732800</v>
      </c>
      <c r="R100" s="27">
        <v>10.72</v>
      </c>
      <c r="S100" s="38">
        <v>10.72</v>
      </c>
      <c r="T100" s="38" t="e">
        <v>#VALUE!</v>
      </c>
      <c r="U100" s="38">
        <v>134490000</v>
      </c>
      <c r="V100" s="38">
        <v>46376000</v>
      </c>
      <c r="W100" s="38">
        <v>20869000</v>
      </c>
      <c r="X100" s="38">
        <v>0</v>
      </c>
      <c r="Y100" s="38">
        <v>20478000</v>
      </c>
      <c r="Z100" s="38">
        <v>219524160</v>
      </c>
      <c r="AA100" s="38">
        <v>46767000</v>
      </c>
      <c r="AB100" s="38">
        <v>501342240.00000006</v>
      </c>
      <c r="AC100" s="38" t="e">
        <v>#VALUE!</v>
      </c>
      <c r="AD100" s="38" t="e">
        <v>#VALUE!</v>
      </c>
      <c r="AE100" s="33">
        <v>45352</v>
      </c>
      <c r="AF100" s="33">
        <v>45565</v>
      </c>
      <c r="AG100" s="33" t="s">
        <v>1197</v>
      </c>
      <c r="AH100" s="33">
        <v>45383</v>
      </c>
      <c r="AI100" s="33">
        <v>45597</v>
      </c>
      <c r="AJ100" s="42" t="s">
        <v>1198</v>
      </c>
      <c r="AK100" s="37" t="s">
        <v>1199</v>
      </c>
      <c r="AL100" s="37" t="s">
        <v>1200</v>
      </c>
      <c r="AM100" s="37" t="s">
        <v>1201</v>
      </c>
      <c r="AN100" s="37" t="s">
        <v>1099</v>
      </c>
      <c r="AO100" s="43">
        <v>0</v>
      </c>
      <c r="AP100" s="35">
        <v>100</v>
      </c>
      <c r="AQ100" s="35" t="s">
        <v>175</v>
      </c>
      <c r="AR100" s="48" t="s">
        <v>1202</v>
      </c>
      <c r="AS100" s="37" t="s">
        <v>52</v>
      </c>
    </row>
    <row r="101" spans="1:45" ht="66" customHeight="1" x14ac:dyDescent="0.25">
      <c r="A101" s="46" t="s">
        <v>1203</v>
      </c>
      <c r="B101" s="42">
        <v>45280</v>
      </c>
      <c r="C101" s="37">
        <v>1416</v>
      </c>
      <c r="D101" s="36" t="s">
        <v>485</v>
      </c>
      <c r="E101" s="1" t="s">
        <v>1204</v>
      </c>
      <c r="F101" s="33" t="s">
        <v>485</v>
      </c>
      <c r="G101" s="35" t="s">
        <v>485</v>
      </c>
      <c r="H101" s="37" t="s">
        <v>485</v>
      </c>
      <c r="I101" s="37" t="s">
        <v>1205</v>
      </c>
      <c r="J101" s="39">
        <v>239282920</v>
      </c>
      <c r="K101" s="40">
        <v>100</v>
      </c>
      <c r="L101" s="41">
        <v>239282920</v>
      </c>
      <c r="M101" s="38"/>
      <c r="N101" s="41">
        <v>239282920</v>
      </c>
      <c r="O101" s="38">
        <v>0</v>
      </c>
      <c r="P101" s="27">
        <v>0</v>
      </c>
      <c r="Q101" s="27">
        <v>0</v>
      </c>
      <c r="R101" s="27" t="e">
        <v>#DIV/0!</v>
      </c>
      <c r="S101" s="38" t="e">
        <v>#DIV/0!</v>
      </c>
      <c r="T101" s="38" t="e">
        <v>#DIV/0!</v>
      </c>
      <c r="U101" s="38">
        <v>0</v>
      </c>
      <c r="V101" s="38">
        <v>0</v>
      </c>
      <c r="W101" s="38">
        <v>0</v>
      </c>
      <c r="X101" s="38">
        <v>0</v>
      </c>
      <c r="Y101" s="38"/>
      <c r="Z101" s="38" t="e">
        <v>#DIV/0!</v>
      </c>
      <c r="AA101" s="38"/>
      <c r="AB101" s="38" t="e">
        <v>#DIV/0!</v>
      </c>
      <c r="AC101" s="38" t="e">
        <v>#DIV/0!</v>
      </c>
      <c r="AD101" s="38" t="e">
        <v>#DIV/0!</v>
      </c>
      <c r="AE101" s="33">
        <v>45382</v>
      </c>
      <c r="AF101" s="33">
        <v>45483</v>
      </c>
      <c r="AG101" s="33"/>
      <c r="AH101" s="33"/>
      <c r="AI101" s="33"/>
      <c r="AJ101" s="42"/>
      <c r="AK101" s="37"/>
      <c r="AL101" s="37"/>
      <c r="AM101" s="37"/>
      <c r="AN101" s="37"/>
      <c r="AO101" s="43"/>
      <c r="AP101" s="35"/>
      <c r="AQ101" s="35"/>
      <c r="AR101" s="44"/>
      <c r="AS101" s="37" t="s">
        <v>52</v>
      </c>
    </row>
    <row r="102" spans="1:45" ht="66" customHeight="1" x14ac:dyDescent="0.25">
      <c r="A102" s="46" t="s">
        <v>1212</v>
      </c>
      <c r="B102" s="42">
        <v>45287</v>
      </c>
      <c r="C102" s="37">
        <v>1416</v>
      </c>
      <c r="D102" s="36" t="s">
        <v>1213</v>
      </c>
      <c r="E102" s="1" t="s">
        <v>1214</v>
      </c>
      <c r="F102" s="33">
        <v>45320</v>
      </c>
      <c r="G102" s="35" t="s">
        <v>1215</v>
      </c>
      <c r="H102" s="37" t="s">
        <v>1216</v>
      </c>
      <c r="I102" s="37" t="s">
        <v>1217</v>
      </c>
      <c r="J102" s="39">
        <v>346834734.83999997</v>
      </c>
      <c r="K102" s="40">
        <v>0</v>
      </c>
      <c r="L102" s="41">
        <v>0</v>
      </c>
      <c r="M102" s="38">
        <v>346834734.83999997</v>
      </c>
      <c r="N102" s="41">
        <v>0</v>
      </c>
      <c r="O102" s="38">
        <v>346834734.83999997</v>
      </c>
      <c r="P102" s="27">
        <v>346834734.83999997</v>
      </c>
      <c r="Q102" s="27">
        <v>346834734.83999997</v>
      </c>
      <c r="R102" s="27">
        <v>50773.64</v>
      </c>
      <c r="S102" s="38">
        <v>50773.64</v>
      </c>
      <c r="T102" s="38">
        <v>152320.91999999998</v>
      </c>
      <c r="U102" s="38">
        <v>6831</v>
      </c>
      <c r="V102" s="38">
        <v>6831</v>
      </c>
      <c r="W102" s="38">
        <v>0</v>
      </c>
      <c r="X102" s="38">
        <v>0</v>
      </c>
      <c r="Y102" s="38">
        <v>5037</v>
      </c>
      <c r="Z102" s="38">
        <v>255746824.68000001</v>
      </c>
      <c r="AA102" s="38">
        <v>1794</v>
      </c>
      <c r="AB102" s="38">
        <v>91087910.159999996</v>
      </c>
      <c r="AC102" s="38">
        <v>2277</v>
      </c>
      <c r="AD102" s="38">
        <v>2277</v>
      </c>
      <c r="AE102" s="33">
        <v>45352</v>
      </c>
      <c r="AF102" s="33"/>
      <c r="AG102" s="33"/>
      <c r="AH102" s="33">
        <v>45383</v>
      </c>
      <c r="AI102" s="33"/>
      <c r="AJ102" s="42"/>
      <c r="AK102" s="37" t="s">
        <v>1218</v>
      </c>
      <c r="AL102" s="37" t="s">
        <v>1219</v>
      </c>
      <c r="AM102" s="37" t="s">
        <v>1220</v>
      </c>
      <c r="AN102" s="37" t="s">
        <v>1221</v>
      </c>
      <c r="AO102" s="43">
        <v>0</v>
      </c>
      <c r="AP102" s="35">
        <v>100</v>
      </c>
      <c r="AQ102" s="35" t="s">
        <v>164</v>
      </c>
      <c r="AR102" s="44">
        <v>3</v>
      </c>
      <c r="AS102" s="37" t="s">
        <v>176</v>
      </c>
    </row>
    <row r="103" spans="1:45" ht="66" customHeight="1" x14ac:dyDescent="0.25">
      <c r="A103" s="46" t="s">
        <v>1222</v>
      </c>
      <c r="B103" s="42">
        <v>45287</v>
      </c>
      <c r="C103" s="37">
        <v>1416</v>
      </c>
      <c r="D103" s="36" t="s">
        <v>1223</v>
      </c>
      <c r="E103" s="1" t="s">
        <v>1224</v>
      </c>
      <c r="F103" s="33">
        <v>45317</v>
      </c>
      <c r="G103" s="35" t="s">
        <v>1225</v>
      </c>
      <c r="H103" s="37" t="s">
        <v>219</v>
      </c>
      <c r="I103" s="37" t="s">
        <v>1226</v>
      </c>
      <c r="J103" s="39">
        <v>966903210</v>
      </c>
      <c r="K103" s="40">
        <v>0</v>
      </c>
      <c r="L103" s="41">
        <v>0</v>
      </c>
      <c r="M103" s="38">
        <v>966903210</v>
      </c>
      <c r="N103" s="41">
        <v>0</v>
      </c>
      <c r="O103" s="38">
        <v>966903210</v>
      </c>
      <c r="P103" s="27">
        <v>966903210</v>
      </c>
      <c r="Q103" s="27">
        <v>966903210</v>
      </c>
      <c r="R103" s="27">
        <v>12.39</v>
      </c>
      <c r="S103" s="38">
        <v>12.39</v>
      </c>
      <c r="T103" s="38" t="e">
        <v>#VALUE!</v>
      </c>
      <c r="U103" s="38">
        <v>78039000</v>
      </c>
      <c r="V103" s="38">
        <v>40291000</v>
      </c>
      <c r="W103" s="38">
        <v>37748000</v>
      </c>
      <c r="X103" s="38">
        <v>0</v>
      </c>
      <c r="Y103" s="38">
        <v>47492000</v>
      </c>
      <c r="Z103" s="38">
        <v>588425880</v>
      </c>
      <c r="AA103" s="38">
        <v>30547000</v>
      </c>
      <c r="AB103" s="38">
        <v>378477330</v>
      </c>
      <c r="AC103" s="38" t="e">
        <v>#VALUE!</v>
      </c>
      <c r="AD103" s="38" t="e">
        <v>#VALUE!</v>
      </c>
      <c r="AE103" s="33">
        <v>45383</v>
      </c>
      <c r="AF103" s="33">
        <v>45432</v>
      </c>
      <c r="AG103" s="33"/>
      <c r="AH103" s="33">
        <v>45413</v>
      </c>
      <c r="AI103" s="33">
        <v>45463</v>
      </c>
      <c r="AJ103" s="42"/>
      <c r="AK103" s="37" t="s">
        <v>1227</v>
      </c>
      <c r="AL103" s="37" t="s">
        <v>1228</v>
      </c>
      <c r="AM103" s="37" t="s">
        <v>1229</v>
      </c>
      <c r="AN103" s="37" t="s">
        <v>1230</v>
      </c>
      <c r="AO103" s="43">
        <v>0</v>
      </c>
      <c r="AP103" s="35">
        <v>100</v>
      </c>
      <c r="AQ103" s="35" t="s">
        <v>175</v>
      </c>
      <c r="AR103" s="48" t="s">
        <v>1231</v>
      </c>
      <c r="AS103" s="37" t="s">
        <v>52</v>
      </c>
    </row>
    <row r="104" spans="1:45" ht="66" customHeight="1" x14ac:dyDescent="0.25">
      <c r="A104" s="46" t="s">
        <v>1232</v>
      </c>
      <c r="B104" s="42">
        <v>45287</v>
      </c>
      <c r="C104" s="37">
        <v>1416</v>
      </c>
      <c r="D104" s="36" t="s">
        <v>1233</v>
      </c>
      <c r="E104" s="1" t="s">
        <v>1234</v>
      </c>
      <c r="F104" s="33">
        <v>45320</v>
      </c>
      <c r="G104" s="35" t="s">
        <v>1235</v>
      </c>
      <c r="H104" s="54" t="s">
        <v>1236</v>
      </c>
      <c r="I104" s="37" t="s">
        <v>1237</v>
      </c>
      <c r="J104" s="39">
        <v>41849051.399999999</v>
      </c>
      <c r="K104" s="40">
        <v>2.5000000358430996</v>
      </c>
      <c r="L104" s="41">
        <v>1046226.299999997</v>
      </c>
      <c r="M104" s="38">
        <v>40802825.100000001</v>
      </c>
      <c r="N104" s="41">
        <v>8537716.1999999993</v>
      </c>
      <c r="O104" s="38">
        <v>33311335.199999999</v>
      </c>
      <c r="P104" s="27">
        <v>33311335.199999999</v>
      </c>
      <c r="Q104" s="27">
        <v>33311335.199999999</v>
      </c>
      <c r="R104" s="27">
        <v>44.44</v>
      </c>
      <c r="S104" s="38">
        <v>44.44</v>
      </c>
      <c r="T104" s="38">
        <v>2666.3999999999996</v>
      </c>
      <c r="U104" s="38">
        <v>749580</v>
      </c>
      <c r="V104" s="38">
        <v>216000</v>
      </c>
      <c r="W104" s="38">
        <v>533580</v>
      </c>
      <c r="X104" s="38">
        <v>0</v>
      </c>
      <c r="Y104" s="38">
        <v>72780</v>
      </c>
      <c r="Z104" s="38">
        <v>3234343.1999999997</v>
      </c>
      <c r="AA104" s="38">
        <v>676800</v>
      </c>
      <c r="AB104" s="38">
        <v>30076992</v>
      </c>
      <c r="AC104" s="38">
        <v>12493</v>
      </c>
      <c r="AD104" s="38">
        <v>12493</v>
      </c>
      <c r="AE104" s="33">
        <v>45352</v>
      </c>
      <c r="AF104" s="33">
        <v>45474</v>
      </c>
      <c r="AG104" s="33"/>
      <c r="AH104" s="33">
        <v>45383</v>
      </c>
      <c r="AI104" s="33">
        <v>45505</v>
      </c>
      <c r="AJ104" s="42"/>
      <c r="AK104" s="37" t="s">
        <v>1238</v>
      </c>
      <c r="AL104" s="37" t="s">
        <v>1239</v>
      </c>
      <c r="AM104" s="37" t="s">
        <v>1240</v>
      </c>
      <c r="AN104" s="37" t="s">
        <v>50</v>
      </c>
      <c r="AO104" s="43">
        <v>100</v>
      </c>
      <c r="AP104" s="35">
        <v>0</v>
      </c>
      <c r="AQ104" s="35" t="s">
        <v>441</v>
      </c>
      <c r="AR104" s="44">
        <v>60</v>
      </c>
      <c r="AS104" s="37" t="s">
        <v>52</v>
      </c>
    </row>
    <row r="105" spans="1:45" ht="66" customHeight="1" x14ac:dyDescent="0.25">
      <c r="A105" s="46" t="s">
        <v>1241</v>
      </c>
      <c r="B105" s="42">
        <v>45287</v>
      </c>
      <c r="C105" s="37">
        <v>1416</v>
      </c>
      <c r="D105" s="36" t="s">
        <v>1242</v>
      </c>
      <c r="E105" s="1" t="s">
        <v>1243</v>
      </c>
      <c r="F105" s="33">
        <v>45317</v>
      </c>
      <c r="G105" s="35" t="s">
        <v>1244</v>
      </c>
      <c r="H105" s="37" t="s">
        <v>219</v>
      </c>
      <c r="I105" s="37" t="s">
        <v>1245</v>
      </c>
      <c r="J105" s="39">
        <v>1312363937.5</v>
      </c>
      <c r="K105" s="40">
        <v>0</v>
      </c>
      <c r="L105" s="41">
        <v>0</v>
      </c>
      <c r="M105" s="38">
        <v>1312363937.5</v>
      </c>
      <c r="N105" s="41">
        <v>0</v>
      </c>
      <c r="O105" s="38">
        <v>1312363937.5</v>
      </c>
      <c r="P105" s="27">
        <v>1312363937.5</v>
      </c>
      <c r="Q105" s="27">
        <v>1312363937.5</v>
      </c>
      <c r="R105" s="27">
        <v>23003.75</v>
      </c>
      <c r="S105" s="38">
        <v>23003.75</v>
      </c>
      <c r="T105" s="38">
        <v>23003.75</v>
      </c>
      <c r="U105" s="38">
        <v>57050</v>
      </c>
      <c r="V105" s="38">
        <v>57050</v>
      </c>
      <c r="W105" s="38">
        <v>0</v>
      </c>
      <c r="X105" s="38">
        <v>0</v>
      </c>
      <c r="Y105" s="38">
        <v>310</v>
      </c>
      <c r="Z105" s="38">
        <v>7131162.5</v>
      </c>
      <c r="AA105" s="38">
        <v>56740</v>
      </c>
      <c r="AB105" s="38">
        <v>1305232775</v>
      </c>
      <c r="AC105" s="38">
        <v>57050</v>
      </c>
      <c r="AD105" s="38">
        <v>57050</v>
      </c>
      <c r="AE105" s="33">
        <v>45383</v>
      </c>
      <c r="AF105" s="33"/>
      <c r="AG105" s="33"/>
      <c r="AH105" s="33">
        <v>45413</v>
      </c>
      <c r="AI105" s="33"/>
      <c r="AJ105" s="42"/>
      <c r="AK105" s="37" t="s">
        <v>1246</v>
      </c>
      <c r="AL105" s="37" t="s">
        <v>1247</v>
      </c>
      <c r="AM105" s="37" t="s">
        <v>1248</v>
      </c>
      <c r="AN105" s="37" t="s">
        <v>174</v>
      </c>
      <c r="AO105" s="43">
        <v>0</v>
      </c>
      <c r="AP105" s="35">
        <v>100</v>
      </c>
      <c r="AQ105" s="35" t="s">
        <v>164</v>
      </c>
      <c r="AR105" s="44">
        <v>1</v>
      </c>
      <c r="AS105" s="37" t="s">
        <v>52</v>
      </c>
    </row>
    <row r="106" spans="1:45" ht="66" customHeight="1" x14ac:dyDescent="0.25">
      <c r="A106" s="46" t="s">
        <v>1249</v>
      </c>
      <c r="B106" s="42">
        <v>45287</v>
      </c>
      <c r="C106" s="37">
        <v>1416</v>
      </c>
      <c r="D106" s="36" t="s">
        <v>1250</v>
      </c>
      <c r="E106" s="1" t="s">
        <v>1251</v>
      </c>
      <c r="F106" s="33">
        <v>45317</v>
      </c>
      <c r="G106" s="35" t="s">
        <v>1252</v>
      </c>
      <c r="H106" s="37" t="s">
        <v>1253</v>
      </c>
      <c r="I106" s="37" t="s">
        <v>1254</v>
      </c>
      <c r="J106" s="39">
        <v>29904355.5</v>
      </c>
      <c r="K106" s="40">
        <v>0</v>
      </c>
      <c r="L106" s="41">
        <v>0</v>
      </c>
      <c r="M106" s="38">
        <v>29904355.5</v>
      </c>
      <c r="N106" s="41">
        <v>0</v>
      </c>
      <c r="O106" s="38">
        <v>29904355.5</v>
      </c>
      <c r="P106" s="27">
        <v>29904355.5</v>
      </c>
      <c r="Q106" s="27">
        <v>29904355.5</v>
      </c>
      <c r="R106" s="27">
        <v>15.69</v>
      </c>
      <c r="S106" s="38">
        <v>15.69</v>
      </c>
      <c r="T106" s="38" t="e">
        <v>#VALUE!</v>
      </c>
      <c r="U106" s="38">
        <v>1905950</v>
      </c>
      <c r="V106" s="38">
        <v>1905950</v>
      </c>
      <c r="W106" s="38">
        <v>0</v>
      </c>
      <c r="X106" s="38">
        <v>0</v>
      </c>
      <c r="Y106" s="38">
        <v>950150</v>
      </c>
      <c r="Z106" s="38">
        <v>14907853.5</v>
      </c>
      <c r="AA106" s="38">
        <v>955800</v>
      </c>
      <c r="AB106" s="38">
        <v>14996502</v>
      </c>
      <c r="AC106" s="38" t="e">
        <v>#VALUE!</v>
      </c>
      <c r="AD106" s="38" t="e">
        <v>#VALUE!</v>
      </c>
      <c r="AE106" s="33">
        <v>45352</v>
      </c>
      <c r="AF106" s="33"/>
      <c r="AG106" s="33"/>
      <c r="AH106" s="33">
        <v>45383</v>
      </c>
      <c r="AI106" s="33"/>
      <c r="AJ106" s="42"/>
      <c r="AK106" s="37" t="s">
        <v>1255</v>
      </c>
      <c r="AL106" s="37" t="s">
        <v>1256</v>
      </c>
      <c r="AM106" s="37" t="s">
        <v>1257</v>
      </c>
      <c r="AN106" s="37" t="s">
        <v>50</v>
      </c>
      <c r="AO106" s="43">
        <v>100</v>
      </c>
      <c r="AP106" s="35">
        <v>0</v>
      </c>
      <c r="AQ106" s="35" t="s">
        <v>441</v>
      </c>
      <c r="AR106" s="48" t="s">
        <v>1258</v>
      </c>
      <c r="AS106" s="37" t="s">
        <v>52</v>
      </c>
    </row>
    <row r="107" spans="1:45" ht="66" customHeight="1" x14ac:dyDescent="0.25">
      <c r="A107" s="46" t="s">
        <v>1264</v>
      </c>
      <c r="B107" s="42">
        <v>45287</v>
      </c>
      <c r="C107" s="37">
        <v>1416</v>
      </c>
      <c r="D107" s="36" t="s">
        <v>1265</v>
      </c>
      <c r="E107" s="1" t="s">
        <v>1266</v>
      </c>
      <c r="F107" s="33">
        <v>45320</v>
      </c>
      <c r="G107" s="35" t="s">
        <v>1267</v>
      </c>
      <c r="H107" s="37" t="s">
        <v>1268</v>
      </c>
      <c r="I107" s="37" t="s">
        <v>1269</v>
      </c>
      <c r="J107" s="39">
        <v>33513232.5</v>
      </c>
      <c r="K107" s="40">
        <v>0</v>
      </c>
      <c r="L107" s="41">
        <v>0</v>
      </c>
      <c r="M107" s="38">
        <v>33513232.5</v>
      </c>
      <c r="N107" s="41">
        <v>0</v>
      </c>
      <c r="O107" s="38">
        <v>33513232.5</v>
      </c>
      <c r="P107" s="27">
        <v>33513232.5</v>
      </c>
      <c r="Q107" s="27">
        <v>33513232.5</v>
      </c>
      <c r="R107" s="27">
        <v>22.11</v>
      </c>
      <c r="S107" s="38">
        <v>22.11</v>
      </c>
      <c r="T107" s="38" t="e">
        <v>#VALUE!</v>
      </c>
      <c r="U107" s="38">
        <v>1515750</v>
      </c>
      <c r="V107" s="38">
        <v>1515750</v>
      </c>
      <c r="W107" s="38">
        <v>0</v>
      </c>
      <c r="X107" s="38">
        <v>0</v>
      </c>
      <c r="Y107" s="38">
        <v>281500</v>
      </c>
      <c r="Z107" s="38">
        <v>6223965</v>
      </c>
      <c r="AA107" s="38">
        <v>1234250</v>
      </c>
      <c r="AB107" s="38">
        <v>27289267.5</v>
      </c>
      <c r="AC107" s="38" t="e">
        <v>#VALUE!</v>
      </c>
      <c r="AD107" s="38" t="e">
        <v>#VALUE!</v>
      </c>
      <c r="AE107" s="33">
        <v>45352</v>
      </c>
      <c r="AF107" s="33"/>
      <c r="AG107" s="33"/>
      <c r="AH107" s="33">
        <v>45383</v>
      </c>
      <c r="AI107" s="33"/>
      <c r="AJ107" s="42"/>
      <c r="AK107" s="37" t="s">
        <v>1270</v>
      </c>
      <c r="AL107" s="37" t="s">
        <v>1271</v>
      </c>
      <c r="AM107" s="37" t="s">
        <v>1272</v>
      </c>
      <c r="AN107" s="37" t="s">
        <v>50</v>
      </c>
      <c r="AO107" s="43">
        <v>100</v>
      </c>
      <c r="AP107" s="35">
        <v>0</v>
      </c>
      <c r="AQ107" s="35" t="s">
        <v>441</v>
      </c>
      <c r="AR107" s="48" t="s">
        <v>1258</v>
      </c>
      <c r="AS107" s="37" t="s">
        <v>52</v>
      </c>
    </row>
    <row r="108" spans="1:45" ht="66" customHeight="1" x14ac:dyDescent="0.25">
      <c r="A108" s="46" t="s">
        <v>1273</v>
      </c>
      <c r="B108" s="42">
        <v>45287</v>
      </c>
      <c r="C108" s="37">
        <v>1416</v>
      </c>
      <c r="D108" s="36" t="s">
        <v>1274</v>
      </c>
      <c r="E108" s="1" t="s">
        <v>1275</v>
      </c>
      <c r="F108" s="33">
        <v>45317</v>
      </c>
      <c r="G108" s="35" t="s">
        <v>1276</v>
      </c>
      <c r="H108" s="37" t="s">
        <v>219</v>
      </c>
      <c r="I108" s="37" t="s">
        <v>1277</v>
      </c>
      <c r="J108" s="39">
        <v>7338720.4000000004</v>
      </c>
      <c r="K108" s="40">
        <v>0</v>
      </c>
      <c r="L108" s="41">
        <v>0</v>
      </c>
      <c r="M108" s="38">
        <v>7338720.4000000004</v>
      </c>
      <c r="N108" s="41">
        <v>0</v>
      </c>
      <c r="O108" s="38">
        <v>7338720.4000000004</v>
      </c>
      <c r="P108" s="27">
        <v>7338720.4000000004</v>
      </c>
      <c r="Q108" s="27">
        <v>7338720.4000000004</v>
      </c>
      <c r="R108" s="27">
        <v>14446.300000000001</v>
      </c>
      <c r="S108" s="38">
        <v>14446.300000000001</v>
      </c>
      <c r="T108" s="38">
        <v>14446.300000000001</v>
      </c>
      <c r="U108" s="38">
        <v>508</v>
      </c>
      <c r="V108" s="38">
        <v>508</v>
      </c>
      <c r="W108" s="38">
        <v>0</v>
      </c>
      <c r="X108" s="38">
        <v>0</v>
      </c>
      <c r="Y108" s="38">
        <v>4</v>
      </c>
      <c r="Z108" s="38">
        <v>57785.200000000004</v>
      </c>
      <c r="AA108" s="38">
        <v>504</v>
      </c>
      <c r="AB108" s="38">
        <v>7280935.2000000002</v>
      </c>
      <c r="AC108" s="38">
        <v>508</v>
      </c>
      <c r="AD108" s="38">
        <v>508</v>
      </c>
      <c r="AE108" s="33">
        <v>45383</v>
      </c>
      <c r="AF108" s="33"/>
      <c r="AG108" s="33"/>
      <c r="AH108" s="33">
        <v>45413</v>
      </c>
      <c r="AI108" s="33"/>
      <c r="AJ108" s="42"/>
      <c r="AK108" s="37" t="s">
        <v>1246</v>
      </c>
      <c r="AL108" s="37" t="s">
        <v>1278</v>
      </c>
      <c r="AM108" s="37" t="s">
        <v>1248</v>
      </c>
      <c r="AN108" s="37" t="s">
        <v>174</v>
      </c>
      <c r="AO108" s="43">
        <v>0</v>
      </c>
      <c r="AP108" s="35">
        <v>100</v>
      </c>
      <c r="AQ108" s="35" t="s">
        <v>441</v>
      </c>
      <c r="AR108" s="44">
        <v>1</v>
      </c>
      <c r="AS108" s="37" t="s">
        <v>52</v>
      </c>
    </row>
    <row r="109" spans="1:45" ht="58.5" customHeight="1" x14ac:dyDescent="0.25">
      <c r="A109" s="46" t="s">
        <v>1279</v>
      </c>
      <c r="B109" s="42">
        <v>45287</v>
      </c>
      <c r="C109" s="37">
        <v>1416</v>
      </c>
      <c r="D109" s="36" t="s">
        <v>1280</v>
      </c>
      <c r="E109" s="1" t="s">
        <v>1281</v>
      </c>
      <c r="F109" s="33">
        <v>45320</v>
      </c>
      <c r="G109" s="35" t="s">
        <v>1282</v>
      </c>
      <c r="H109" s="37" t="s">
        <v>169</v>
      </c>
      <c r="I109" s="37" t="s">
        <v>1283</v>
      </c>
      <c r="J109" s="39">
        <v>28214993.25</v>
      </c>
      <c r="K109" s="40">
        <v>0</v>
      </c>
      <c r="L109" s="41">
        <v>0</v>
      </c>
      <c r="M109" s="38">
        <v>28214993.25</v>
      </c>
      <c r="N109" s="41">
        <v>0</v>
      </c>
      <c r="O109" s="38">
        <v>28214993.25</v>
      </c>
      <c r="P109" s="27">
        <v>28214993.25</v>
      </c>
      <c r="Q109" s="27">
        <v>28214993.25</v>
      </c>
      <c r="R109" s="27">
        <v>69666.649999999994</v>
      </c>
      <c r="S109" s="38">
        <v>69666.649999999994</v>
      </c>
      <c r="T109" s="38">
        <v>208999.94999999998</v>
      </c>
      <c r="U109" s="38">
        <v>405</v>
      </c>
      <c r="V109" s="38">
        <v>405</v>
      </c>
      <c r="W109" s="38">
        <v>0</v>
      </c>
      <c r="X109" s="38">
        <v>0</v>
      </c>
      <c r="Y109" s="38">
        <v>0</v>
      </c>
      <c r="Z109" s="38">
        <v>0</v>
      </c>
      <c r="AA109" s="38">
        <v>405</v>
      </c>
      <c r="AB109" s="38">
        <v>28214993.249999996</v>
      </c>
      <c r="AC109" s="38">
        <v>135</v>
      </c>
      <c r="AD109" s="38">
        <v>135</v>
      </c>
      <c r="AE109" s="33">
        <v>45352</v>
      </c>
      <c r="AF109" s="33"/>
      <c r="AG109" s="33"/>
      <c r="AH109" s="33">
        <v>45383</v>
      </c>
      <c r="AI109" s="33"/>
      <c r="AJ109" s="42"/>
      <c r="AK109" s="37" t="s">
        <v>1284</v>
      </c>
      <c r="AL109" s="37" t="s">
        <v>1285</v>
      </c>
      <c r="AM109" s="37" t="s">
        <v>1286</v>
      </c>
      <c r="AN109" s="37" t="s">
        <v>174</v>
      </c>
      <c r="AO109" s="43">
        <v>0</v>
      </c>
      <c r="AP109" s="35">
        <v>100</v>
      </c>
      <c r="AQ109" s="35" t="s">
        <v>441</v>
      </c>
      <c r="AR109" s="44">
        <v>3</v>
      </c>
      <c r="AS109" s="37" t="s">
        <v>176</v>
      </c>
    </row>
    <row r="110" spans="1:45" ht="58.5" customHeight="1" x14ac:dyDescent="0.25">
      <c r="A110" s="46" t="s">
        <v>1287</v>
      </c>
      <c r="B110" s="42">
        <v>45287</v>
      </c>
      <c r="C110" s="37">
        <v>1416</v>
      </c>
      <c r="D110" s="36" t="s">
        <v>485</v>
      </c>
      <c r="E110" s="1" t="s">
        <v>1288</v>
      </c>
      <c r="F110" s="33" t="s">
        <v>485</v>
      </c>
      <c r="G110" s="35" t="s">
        <v>485</v>
      </c>
      <c r="H110" s="37" t="s">
        <v>485</v>
      </c>
      <c r="I110" s="37" t="s">
        <v>1289</v>
      </c>
      <c r="J110" s="39">
        <v>5281557.5</v>
      </c>
      <c r="K110" s="40">
        <v>100</v>
      </c>
      <c r="L110" s="41">
        <v>5281557.5</v>
      </c>
      <c r="M110" s="38"/>
      <c r="N110" s="41">
        <v>5281557.5</v>
      </c>
      <c r="O110" s="38">
        <v>0</v>
      </c>
      <c r="P110" s="27">
        <v>0</v>
      </c>
      <c r="Q110" s="27">
        <v>0</v>
      </c>
      <c r="R110" s="27" t="e">
        <v>#DIV/0!</v>
      </c>
      <c r="S110" s="38" t="e">
        <v>#DIV/0!</v>
      </c>
      <c r="T110" s="38" t="e">
        <v>#DIV/0!</v>
      </c>
      <c r="U110" s="38">
        <v>0</v>
      </c>
      <c r="V110" s="38">
        <v>0</v>
      </c>
      <c r="W110" s="38">
        <v>0</v>
      </c>
      <c r="X110" s="38">
        <v>0</v>
      </c>
      <c r="Y110" s="38"/>
      <c r="Z110" s="38" t="e">
        <v>#DIV/0!</v>
      </c>
      <c r="AA110" s="38"/>
      <c r="AB110" s="38" t="e">
        <v>#DIV/0!</v>
      </c>
      <c r="AC110" s="38" t="e">
        <v>#DIV/0!</v>
      </c>
      <c r="AD110" s="38" t="e">
        <v>#DIV/0!</v>
      </c>
      <c r="AE110" s="33">
        <v>45352</v>
      </c>
      <c r="AF110" s="33"/>
      <c r="AG110" s="33"/>
      <c r="AH110" s="33"/>
      <c r="AI110" s="33"/>
      <c r="AJ110" s="42"/>
      <c r="AK110" s="37"/>
      <c r="AL110" s="37"/>
      <c r="AM110" s="37"/>
      <c r="AN110" s="37"/>
      <c r="AO110" s="43"/>
      <c r="AP110" s="35"/>
      <c r="AQ110" s="35"/>
      <c r="AR110" s="44"/>
      <c r="AS110" s="37" t="s">
        <v>485</v>
      </c>
    </row>
    <row r="111" spans="1:45" ht="58.5" customHeight="1" x14ac:dyDescent="0.25">
      <c r="A111" s="46" t="s">
        <v>1327</v>
      </c>
      <c r="B111" s="42">
        <v>45287</v>
      </c>
      <c r="C111" s="37">
        <v>1416</v>
      </c>
      <c r="D111" s="36" t="s">
        <v>1328</v>
      </c>
      <c r="E111" s="1" t="s">
        <v>1329</v>
      </c>
      <c r="F111" s="33">
        <v>45322</v>
      </c>
      <c r="G111" s="35" t="s">
        <v>1330</v>
      </c>
      <c r="H111" s="37" t="s">
        <v>219</v>
      </c>
      <c r="I111" s="37" t="s">
        <v>923</v>
      </c>
      <c r="J111" s="39">
        <v>51629211.270000003</v>
      </c>
      <c r="K111" s="40">
        <v>0</v>
      </c>
      <c r="L111" s="41">
        <v>0</v>
      </c>
      <c r="M111" s="38">
        <v>51629211.270000003</v>
      </c>
      <c r="N111" s="41">
        <v>0</v>
      </c>
      <c r="O111" s="39">
        <v>51629211.270000003</v>
      </c>
      <c r="P111" s="27">
        <v>51628919.939999998</v>
      </c>
      <c r="Q111" s="27">
        <v>51628919.939999998</v>
      </c>
      <c r="R111" s="27">
        <v>8860.9</v>
      </c>
      <c r="S111" s="38">
        <v>8860.9</v>
      </c>
      <c r="T111" s="38">
        <v>103672.52999999998</v>
      </c>
      <c r="U111" s="38">
        <v>5826.6</v>
      </c>
      <c r="V111" s="38">
        <v>5826.6</v>
      </c>
      <c r="W111" s="38">
        <v>0</v>
      </c>
      <c r="X111" s="38">
        <v>0</v>
      </c>
      <c r="Y111" s="38">
        <v>0</v>
      </c>
      <c r="Z111" s="38">
        <v>0</v>
      </c>
      <c r="AA111" s="38">
        <v>5826.6</v>
      </c>
      <c r="AB111" s="38">
        <v>51628919.939999998</v>
      </c>
      <c r="AC111" s="38">
        <v>498.00000000000006</v>
      </c>
      <c r="AD111" s="38">
        <v>498</v>
      </c>
      <c r="AE111" s="33">
        <v>45412</v>
      </c>
      <c r="AF111" s="33"/>
      <c r="AG111" s="33"/>
      <c r="AH111" s="33">
        <v>45444</v>
      </c>
      <c r="AI111" s="33"/>
      <c r="AJ111" s="42"/>
      <c r="AK111" s="37" t="s">
        <v>1331</v>
      </c>
      <c r="AL111" s="37" t="s">
        <v>1332</v>
      </c>
      <c r="AM111" s="37" t="s">
        <v>1333</v>
      </c>
      <c r="AN111" s="37" t="s">
        <v>352</v>
      </c>
      <c r="AO111" s="43">
        <v>0</v>
      </c>
      <c r="AP111" s="35">
        <v>100</v>
      </c>
      <c r="AQ111" s="35" t="s">
        <v>164</v>
      </c>
      <c r="AR111" s="49">
        <v>11.7</v>
      </c>
      <c r="AS111" s="37" t="s">
        <v>52</v>
      </c>
    </row>
    <row r="112" spans="1:45" ht="58.5" customHeight="1" x14ac:dyDescent="0.25">
      <c r="A112" s="46" t="s">
        <v>1334</v>
      </c>
      <c r="B112" s="42">
        <v>45287</v>
      </c>
      <c r="C112" s="37">
        <v>1416</v>
      </c>
      <c r="D112" s="36" t="s">
        <v>1335</v>
      </c>
      <c r="E112" s="1" t="s">
        <v>1336</v>
      </c>
      <c r="F112" s="33">
        <v>45320</v>
      </c>
      <c r="G112" s="35" t="s">
        <v>1337</v>
      </c>
      <c r="H112" s="37" t="s">
        <v>169</v>
      </c>
      <c r="I112" s="37" t="s">
        <v>1338</v>
      </c>
      <c r="J112" s="39">
        <v>785003812.20000005</v>
      </c>
      <c r="K112" s="40">
        <v>0</v>
      </c>
      <c r="L112" s="41">
        <v>0</v>
      </c>
      <c r="M112" s="38">
        <v>785003812.20000005</v>
      </c>
      <c r="N112" s="41">
        <v>0</v>
      </c>
      <c r="O112" s="38">
        <v>785003812.20000005</v>
      </c>
      <c r="P112" s="27">
        <v>785003812.20000005</v>
      </c>
      <c r="Q112" s="27">
        <v>785003812.20000005</v>
      </c>
      <c r="R112" s="27">
        <v>69666.650000000009</v>
      </c>
      <c r="S112" s="38">
        <v>69666.650000000009</v>
      </c>
      <c r="T112" s="38">
        <v>208999.95</v>
      </c>
      <c r="U112" s="38">
        <v>11268</v>
      </c>
      <c r="V112" s="38">
        <v>11268</v>
      </c>
      <c r="W112" s="38">
        <v>0</v>
      </c>
      <c r="X112" s="38">
        <v>0</v>
      </c>
      <c r="Y112" s="38">
        <v>0</v>
      </c>
      <c r="Z112" s="38">
        <v>0</v>
      </c>
      <c r="AA112" s="38">
        <v>11268</v>
      </c>
      <c r="AB112" s="38">
        <v>785003812.20000005</v>
      </c>
      <c r="AC112" s="38">
        <v>3756</v>
      </c>
      <c r="AD112" s="38">
        <v>3756</v>
      </c>
      <c r="AE112" s="33">
        <v>45352</v>
      </c>
      <c r="AF112" s="33"/>
      <c r="AG112" s="33"/>
      <c r="AH112" s="33">
        <v>45383</v>
      </c>
      <c r="AI112" s="33"/>
      <c r="AJ112" s="42"/>
      <c r="AK112" s="37" t="s">
        <v>1284</v>
      </c>
      <c r="AL112" s="37" t="s">
        <v>1339</v>
      </c>
      <c r="AM112" s="37" t="s">
        <v>1340</v>
      </c>
      <c r="AN112" s="37" t="s">
        <v>50</v>
      </c>
      <c r="AO112" s="43">
        <v>100</v>
      </c>
      <c r="AP112" s="35">
        <v>0</v>
      </c>
      <c r="AQ112" s="35" t="s">
        <v>441</v>
      </c>
      <c r="AR112" s="44">
        <v>3</v>
      </c>
      <c r="AS112" s="37" t="s">
        <v>176</v>
      </c>
    </row>
    <row r="113" spans="1:45" ht="58.5" customHeight="1" x14ac:dyDescent="0.25">
      <c r="A113" s="46" t="s">
        <v>1378</v>
      </c>
      <c r="B113" s="42">
        <v>45288</v>
      </c>
      <c r="C113" s="37">
        <v>1416</v>
      </c>
      <c r="D113" s="36" t="s">
        <v>1379</v>
      </c>
      <c r="E113" s="1" t="s">
        <v>1380</v>
      </c>
      <c r="F113" s="33">
        <v>45320</v>
      </c>
      <c r="G113" s="35" t="s">
        <v>1381</v>
      </c>
      <c r="H113" s="37" t="s">
        <v>291</v>
      </c>
      <c r="I113" s="37" t="s">
        <v>1382</v>
      </c>
      <c r="J113" s="39">
        <v>86594317.5</v>
      </c>
      <c r="K113" s="40">
        <v>0.50385604113110882</v>
      </c>
      <c r="L113" s="41">
        <v>436310.70000000298</v>
      </c>
      <c r="M113" s="38">
        <v>86158006.799999997</v>
      </c>
      <c r="N113" s="41">
        <v>436310.70000000298</v>
      </c>
      <c r="O113" s="38">
        <v>86158006.799999997</v>
      </c>
      <c r="P113" s="27">
        <v>86523759.599999994</v>
      </c>
      <c r="Q113" s="27">
        <v>86523759.599999994</v>
      </c>
      <c r="R113" s="27">
        <v>96.759999999999991</v>
      </c>
      <c r="S113" s="38">
        <v>96.759999999999991</v>
      </c>
      <c r="T113" s="38">
        <v>2902.7999999999997</v>
      </c>
      <c r="U113" s="38">
        <v>894210</v>
      </c>
      <c r="V113" s="38">
        <v>894210</v>
      </c>
      <c r="W113" s="38">
        <v>0</v>
      </c>
      <c r="X113" s="38">
        <v>0</v>
      </c>
      <c r="Y113" s="38">
        <v>7260</v>
      </c>
      <c r="Z113" s="38">
        <v>702477.6</v>
      </c>
      <c r="AA113" s="38">
        <v>886950</v>
      </c>
      <c r="AB113" s="38">
        <v>85821281.999999985</v>
      </c>
      <c r="AC113" s="38">
        <v>29807</v>
      </c>
      <c r="AD113" s="38">
        <v>29807</v>
      </c>
      <c r="AE113" s="33">
        <v>45366</v>
      </c>
      <c r="AF113" s="33"/>
      <c r="AG113" s="33"/>
      <c r="AH113" s="33">
        <v>45397</v>
      </c>
      <c r="AI113" s="33"/>
      <c r="AJ113" s="42"/>
      <c r="AK113" s="37" t="s">
        <v>1383</v>
      </c>
      <c r="AL113" s="37" t="s">
        <v>1384</v>
      </c>
      <c r="AM113" s="37" t="s">
        <v>1385</v>
      </c>
      <c r="AN113" s="37" t="s">
        <v>50</v>
      </c>
      <c r="AO113" s="43">
        <v>100</v>
      </c>
      <c r="AP113" s="35">
        <v>0</v>
      </c>
      <c r="AQ113" s="35" t="s">
        <v>441</v>
      </c>
      <c r="AR113" s="44">
        <v>30</v>
      </c>
      <c r="AS113" s="37" t="s">
        <v>52</v>
      </c>
    </row>
    <row r="114" spans="1:45" ht="58.5" customHeight="1" x14ac:dyDescent="0.25">
      <c r="A114" s="46" t="s">
        <v>1386</v>
      </c>
      <c r="B114" s="42">
        <v>45288</v>
      </c>
      <c r="C114" s="37">
        <v>1416</v>
      </c>
      <c r="D114" s="36" t="s">
        <v>1387</v>
      </c>
      <c r="E114" s="1" t="s">
        <v>1388</v>
      </c>
      <c r="F114" s="33">
        <v>45320</v>
      </c>
      <c r="G114" s="35" t="s">
        <v>1389</v>
      </c>
      <c r="H114" s="37" t="s">
        <v>291</v>
      </c>
      <c r="I114" s="37" t="s">
        <v>1390</v>
      </c>
      <c r="J114" s="39">
        <v>240339922.80000001</v>
      </c>
      <c r="K114" s="40">
        <v>0</v>
      </c>
      <c r="L114" s="41">
        <v>0</v>
      </c>
      <c r="M114" s="38">
        <v>240339922.80000001</v>
      </c>
      <c r="N114" s="41">
        <v>0</v>
      </c>
      <c r="O114" s="38">
        <v>240339922.80000001</v>
      </c>
      <c r="P114" s="27">
        <v>240339922.80000001</v>
      </c>
      <c r="Q114" s="27">
        <v>240339922.80000001</v>
      </c>
      <c r="R114" s="27">
        <v>60.78</v>
      </c>
      <c r="S114" s="38">
        <v>60.78</v>
      </c>
      <c r="T114" s="38">
        <v>7293.6</v>
      </c>
      <c r="U114" s="38">
        <v>3954260</v>
      </c>
      <c r="V114" s="38">
        <v>3954260</v>
      </c>
      <c r="W114" s="38">
        <v>0</v>
      </c>
      <c r="X114" s="38">
        <v>0</v>
      </c>
      <c r="Y114" s="38">
        <v>147570</v>
      </c>
      <c r="Z114" s="38">
        <v>8969304.5999999996</v>
      </c>
      <c r="AA114" s="38">
        <v>3806690</v>
      </c>
      <c r="AB114" s="38">
        <v>231370618.20000002</v>
      </c>
      <c r="AC114" s="38">
        <v>32952.166666666664</v>
      </c>
      <c r="AD114" s="38">
        <v>32953</v>
      </c>
      <c r="AE114" s="33">
        <v>45352</v>
      </c>
      <c r="AF114" s="33"/>
      <c r="AG114" s="33"/>
      <c r="AH114" s="33">
        <v>45383</v>
      </c>
      <c r="AI114" s="33"/>
      <c r="AJ114" s="42"/>
      <c r="AK114" s="37" t="s">
        <v>1391</v>
      </c>
      <c r="AL114" s="37" t="s">
        <v>1392</v>
      </c>
      <c r="AM114" s="37" t="s">
        <v>1393</v>
      </c>
      <c r="AN114" s="37" t="s">
        <v>50</v>
      </c>
      <c r="AO114" s="43">
        <v>100</v>
      </c>
      <c r="AP114" s="35">
        <v>0</v>
      </c>
      <c r="AQ114" s="35" t="s">
        <v>441</v>
      </c>
      <c r="AR114" s="44">
        <v>120</v>
      </c>
      <c r="AS114" s="37" t="s">
        <v>52</v>
      </c>
    </row>
    <row r="115" spans="1:45" ht="58.5" customHeight="1" x14ac:dyDescent="0.25">
      <c r="A115" s="46" t="s">
        <v>1394</v>
      </c>
      <c r="B115" s="42">
        <v>45288</v>
      </c>
      <c r="C115" s="37">
        <v>1416</v>
      </c>
      <c r="D115" s="36" t="s">
        <v>485</v>
      </c>
      <c r="E115" s="1" t="s">
        <v>1395</v>
      </c>
      <c r="F115" s="33" t="s">
        <v>485</v>
      </c>
      <c r="G115" s="35" t="s">
        <v>485</v>
      </c>
      <c r="H115" s="37" t="s">
        <v>485</v>
      </c>
      <c r="I115" s="37" t="s">
        <v>1396</v>
      </c>
      <c r="J115" s="39">
        <v>148558611.59999999</v>
      </c>
      <c r="K115" s="40">
        <v>100</v>
      </c>
      <c r="L115" s="41">
        <v>148558611.59999999</v>
      </c>
      <c r="M115" s="38"/>
      <c r="N115" s="41">
        <v>148558611.59999999</v>
      </c>
      <c r="O115" s="38">
        <v>0</v>
      </c>
      <c r="P115" s="27">
        <v>0</v>
      </c>
      <c r="Q115" s="27">
        <v>0</v>
      </c>
      <c r="R115" s="27" t="e">
        <v>#DIV/0!</v>
      </c>
      <c r="S115" s="38" t="e">
        <v>#DIV/0!</v>
      </c>
      <c r="T115" s="38" t="e">
        <v>#DIV/0!</v>
      </c>
      <c r="U115" s="38">
        <v>0</v>
      </c>
      <c r="V115" s="38">
        <v>0</v>
      </c>
      <c r="W115" s="38">
        <v>0</v>
      </c>
      <c r="X115" s="38">
        <v>0</v>
      </c>
      <c r="Y115" s="38"/>
      <c r="Z115" s="38" t="e">
        <v>#DIV/0!</v>
      </c>
      <c r="AA115" s="38"/>
      <c r="AB115" s="38" t="e">
        <v>#DIV/0!</v>
      </c>
      <c r="AC115" s="38" t="e">
        <v>#DIV/0!</v>
      </c>
      <c r="AD115" s="38" t="e">
        <v>#DIV/0!</v>
      </c>
      <c r="AE115" s="33">
        <v>45381</v>
      </c>
      <c r="AF115" s="33"/>
      <c r="AG115" s="33"/>
      <c r="AH115" s="33"/>
      <c r="AI115" s="33"/>
      <c r="AJ115" s="42"/>
      <c r="AK115" s="37"/>
      <c r="AL115" s="37"/>
      <c r="AM115" s="37"/>
      <c r="AN115" s="37"/>
      <c r="AO115" s="43"/>
      <c r="AP115" s="35"/>
      <c r="AQ115" s="35"/>
      <c r="AR115" s="44"/>
      <c r="AS115" s="37" t="s">
        <v>485</v>
      </c>
    </row>
    <row r="116" spans="1:45" ht="58.5" customHeight="1" x14ac:dyDescent="0.25">
      <c r="A116" s="46" t="s">
        <v>1397</v>
      </c>
      <c r="B116" s="42">
        <v>45288</v>
      </c>
      <c r="C116" s="37">
        <v>1416</v>
      </c>
      <c r="D116" s="36" t="s">
        <v>1398</v>
      </c>
      <c r="E116" s="1" t="s">
        <v>1399</v>
      </c>
      <c r="F116" s="33">
        <v>45320</v>
      </c>
      <c r="G116" s="35" t="s">
        <v>1400</v>
      </c>
      <c r="H116" s="37" t="s">
        <v>291</v>
      </c>
      <c r="I116" s="37" t="s">
        <v>1401</v>
      </c>
      <c r="J116" s="39">
        <v>32108724.600000001</v>
      </c>
      <c r="K116" s="40">
        <v>0</v>
      </c>
      <c r="L116" s="41">
        <v>0</v>
      </c>
      <c r="M116" s="38">
        <v>32108724.600000001</v>
      </c>
      <c r="N116" s="41">
        <v>0</v>
      </c>
      <c r="O116" s="38">
        <v>32108724.600000001</v>
      </c>
      <c r="P116" s="27">
        <v>32108724.600000001</v>
      </c>
      <c r="Q116" s="27">
        <v>32108724.600000001</v>
      </c>
      <c r="R116" s="27">
        <v>24.27</v>
      </c>
      <c r="S116" s="38">
        <v>24.27</v>
      </c>
      <c r="T116" s="38" t="e">
        <v>#VALUE!</v>
      </c>
      <c r="U116" s="38">
        <v>1322980</v>
      </c>
      <c r="V116" s="38">
        <v>1322980</v>
      </c>
      <c r="W116" s="38">
        <v>0</v>
      </c>
      <c r="X116" s="38">
        <v>0</v>
      </c>
      <c r="Y116" s="38">
        <v>273450</v>
      </c>
      <c r="Z116" s="38">
        <v>6636631.5</v>
      </c>
      <c r="AA116" s="38">
        <v>1049530</v>
      </c>
      <c r="AB116" s="38">
        <v>25472093.099999998</v>
      </c>
      <c r="AC116" s="38" t="e">
        <v>#VALUE!</v>
      </c>
      <c r="AD116" s="38" t="e">
        <v>#VALUE!</v>
      </c>
      <c r="AE116" s="33">
        <v>45352</v>
      </c>
      <c r="AF116" s="33"/>
      <c r="AG116" s="33"/>
      <c r="AH116" s="33">
        <v>45383</v>
      </c>
      <c r="AI116" s="33"/>
      <c r="AJ116" s="42"/>
      <c r="AK116" s="37" t="s">
        <v>1391</v>
      </c>
      <c r="AL116" s="37" t="s">
        <v>1402</v>
      </c>
      <c r="AM116" s="37" t="s">
        <v>1403</v>
      </c>
      <c r="AN116" s="37" t="s">
        <v>50</v>
      </c>
      <c r="AO116" s="43">
        <v>100</v>
      </c>
      <c r="AP116" s="35">
        <v>0</v>
      </c>
      <c r="AQ116" s="35" t="s">
        <v>441</v>
      </c>
      <c r="AR116" s="48" t="s">
        <v>1404</v>
      </c>
      <c r="AS116" s="37" t="s">
        <v>52</v>
      </c>
    </row>
    <row r="117" spans="1:45" ht="58.5" customHeight="1" x14ac:dyDescent="0.25">
      <c r="A117" s="46" t="s">
        <v>1421</v>
      </c>
      <c r="B117" s="42">
        <v>45288</v>
      </c>
      <c r="C117" s="37">
        <v>1416</v>
      </c>
      <c r="D117" s="36" t="s">
        <v>1422</v>
      </c>
      <c r="E117" s="1" t="s">
        <v>1423</v>
      </c>
      <c r="F117" s="33">
        <v>45320</v>
      </c>
      <c r="G117" s="35" t="s">
        <v>1424</v>
      </c>
      <c r="H117" s="37" t="s">
        <v>291</v>
      </c>
      <c r="I117" s="37" t="s">
        <v>1425</v>
      </c>
      <c r="J117" s="39">
        <v>37288365</v>
      </c>
      <c r="K117" s="40">
        <v>0.53859964093357271</v>
      </c>
      <c r="L117" s="41">
        <v>200835</v>
      </c>
      <c r="M117" s="38">
        <v>37087530</v>
      </c>
      <c r="N117" s="41">
        <v>200835</v>
      </c>
      <c r="O117" s="38">
        <v>37087530</v>
      </c>
      <c r="P117" s="27">
        <v>37346469.600000001</v>
      </c>
      <c r="Q117" s="27">
        <v>37346469.600000001</v>
      </c>
      <c r="R117" s="27">
        <v>11.08</v>
      </c>
      <c r="S117" s="38">
        <v>11.08</v>
      </c>
      <c r="T117" s="38">
        <v>332.4</v>
      </c>
      <c r="U117" s="38">
        <v>3370620</v>
      </c>
      <c r="V117" s="38">
        <v>721170</v>
      </c>
      <c r="W117" s="38">
        <v>2649450</v>
      </c>
      <c r="X117" s="38">
        <v>0</v>
      </c>
      <c r="Y117" s="38">
        <v>47070</v>
      </c>
      <c r="Z117" s="38">
        <v>521535.6</v>
      </c>
      <c r="AA117" s="38">
        <v>3323550</v>
      </c>
      <c r="AB117" s="38">
        <v>36824934</v>
      </c>
      <c r="AC117" s="38">
        <v>112354</v>
      </c>
      <c r="AD117" s="38">
        <v>112354</v>
      </c>
      <c r="AE117" s="33">
        <v>45323</v>
      </c>
      <c r="AF117" s="33">
        <v>45383</v>
      </c>
      <c r="AG117" s="33"/>
      <c r="AH117" s="33">
        <v>45352</v>
      </c>
      <c r="AI117" s="33">
        <v>45413</v>
      </c>
      <c r="AJ117" s="42"/>
      <c r="AK117" s="37" t="s">
        <v>1426</v>
      </c>
      <c r="AL117" s="37" t="s">
        <v>1427</v>
      </c>
      <c r="AM117" s="37" t="s">
        <v>1385</v>
      </c>
      <c r="AN117" s="37" t="s">
        <v>50</v>
      </c>
      <c r="AO117" s="43">
        <v>100</v>
      </c>
      <c r="AP117" s="35">
        <v>0</v>
      </c>
      <c r="AQ117" s="35" t="s">
        <v>441</v>
      </c>
      <c r="AR117" s="44">
        <v>30</v>
      </c>
      <c r="AS117" s="37" t="s">
        <v>380</v>
      </c>
    </row>
    <row r="118" spans="1:45" ht="58.5" customHeight="1" x14ac:dyDescent="0.25">
      <c r="A118" s="46" t="s">
        <v>1428</v>
      </c>
      <c r="B118" s="42">
        <v>45288</v>
      </c>
      <c r="C118" s="37">
        <v>1416</v>
      </c>
      <c r="D118" s="36" t="s">
        <v>1429</v>
      </c>
      <c r="E118" s="1" t="s">
        <v>1430</v>
      </c>
      <c r="F118" s="33">
        <v>45324</v>
      </c>
      <c r="G118" s="35" t="s">
        <v>1431</v>
      </c>
      <c r="H118" s="37" t="s">
        <v>291</v>
      </c>
      <c r="I118" s="37" t="s">
        <v>1432</v>
      </c>
      <c r="J118" s="39">
        <v>749995.2</v>
      </c>
      <c r="K118" s="40">
        <v>0.50004320027647253</v>
      </c>
      <c r="L118" s="41">
        <v>3750.2999999999302</v>
      </c>
      <c r="M118" s="38">
        <v>746244.9</v>
      </c>
      <c r="N118" s="41">
        <v>3750.2999999999302</v>
      </c>
      <c r="O118" s="38">
        <v>746244.9</v>
      </c>
      <c r="P118" s="27">
        <v>746244.9</v>
      </c>
      <c r="Q118" s="27">
        <v>746244.9</v>
      </c>
      <c r="R118" s="27">
        <v>921.29000000000008</v>
      </c>
      <c r="S118" s="38">
        <v>921.29000000000008</v>
      </c>
      <c r="T118" s="38">
        <v>46064.500000000007</v>
      </c>
      <c r="U118" s="38">
        <v>810</v>
      </c>
      <c r="V118" s="38">
        <v>810</v>
      </c>
      <c r="W118" s="38">
        <v>0</v>
      </c>
      <c r="X118" s="38">
        <v>0</v>
      </c>
      <c r="Y118" s="38">
        <v>0</v>
      </c>
      <c r="Z118" s="38">
        <v>0</v>
      </c>
      <c r="AA118" s="38">
        <v>810</v>
      </c>
      <c r="AB118" s="38">
        <v>746244.9</v>
      </c>
      <c r="AC118" s="38">
        <v>16.2</v>
      </c>
      <c r="AD118" s="38">
        <v>17</v>
      </c>
      <c r="AE118" s="33">
        <v>45352</v>
      </c>
      <c r="AF118" s="33"/>
      <c r="AG118" s="33"/>
      <c r="AH118" s="33">
        <v>45383</v>
      </c>
      <c r="AI118" s="33"/>
      <c r="AJ118" s="42"/>
      <c r="AK118" s="37" t="s">
        <v>1433</v>
      </c>
      <c r="AL118" s="37" t="s">
        <v>1434</v>
      </c>
      <c r="AM118" s="37" t="s">
        <v>1435</v>
      </c>
      <c r="AN118" s="37" t="s">
        <v>50</v>
      </c>
      <c r="AO118" s="43">
        <v>100</v>
      </c>
      <c r="AP118" s="35">
        <v>0</v>
      </c>
      <c r="AQ118" s="35" t="s">
        <v>164</v>
      </c>
      <c r="AR118" s="44">
        <v>50</v>
      </c>
      <c r="AS118" s="37" t="s">
        <v>52</v>
      </c>
    </row>
    <row r="119" spans="1:45" ht="58.5" customHeight="1" x14ac:dyDescent="0.25">
      <c r="A119" s="46" t="s">
        <v>1436</v>
      </c>
      <c r="B119" s="42">
        <v>45289</v>
      </c>
      <c r="C119" s="37">
        <v>1416</v>
      </c>
      <c r="D119" s="36" t="s">
        <v>1437</v>
      </c>
      <c r="E119" s="1" t="s">
        <v>1438</v>
      </c>
      <c r="F119" s="33">
        <v>45327</v>
      </c>
      <c r="G119" s="35" t="s">
        <v>1439</v>
      </c>
      <c r="H119" s="37" t="s">
        <v>364</v>
      </c>
      <c r="I119" s="37" t="s">
        <v>1440</v>
      </c>
      <c r="J119" s="39">
        <v>695313219.03999996</v>
      </c>
      <c r="K119" s="40">
        <v>0</v>
      </c>
      <c r="L119" s="41">
        <v>0</v>
      </c>
      <c r="M119" s="38">
        <v>695313219.03999996</v>
      </c>
      <c r="N119" s="41">
        <v>0</v>
      </c>
      <c r="O119" s="38">
        <v>695313219.03999996</v>
      </c>
      <c r="P119" s="27">
        <v>695313219.03999996</v>
      </c>
      <c r="Q119" s="27">
        <v>695313219.03999996</v>
      </c>
      <c r="R119" s="27">
        <v>1212.97</v>
      </c>
      <c r="S119" s="38">
        <v>1212.97</v>
      </c>
      <c r="T119" s="38" t="e">
        <v>#VALUE!</v>
      </c>
      <c r="U119" s="38">
        <v>573232</v>
      </c>
      <c r="V119" s="38">
        <v>573232</v>
      </c>
      <c r="W119" s="38">
        <v>0</v>
      </c>
      <c r="X119" s="38">
        <v>0</v>
      </c>
      <c r="Y119" s="38">
        <v>3920</v>
      </c>
      <c r="Z119" s="38">
        <v>4754842.4000000004</v>
      </c>
      <c r="AA119" s="38">
        <v>569312</v>
      </c>
      <c r="AB119" s="38">
        <v>690558376.63999999</v>
      </c>
      <c r="AC119" s="38" t="e">
        <v>#VALUE!</v>
      </c>
      <c r="AD119" s="38" t="e">
        <v>#VALUE!</v>
      </c>
      <c r="AE119" s="33">
        <v>45383</v>
      </c>
      <c r="AF119" s="33"/>
      <c r="AG119" s="33"/>
      <c r="AH119" s="33">
        <v>45413</v>
      </c>
      <c r="AI119" s="33"/>
      <c r="AJ119" s="42"/>
      <c r="AK119" s="37" t="s">
        <v>1441</v>
      </c>
      <c r="AL119" s="37" t="s">
        <v>1442</v>
      </c>
      <c r="AM119" s="37" t="s">
        <v>1443</v>
      </c>
      <c r="AN119" s="37" t="s">
        <v>50</v>
      </c>
      <c r="AO119" s="43">
        <v>100</v>
      </c>
      <c r="AP119" s="35">
        <v>0</v>
      </c>
      <c r="AQ119" s="35" t="s">
        <v>441</v>
      </c>
      <c r="AR119" s="48" t="s">
        <v>1444</v>
      </c>
      <c r="AS119" s="37" t="s">
        <v>52</v>
      </c>
    </row>
    <row r="120" spans="1:45" ht="58.5" customHeight="1" x14ac:dyDescent="0.25">
      <c r="A120" s="46" t="s">
        <v>1445</v>
      </c>
      <c r="B120" s="42">
        <v>45289</v>
      </c>
      <c r="C120" s="37">
        <v>1416</v>
      </c>
      <c r="D120" s="36" t="s">
        <v>1446</v>
      </c>
      <c r="E120" s="1" t="s">
        <v>1447</v>
      </c>
      <c r="F120" s="33">
        <v>45320</v>
      </c>
      <c r="G120" s="35" t="s">
        <v>1448</v>
      </c>
      <c r="H120" s="37" t="s">
        <v>138</v>
      </c>
      <c r="I120" s="37" t="s">
        <v>1449</v>
      </c>
      <c r="J120" s="39">
        <v>3614799</v>
      </c>
      <c r="K120" s="40">
        <v>0</v>
      </c>
      <c r="L120" s="41">
        <v>0</v>
      </c>
      <c r="M120" s="38">
        <v>3614799</v>
      </c>
      <c r="N120" s="41">
        <v>0</v>
      </c>
      <c r="O120" s="38">
        <v>3614799</v>
      </c>
      <c r="P120" s="27">
        <v>3614799</v>
      </c>
      <c r="Q120" s="27">
        <v>3614799</v>
      </c>
      <c r="R120" s="27">
        <v>197.53</v>
      </c>
      <c r="S120" s="38">
        <v>197.53</v>
      </c>
      <c r="T120" s="38">
        <v>19753</v>
      </c>
      <c r="U120" s="38">
        <v>18300</v>
      </c>
      <c r="V120" s="38">
        <v>18300</v>
      </c>
      <c r="W120" s="38">
        <v>0</v>
      </c>
      <c r="X120" s="38">
        <v>0</v>
      </c>
      <c r="Y120" s="38">
        <v>14700</v>
      </c>
      <c r="Z120" s="38">
        <v>2903691</v>
      </c>
      <c r="AA120" s="38">
        <v>3600</v>
      </c>
      <c r="AB120" s="38">
        <v>711108</v>
      </c>
      <c r="AC120" s="38">
        <v>183</v>
      </c>
      <c r="AD120" s="38">
        <v>183</v>
      </c>
      <c r="AE120" s="33">
        <v>45352</v>
      </c>
      <c r="AF120" s="33"/>
      <c r="AG120" s="33"/>
      <c r="AH120" s="33">
        <v>45383</v>
      </c>
      <c r="AI120" s="33"/>
      <c r="AJ120" s="42"/>
      <c r="AK120" s="37" t="s">
        <v>1450</v>
      </c>
      <c r="AL120" s="37" t="s">
        <v>1451</v>
      </c>
      <c r="AM120" s="37" t="s">
        <v>1452</v>
      </c>
      <c r="AN120" s="37" t="s">
        <v>1453</v>
      </c>
      <c r="AO120" s="43">
        <v>0</v>
      </c>
      <c r="AP120" s="35">
        <v>100</v>
      </c>
      <c r="AQ120" s="35" t="s">
        <v>379</v>
      </c>
      <c r="AR120" s="44">
        <v>100</v>
      </c>
      <c r="AS120" s="37" t="s">
        <v>52</v>
      </c>
    </row>
    <row r="121" spans="1:45" ht="58.5" customHeight="1" x14ac:dyDescent="0.25">
      <c r="A121" s="46" t="s">
        <v>1454</v>
      </c>
      <c r="B121" s="42">
        <v>45289</v>
      </c>
      <c r="C121" s="37">
        <v>1416</v>
      </c>
      <c r="D121" s="36" t="s">
        <v>1455</v>
      </c>
      <c r="E121" s="1" t="s">
        <v>1456</v>
      </c>
      <c r="F121" s="33">
        <v>45322</v>
      </c>
      <c r="G121" s="35" t="s">
        <v>1457</v>
      </c>
      <c r="H121" s="37" t="s">
        <v>1236</v>
      </c>
      <c r="I121" s="37" t="s">
        <v>1458</v>
      </c>
      <c r="J121" s="39">
        <v>87974803.200000003</v>
      </c>
      <c r="K121" s="40">
        <v>2.0000000181870234</v>
      </c>
      <c r="L121" s="41">
        <v>1759496.0799999982</v>
      </c>
      <c r="M121" s="38">
        <v>86215307.120000005</v>
      </c>
      <c r="N121" s="41">
        <v>17960472</v>
      </c>
      <c r="O121" s="38">
        <v>70014331.200000003</v>
      </c>
      <c r="P121" s="27">
        <v>70014331.200000003</v>
      </c>
      <c r="Q121" s="27">
        <v>70014331.200000003</v>
      </c>
      <c r="R121" s="27">
        <v>88.88000000000001</v>
      </c>
      <c r="S121" s="38">
        <v>88.88000000000001</v>
      </c>
      <c r="T121" s="38">
        <v>5332.8</v>
      </c>
      <c r="U121" s="38">
        <v>787740</v>
      </c>
      <c r="V121" s="38">
        <v>383880</v>
      </c>
      <c r="W121" s="38">
        <v>403860</v>
      </c>
      <c r="X121" s="38">
        <v>0</v>
      </c>
      <c r="Y121" s="38">
        <v>80460</v>
      </c>
      <c r="Z121" s="38">
        <v>7151284.8000000007</v>
      </c>
      <c r="AA121" s="38">
        <v>707280</v>
      </c>
      <c r="AB121" s="38">
        <v>62863046.400000006</v>
      </c>
      <c r="AC121" s="38">
        <v>13129</v>
      </c>
      <c r="AD121" s="38">
        <v>13129</v>
      </c>
      <c r="AE121" s="33">
        <v>45352</v>
      </c>
      <c r="AF121" s="33">
        <v>45474</v>
      </c>
      <c r="AG121" s="33"/>
      <c r="AH121" s="33">
        <v>45383</v>
      </c>
      <c r="AI121" s="33">
        <v>45505</v>
      </c>
      <c r="AJ121" s="42"/>
      <c r="AK121" s="37" t="s">
        <v>1238</v>
      </c>
      <c r="AL121" s="37" t="s">
        <v>1459</v>
      </c>
      <c r="AM121" s="37" t="s">
        <v>1240</v>
      </c>
      <c r="AN121" s="37" t="s">
        <v>50</v>
      </c>
      <c r="AO121" s="43">
        <v>100</v>
      </c>
      <c r="AP121" s="35">
        <v>0</v>
      </c>
      <c r="AQ121" s="35" t="s">
        <v>441</v>
      </c>
      <c r="AR121" s="44">
        <v>60</v>
      </c>
      <c r="AS121" s="37" t="s">
        <v>52</v>
      </c>
    </row>
    <row r="122" spans="1:45" ht="58.5" customHeight="1" x14ac:dyDescent="0.25">
      <c r="A122" s="46" t="s">
        <v>1460</v>
      </c>
      <c r="B122" s="42">
        <v>45289</v>
      </c>
      <c r="C122" s="37">
        <v>1416</v>
      </c>
      <c r="D122" s="36" t="s">
        <v>1461</v>
      </c>
      <c r="E122" s="1" t="s">
        <v>1462</v>
      </c>
      <c r="F122" s="33">
        <v>45320</v>
      </c>
      <c r="G122" s="35" t="s">
        <v>1463</v>
      </c>
      <c r="H122" s="37" t="s">
        <v>138</v>
      </c>
      <c r="I122" s="37" t="s">
        <v>1464</v>
      </c>
      <c r="J122" s="39">
        <v>165786.4</v>
      </c>
      <c r="K122" s="40">
        <v>0</v>
      </c>
      <c r="L122" s="41">
        <v>0</v>
      </c>
      <c r="M122" s="38">
        <v>165786.4</v>
      </c>
      <c r="N122" s="41">
        <v>0</v>
      </c>
      <c r="O122" s="38">
        <v>165786.4</v>
      </c>
      <c r="P122" s="27">
        <v>165786.4</v>
      </c>
      <c r="Q122" s="27">
        <v>165786.4</v>
      </c>
      <c r="R122" s="27">
        <v>218.14</v>
      </c>
      <c r="S122" s="38">
        <v>218.14</v>
      </c>
      <c r="T122" s="38">
        <v>8725.5999999999985</v>
      </c>
      <c r="U122" s="38">
        <v>760</v>
      </c>
      <c r="V122" s="38">
        <v>760</v>
      </c>
      <c r="W122" s="38">
        <v>0</v>
      </c>
      <c r="X122" s="38">
        <v>0</v>
      </c>
      <c r="Y122" s="38">
        <v>760</v>
      </c>
      <c r="Z122" s="38">
        <v>165786.4</v>
      </c>
      <c r="AA122" s="38">
        <v>0</v>
      </c>
      <c r="AB122" s="38">
        <v>0</v>
      </c>
      <c r="AC122" s="38">
        <v>19</v>
      </c>
      <c r="AD122" s="38">
        <v>19</v>
      </c>
      <c r="AE122" s="33">
        <v>45352</v>
      </c>
      <c r="AF122" s="33"/>
      <c r="AG122" s="33"/>
      <c r="AH122" s="33">
        <v>45383</v>
      </c>
      <c r="AI122" s="33"/>
      <c r="AJ122" s="42"/>
      <c r="AK122" s="37" t="s">
        <v>258</v>
      </c>
      <c r="AL122" s="37" t="s">
        <v>1465</v>
      </c>
      <c r="AM122" s="37" t="s">
        <v>1466</v>
      </c>
      <c r="AN122" s="37" t="s">
        <v>1453</v>
      </c>
      <c r="AO122" s="43">
        <v>0</v>
      </c>
      <c r="AP122" s="35">
        <v>100</v>
      </c>
      <c r="AQ122" s="35" t="s">
        <v>379</v>
      </c>
      <c r="AR122" s="44">
        <v>40</v>
      </c>
      <c r="AS122" s="37" t="s">
        <v>176</v>
      </c>
    </row>
    <row r="123" spans="1:45" ht="58.5" customHeight="1" x14ac:dyDescent="0.25">
      <c r="A123" s="46" t="s">
        <v>1467</v>
      </c>
      <c r="B123" s="42">
        <v>45289</v>
      </c>
      <c r="C123" s="37">
        <v>1416</v>
      </c>
      <c r="D123" s="36" t="s">
        <v>1468</v>
      </c>
      <c r="E123" s="1" t="s">
        <v>1469</v>
      </c>
      <c r="F123" s="33">
        <v>45322</v>
      </c>
      <c r="G123" s="35" t="s">
        <v>1470</v>
      </c>
      <c r="H123" s="37" t="s">
        <v>291</v>
      </c>
      <c r="I123" s="37" t="s">
        <v>1471</v>
      </c>
      <c r="J123" s="39">
        <v>17068912</v>
      </c>
      <c r="K123" s="40">
        <v>0.50590219224283306</v>
      </c>
      <c r="L123" s="41">
        <v>86352</v>
      </c>
      <c r="M123" s="38">
        <v>16982560</v>
      </c>
      <c r="N123" s="41">
        <v>86352</v>
      </c>
      <c r="O123" s="38">
        <v>16982560</v>
      </c>
      <c r="P123" s="27">
        <v>16982560</v>
      </c>
      <c r="Q123" s="27">
        <v>16982560</v>
      </c>
      <c r="R123" s="27">
        <v>11.8</v>
      </c>
      <c r="S123" s="38">
        <v>11.8</v>
      </c>
      <c r="T123" s="38">
        <v>1180</v>
      </c>
      <c r="U123" s="38">
        <v>1439200</v>
      </c>
      <c r="V123" s="38">
        <v>1439200</v>
      </c>
      <c r="W123" s="38">
        <v>0</v>
      </c>
      <c r="X123" s="38">
        <v>0</v>
      </c>
      <c r="Y123" s="38">
        <v>142900</v>
      </c>
      <c r="Z123" s="38">
        <v>1686220</v>
      </c>
      <c r="AA123" s="38">
        <v>1296300</v>
      </c>
      <c r="AB123" s="38">
        <v>15296340</v>
      </c>
      <c r="AC123" s="38">
        <v>14392</v>
      </c>
      <c r="AD123" s="38">
        <v>14392</v>
      </c>
      <c r="AE123" s="33">
        <v>45352</v>
      </c>
      <c r="AF123" s="33"/>
      <c r="AG123" s="33"/>
      <c r="AH123" s="33">
        <v>45383</v>
      </c>
      <c r="AI123" s="33"/>
      <c r="AJ123" s="42"/>
      <c r="AK123" s="37" t="s">
        <v>1472</v>
      </c>
      <c r="AL123" s="37" t="s">
        <v>1473</v>
      </c>
      <c r="AM123" s="37" t="s">
        <v>1474</v>
      </c>
      <c r="AN123" s="37" t="s">
        <v>50</v>
      </c>
      <c r="AO123" s="43">
        <v>100</v>
      </c>
      <c r="AP123" s="35">
        <v>0</v>
      </c>
      <c r="AQ123" s="35" t="s">
        <v>441</v>
      </c>
      <c r="AR123" s="44">
        <v>100</v>
      </c>
      <c r="AS123" s="37" t="s">
        <v>52</v>
      </c>
    </row>
    <row r="124" spans="1:45" ht="58.5" customHeight="1" x14ac:dyDescent="0.25">
      <c r="A124" s="46" t="s">
        <v>1475</v>
      </c>
      <c r="B124" s="42">
        <v>45289</v>
      </c>
      <c r="C124" s="37">
        <v>1416</v>
      </c>
      <c r="D124" s="36" t="s">
        <v>1476</v>
      </c>
      <c r="E124" s="1" t="s">
        <v>1477</v>
      </c>
      <c r="F124" s="33">
        <v>45317</v>
      </c>
      <c r="G124" s="35" t="s">
        <v>1478</v>
      </c>
      <c r="H124" s="37" t="s">
        <v>138</v>
      </c>
      <c r="I124" s="37" t="s">
        <v>660</v>
      </c>
      <c r="J124" s="39">
        <v>13163854000</v>
      </c>
      <c r="K124" s="40">
        <v>0</v>
      </c>
      <c r="L124" s="41">
        <v>0</v>
      </c>
      <c r="M124" s="38">
        <v>13163854000</v>
      </c>
      <c r="N124" s="41">
        <v>0</v>
      </c>
      <c r="O124" s="38">
        <v>6581927000</v>
      </c>
      <c r="P124" s="27">
        <v>6581927000</v>
      </c>
      <c r="Q124" s="27">
        <v>13163854000</v>
      </c>
      <c r="R124" s="27">
        <v>22696.3</v>
      </c>
      <c r="S124" s="38">
        <v>22696.3</v>
      </c>
      <c r="T124" s="38">
        <v>226963</v>
      </c>
      <c r="U124" s="38">
        <v>580000</v>
      </c>
      <c r="V124" s="38">
        <v>290000</v>
      </c>
      <c r="W124" s="38">
        <v>0</v>
      </c>
      <c r="X124" s="38">
        <v>0</v>
      </c>
      <c r="Y124" s="38">
        <v>1560</v>
      </c>
      <c r="Z124" s="38">
        <v>35406228</v>
      </c>
      <c r="AA124" s="38">
        <v>288440</v>
      </c>
      <c r="AB124" s="38">
        <v>6546520772</v>
      </c>
      <c r="AC124" s="38">
        <v>58000</v>
      </c>
      <c r="AD124" s="38">
        <v>58000</v>
      </c>
      <c r="AE124" s="33">
        <v>45352</v>
      </c>
      <c r="AF124" s="33">
        <v>45717</v>
      </c>
      <c r="AG124" s="33"/>
      <c r="AH124" s="33">
        <v>45383</v>
      </c>
      <c r="AI124" s="33">
        <v>45748</v>
      </c>
      <c r="AJ124" s="42"/>
      <c r="AK124" s="37" t="s">
        <v>1479</v>
      </c>
      <c r="AL124" s="37" t="s">
        <v>1480</v>
      </c>
      <c r="AM124" s="37" t="s">
        <v>1481</v>
      </c>
      <c r="AN124" s="37" t="s">
        <v>174</v>
      </c>
      <c r="AO124" s="43">
        <v>0</v>
      </c>
      <c r="AP124" s="35">
        <v>100</v>
      </c>
      <c r="AQ124" s="35" t="s">
        <v>164</v>
      </c>
      <c r="AR124" s="44">
        <v>10</v>
      </c>
      <c r="AS124" s="37" t="s">
        <v>52</v>
      </c>
    </row>
    <row r="125" spans="1:45" ht="58.5" customHeight="1" x14ac:dyDescent="0.25">
      <c r="A125" s="46" t="s">
        <v>1482</v>
      </c>
      <c r="B125" s="42">
        <v>45289</v>
      </c>
      <c r="C125" s="37">
        <v>1416</v>
      </c>
      <c r="D125" s="36" t="s">
        <v>1483</v>
      </c>
      <c r="E125" s="1" t="s">
        <v>1484</v>
      </c>
      <c r="F125" s="33">
        <v>45320</v>
      </c>
      <c r="G125" s="35" t="s">
        <v>1485</v>
      </c>
      <c r="H125" s="37" t="s">
        <v>291</v>
      </c>
      <c r="I125" s="37" t="s">
        <v>1486</v>
      </c>
      <c r="J125" s="39">
        <v>8914257</v>
      </c>
      <c r="K125" s="40">
        <v>0</v>
      </c>
      <c r="L125" s="41">
        <v>0</v>
      </c>
      <c r="M125" s="38">
        <v>8914257</v>
      </c>
      <c r="N125" s="41">
        <v>0</v>
      </c>
      <c r="O125" s="38">
        <v>8914257</v>
      </c>
      <c r="P125" s="27">
        <v>8914257</v>
      </c>
      <c r="Q125" s="27">
        <v>8914257</v>
      </c>
      <c r="R125" s="27">
        <v>41.91</v>
      </c>
      <c r="S125" s="38">
        <v>41.91</v>
      </c>
      <c r="T125" s="38">
        <v>2095.5</v>
      </c>
      <c r="U125" s="38">
        <v>212700</v>
      </c>
      <c r="V125" s="38">
        <v>212700</v>
      </c>
      <c r="W125" s="38">
        <v>0</v>
      </c>
      <c r="X125" s="38">
        <v>0</v>
      </c>
      <c r="Y125" s="38">
        <v>7300</v>
      </c>
      <c r="Z125" s="38">
        <v>305943</v>
      </c>
      <c r="AA125" s="38">
        <v>205400</v>
      </c>
      <c r="AB125" s="38">
        <v>8608314</v>
      </c>
      <c r="AC125" s="38">
        <v>4254</v>
      </c>
      <c r="AD125" s="38">
        <v>4254</v>
      </c>
      <c r="AE125" s="33">
        <v>45383</v>
      </c>
      <c r="AF125" s="33"/>
      <c r="AG125" s="33"/>
      <c r="AH125" s="33">
        <v>45413</v>
      </c>
      <c r="AI125" s="33"/>
      <c r="AJ125" s="42"/>
      <c r="AK125" s="37" t="s">
        <v>1487</v>
      </c>
      <c r="AL125" s="37" t="s">
        <v>1488</v>
      </c>
      <c r="AM125" s="37" t="s">
        <v>1489</v>
      </c>
      <c r="AN125" s="37" t="s">
        <v>50</v>
      </c>
      <c r="AO125" s="43">
        <v>100</v>
      </c>
      <c r="AP125" s="35">
        <v>0</v>
      </c>
      <c r="AQ125" s="35" t="s">
        <v>441</v>
      </c>
      <c r="AR125" s="44">
        <v>50</v>
      </c>
      <c r="AS125" s="37" t="s">
        <v>176</v>
      </c>
    </row>
    <row r="126" spans="1:45" ht="58.5" customHeight="1" x14ac:dyDescent="0.25">
      <c r="A126" s="46" t="s">
        <v>1492</v>
      </c>
      <c r="B126" s="42">
        <v>45289</v>
      </c>
      <c r="C126" s="37">
        <v>1416</v>
      </c>
      <c r="D126" s="36" t="s">
        <v>1493</v>
      </c>
      <c r="E126" s="1" t="s">
        <v>1494</v>
      </c>
      <c r="F126" s="33">
        <v>45324</v>
      </c>
      <c r="G126" s="35" t="s">
        <v>1495</v>
      </c>
      <c r="H126" s="37" t="s">
        <v>219</v>
      </c>
      <c r="I126" s="37" t="s">
        <v>1496</v>
      </c>
      <c r="J126" s="39">
        <v>11061180</v>
      </c>
      <c r="K126" s="40">
        <v>0</v>
      </c>
      <c r="L126" s="41">
        <v>0</v>
      </c>
      <c r="M126" s="38">
        <v>11061180</v>
      </c>
      <c r="N126" s="41">
        <v>0</v>
      </c>
      <c r="O126" s="38">
        <v>11061180</v>
      </c>
      <c r="P126" s="27">
        <v>11061180</v>
      </c>
      <c r="Q126" s="27">
        <v>11061180</v>
      </c>
      <c r="R126" s="27">
        <v>13.04</v>
      </c>
      <c r="S126" s="38">
        <v>13.04</v>
      </c>
      <c r="T126" s="38">
        <v>3260</v>
      </c>
      <c r="U126" s="38">
        <v>848250</v>
      </c>
      <c r="V126" s="38">
        <v>848250</v>
      </c>
      <c r="W126" s="38">
        <v>0</v>
      </c>
      <c r="X126" s="38">
        <v>0</v>
      </c>
      <c r="Y126" s="38">
        <v>835000</v>
      </c>
      <c r="Z126" s="38">
        <v>10888400</v>
      </c>
      <c r="AA126" s="38">
        <v>13250</v>
      </c>
      <c r="AB126" s="38">
        <v>172780</v>
      </c>
      <c r="AC126" s="38">
        <v>3393</v>
      </c>
      <c r="AD126" s="38">
        <v>3393</v>
      </c>
      <c r="AE126" s="33">
        <v>45473</v>
      </c>
      <c r="AF126" s="33"/>
      <c r="AG126" s="33"/>
      <c r="AH126" s="33">
        <v>45505</v>
      </c>
      <c r="AI126" s="33"/>
      <c r="AJ126" s="42"/>
      <c r="AK126" s="37" t="s">
        <v>1497</v>
      </c>
      <c r="AL126" s="37" t="s">
        <v>1498</v>
      </c>
      <c r="AM126" s="37" t="s">
        <v>1499</v>
      </c>
      <c r="AN126" s="37" t="s">
        <v>352</v>
      </c>
      <c r="AO126" s="43">
        <v>0</v>
      </c>
      <c r="AP126" s="35">
        <v>100</v>
      </c>
      <c r="AQ126" s="35" t="s">
        <v>175</v>
      </c>
      <c r="AR126" s="44">
        <v>250</v>
      </c>
      <c r="AS126" s="37" t="s">
        <v>52</v>
      </c>
    </row>
    <row r="127" spans="1:45" ht="58.5" customHeight="1" x14ac:dyDescent="0.25">
      <c r="A127" s="46" t="s">
        <v>1500</v>
      </c>
      <c r="B127" s="42">
        <v>45289</v>
      </c>
      <c r="C127" s="37">
        <v>1416</v>
      </c>
      <c r="D127" s="36" t="s">
        <v>1501</v>
      </c>
      <c r="E127" s="1" t="s">
        <v>1502</v>
      </c>
      <c r="F127" s="33">
        <v>45320</v>
      </c>
      <c r="G127" s="35" t="s">
        <v>1503</v>
      </c>
      <c r="H127" s="37" t="s">
        <v>1253</v>
      </c>
      <c r="I127" s="37" t="s">
        <v>1504</v>
      </c>
      <c r="J127" s="39">
        <v>353355.52000000002</v>
      </c>
      <c r="K127" s="40">
        <v>0</v>
      </c>
      <c r="L127" s="41">
        <v>0</v>
      </c>
      <c r="M127" s="38">
        <v>353355.52000000002</v>
      </c>
      <c r="N127" s="41">
        <v>0</v>
      </c>
      <c r="O127" s="38">
        <v>353355.52000000002</v>
      </c>
      <c r="P127" s="27">
        <v>353355.52000000002</v>
      </c>
      <c r="Q127" s="27">
        <v>353355.52000000002</v>
      </c>
      <c r="R127" s="27">
        <v>97.72</v>
      </c>
      <c r="S127" s="38">
        <v>97.72</v>
      </c>
      <c r="T127" s="38">
        <v>4886</v>
      </c>
      <c r="U127" s="38">
        <v>3616</v>
      </c>
      <c r="V127" s="38">
        <v>3616</v>
      </c>
      <c r="W127" s="38">
        <v>0</v>
      </c>
      <c r="X127" s="38">
        <v>0</v>
      </c>
      <c r="Y127" s="38">
        <v>366</v>
      </c>
      <c r="Z127" s="38">
        <v>35765.519999999997</v>
      </c>
      <c r="AA127" s="38">
        <v>3250</v>
      </c>
      <c r="AB127" s="38">
        <v>317590</v>
      </c>
      <c r="AC127" s="38">
        <v>72.319999999999993</v>
      </c>
      <c r="AD127" s="38">
        <v>73</v>
      </c>
      <c r="AE127" s="33">
        <v>45352</v>
      </c>
      <c r="AF127" s="33"/>
      <c r="AG127" s="33"/>
      <c r="AH127" s="33">
        <v>45383</v>
      </c>
      <c r="AI127" s="33"/>
      <c r="AJ127" s="42"/>
      <c r="AK127" s="37" t="s">
        <v>1505</v>
      </c>
      <c r="AL127" s="37" t="s">
        <v>1506</v>
      </c>
      <c r="AM127" s="37" t="s">
        <v>1507</v>
      </c>
      <c r="AN127" s="37" t="s">
        <v>50</v>
      </c>
      <c r="AO127" s="43">
        <v>100</v>
      </c>
      <c r="AP127" s="35">
        <v>0</v>
      </c>
      <c r="AQ127" s="35" t="s">
        <v>441</v>
      </c>
      <c r="AR127" s="44">
        <v>50</v>
      </c>
      <c r="AS127" s="37" t="s">
        <v>52</v>
      </c>
    </row>
    <row r="128" spans="1:45" ht="58.5" customHeight="1" x14ac:dyDescent="0.25">
      <c r="A128" s="46" t="s">
        <v>1508</v>
      </c>
      <c r="B128" s="42">
        <v>45289</v>
      </c>
      <c r="C128" s="37">
        <v>1416</v>
      </c>
      <c r="D128" s="36" t="s">
        <v>1509</v>
      </c>
      <c r="E128" s="1" t="s">
        <v>1510</v>
      </c>
      <c r="F128" s="33">
        <v>45320</v>
      </c>
      <c r="G128" s="35" t="s">
        <v>1511</v>
      </c>
      <c r="H128" s="37" t="s">
        <v>291</v>
      </c>
      <c r="I128" s="37" t="s">
        <v>1512</v>
      </c>
      <c r="J128" s="39">
        <v>19324800</v>
      </c>
      <c r="K128" s="40">
        <v>0</v>
      </c>
      <c r="L128" s="41">
        <v>0</v>
      </c>
      <c r="M128" s="38">
        <v>19324800</v>
      </c>
      <c r="N128" s="41">
        <v>0</v>
      </c>
      <c r="O128" s="38">
        <v>19324800</v>
      </c>
      <c r="P128" s="27">
        <v>19324800</v>
      </c>
      <c r="Q128" s="27">
        <v>19324800</v>
      </c>
      <c r="R128" s="27">
        <v>24</v>
      </c>
      <c r="S128" s="38">
        <v>24</v>
      </c>
      <c r="T128" s="38">
        <v>1200</v>
      </c>
      <c r="U128" s="38">
        <v>805200</v>
      </c>
      <c r="V128" s="38">
        <v>805200</v>
      </c>
      <c r="W128" s="38">
        <v>0</v>
      </c>
      <c r="X128" s="38">
        <v>0</v>
      </c>
      <c r="Y128" s="38">
        <v>25050</v>
      </c>
      <c r="Z128" s="38">
        <v>601200</v>
      </c>
      <c r="AA128" s="38">
        <v>780150</v>
      </c>
      <c r="AB128" s="38">
        <v>18723600</v>
      </c>
      <c r="AC128" s="38">
        <v>16104</v>
      </c>
      <c r="AD128" s="38">
        <v>16104</v>
      </c>
      <c r="AE128" s="33">
        <v>45354</v>
      </c>
      <c r="AF128" s="33"/>
      <c r="AG128" s="33"/>
      <c r="AH128" s="33">
        <v>45385</v>
      </c>
      <c r="AI128" s="33"/>
      <c r="AJ128" s="42"/>
      <c r="AK128" s="37" t="s">
        <v>918</v>
      </c>
      <c r="AL128" s="37" t="s">
        <v>1513</v>
      </c>
      <c r="AM128" s="37" t="s">
        <v>920</v>
      </c>
      <c r="AN128" s="37" t="s">
        <v>50</v>
      </c>
      <c r="AO128" s="43">
        <v>100</v>
      </c>
      <c r="AP128" s="35">
        <v>0</v>
      </c>
      <c r="AQ128" s="35" t="s">
        <v>441</v>
      </c>
      <c r="AR128" s="44">
        <v>50</v>
      </c>
      <c r="AS128" s="37" t="s">
        <v>176</v>
      </c>
    </row>
    <row r="129" spans="1:45" ht="58.5" customHeight="1" x14ac:dyDescent="0.25">
      <c r="A129" s="46" t="s">
        <v>1514</v>
      </c>
      <c r="B129" s="42">
        <v>45289</v>
      </c>
      <c r="C129" s="37">
        <v>1416</v>
      </c>
      <c r="D129" s="36" t="s">
        <v>1515</v>
      </c>
      <c r="E129" s="1" t="s">
        <v>1516</v>
      </c>
      <c r="F129" s="33">
        <v>45320</v>
      </c>
      <c r="G129" s="35" t="s">
        <v>1517</v>
      </c>
      <c r="H129" s="37" t="s">
        <v>169</v>
      </c>
      <c r="I129" s="37" t="s">
        <v>1518</v>
      </c>
      <c r="J129" s="39">
        <v>438990662.5</v>
      </c>
      <c r="K129" s="40">
        <v>0</v>
      </c>
      <c r="L129" s="41">
        <v>0</v>
      </c>
      <c r="M129" s="38">
        <v>438990662.5</v>
      </c>
      <c r="N129" s="41">
        <v>0</v>
      </c>
      <c r="O129" s="38">
        <v>438990662.5</v>
      </c>
      <c r="P129" s="27">
        <v>438990662.5</v>
      </c>
      <c r="Q129" s="27">
        <v>438990662.5</v>
      </c>
      <c r="R129" s="27">
        <v>24.05</v>
      </c>
      <c r="S129" s="38">
        <v>24.05</v>
      </c>
      <c r="T129" s="38">
        <v>24050</v>
      </c>
      <c r="U129" s="38">
        <v>18253250</v>
      </c>
      <c r="V129" s="38">
        <v>18253250</v>
      </c>
      <c r="W129" s="38">
        <v>0</v>
      </c>
      <c r="X129" s="38">
        <v>0</v>
      </c>
      <c r="Y129" s="38">
        <v>6453500</v>
      </c>
      <c r="Z129" s="38">
        <v>155206675</v>
      </c>
      <c r="AA129" s="38">
        <v>11799750</v>
      </c>
      <c r="AB129" s="38">
        <v>283783987.5</v>
      </c>
      <c r="AC129" s="38">
        <v>18253.25</v>
      </c>
      <c r="AD129" s="38">
        <v>18254</v>
      </c>
      <c r="AE129" s="33">
        <v>45412</v>
      </c>
      <c r="AF129" s="33"/>
      <c r="AG129" s="33"/>
      <c r="AH129" s="33">
        <v>45444</v>
      </c>
      <c r="AI129" s="33"/>
      <c r="AJ129" s="42"/>
      <c r="AK129" s="37" t="s">
        <v>1519</v>
      </c>
      <c r="AL129" s="37" t="s">
        <v>1520</v>
      </c>
      <c r="AM129" s="37" t="s">
        <v>1521</v>
      </c>
      <c r="AN129" s="37" t="s">
        <v>828</v>
      </c>
      <c r="AO129" s="43">
        <v>0</v>
      </c>
      <c r="AP129" s="35">
        <v>100</v>
      </c>
      <c r="AQ129" s="35" t="s">
        <v>175</v>
      </c>
      <c r="AR129" s="44">
        <v>1000</v>
      </c>
      <c r="AS129" s="37" t="s">
        <v>52</v>
      </c>
    </row>
    <row r="130" spans="1:45" ht="58.5" customHeight="1" x14ac:dyDescent="0.25">
      <c r="A130" s="46" t="s">
        <v>1543</v>
      </c>
      <c r="B130" s="42">
        <v>45289</v>
      </c>
      <c r="C130" s="37">
        <v>1416</v>
      </c>
      <c r="D130" s="36" t="s">
        <v>1544</v>
      </c>
      <c r="E130" s="1" t="s">
        <v>1545</v>
      </c>
      <c r="F130" s="33">
        <v>45322</v>
      </c>
      <c r="G130" s="35" t="s">
        <v>1546</v>
      </c>
      <c r="H130" s="37" t="s">
        <v>1236</v>
      </c>
      <c r="I130" s="37" t="s">
        <v>1547</v>
      </c>
      <c r="J130" s="39">
        <v>15950302.199999999</v>
      </c>
      <c r="K130" s="40">
        <v>1.9999999749220998</v>
      </c>
      <c r="L130" s="41">
        <v>319006.03999999911</v>
      </c>
      <c r="M130" s="38">
        <v>15631296.16</v>
      </c>
      <c r="N130" s="41">
        <v>3255571.7999999989</v>
      </c>
      <c r="O130" s="38">
        <v>12694730.4</v>
      </c>
      <c r="P130" s="27">
        <v>12694730.4</v>
      </c>
      <c r="Q130" s="27">
        <v>12694730.4</v>
      </c>
      <c r="R130" s="27">
        <v>133.32</v>
      </c>
      <c r="S130" s="38">
        <v>133.32</v>
      </c>
      <c r="T130" s="38">
        <v>7999.2</v>
      </c>
      <c r="U130" s="38">
        <v>95220</v>
      </c>
      <c r="V130" s="38">
        <v>41640</v>
      </c>
      <c r="W130" s="38">
        <v>53580</v>
      </c>
      <c r="X130" s="38">
        <v>0</v>
      </c>
      <c r="Y130" s="38">
        <v>8700</v>
      </c>
      <c r="Z130" s="38">
        <v>1159884</v>
      </c>
      <c r="AA130" s="38">
        <v>86520</v>
      </c>
      <c r="AB130" s="38">
        <v>11534846.399999999</v>
      </c>
      <c r="AC130" s="38">
        <v>1587</v>
      </c>
      <c r="AD130" s="38">
        <v>1587</v>
      </c>
      <c r="AE130" s="33">
        <v>45352</v>
      </c>
      <c r="AF130" s="33">
        <v>45474</v>
      </c>
      <c r="AG130" s="33"/>
      <c r="AH130" s="33">
        <v>45383</v>
      </c>
      <c r="AI130" s="33">
        <v>45505</v>
      </c>
      <c r="AJ130" s="42"/>
      <c r="AK130" s="37" t="s">
        <v>1238</v>
      </c>
      <c r="AL130" s="37" t="s">
        <v>1548</v>
      </c>
      <c r="AM130" s="37" t="s">
        <v>1240</v>
      </c>
      <c r="AN130" s="37" t="s">
        <v>50</v>
      </c>
      <c r="AO130" s="43">
        <v>100</v>
      </c>
      <c r="AP130" s="35">
        <v>0</v>
      </c>
      <c r="AQ130" s="35" t="s">
        <v>441</v>
      </c>
      <c r="AR130" s="44">
        <v>60</v>
      </c>
      <c r="AS130" s="37" t="s">
        <v>380</v>
      </c>
    </row>
    <row r="131" spans="1:45" ht="48" customHeight="1" x14ac:dyDescent="0.25">
      <c r="A131" s="32" t="s">
        <v>1923</v>
      </c>
      <c r="B131" s="56">
        <v>45323</v>
      </c>
      <c r="C131" s="37">
        <v>1416</v>
      </c>
      <c r="D131" s="36" t="s">
        <v>1924</v>
      </c>
      <c r="E131" s="1" t="s">
        <v>1925</v>
      </c>
      <c r="F131" s="33">
        <v>45348</v>
      </c>
      <c r="G131" s="35" t="s">
        <v>1926</v>
      </c>
      <c r="H131" s="37" t="s">
        <v>169</v>
      </c>
      <c r="I131" s="58" t="s">
        <v>1927</v>
      </c>
      <c r="J131" s="57">
        <v>491040</v>
      </c>
      <c r="K131" s="40">
        <v>0</v>
      </c>
      <c r="L131" s="41">
        <v>0</v>
      </c>
      <c r="M131" s="57">
        <v>491040</v>
      </c>
      <c r="N131" s="41">
        <v>0</v>
      </c>
      <c r="O131" s="57">
        <v>491040</v>
      </c>
      <c r="P131" s="27">
        <v>491040</v>
      </c>
      <c r="Q131" s="27">
        <v>491040</v>
      </c>
      <c r="R131" s="27">
        <v>10.56</v>
      </c>
      <c r="S131" s="38">
        <v>10.56</v>
      </c>
      <c r="T131" s="38">
        <v>2640</v>
      </c>
      <c r="U131" s="38">
        <v>46500</v>
      </c>
      <c r="V131" s="38">
        <v>46500</v>
      </c>
      <c r="W131" s="38">
        <v>0</v>
      </c>
      <c r="X131" s="38">
        <v>0</v>
      </c>
      <c r="Y131" s="38">
        <v>10500</v>
      </c>
      <c r="Z131" s="38">
        <v>110880</v>
      </c>
      <c r="AA131" s="38">
        <v>36000</v>
      </c>
      <c r="AB131" s="38">
        <v>380160</v>
      </c>
      <c r="AC131" s="38">
        <v>186</v>
      </c>
      <c r="AD131" s="38">
        <v>186</v>
      </c>
      <c r="AE131" s="33">
        <v>45366</v>
      </c>
      <c r="AF131" s="33"/>
      <c r="AG131" s="33"/>
      <c r="AH131" s="33">
        <v>45397</v>
      </c>
      <c r="AI131" s="33"/>
      <c r="AJ131" s="42"/>
      <c r="AK131" s="37" t="s">
        <v>757</v>
      </c>
      <c r="AL131" s="37" t="s">
        <v>1928</v>
      </c>
      <c r="AM131" s="37" t="s">
        <v>759</v>
      </c>
      <c r="AN131" s="37" t="s">
        <v>828</v>
      </c>
      <c r="AO131" s="43">
        <v>0</v>
      </c>
      <c r="AP131" s="35">
        <v>100</v>
      </c>
      <c r="AQ131" s="35" t="s">
        <v>175</v>
      </c>
      <c r="AR131" s="44">
        <v>250</v>
      </c>
      <c r="AS131" s="37" t="s">
        <v>176</v>
      </c>
    </row>
    <row r="132" spans="1:45" ht="48" customHeight="1" x14ac:dyDescent="0.25">
      <c r="A132" s="32" t="s">
        <v>1929</v>
      </c>
      <c r="B132" s="56">
        <v>45323</v>
      </c>
      <c r="C132" s="37">
        <v>1416</v>
      </c>
      <c r="D132" s="36" t="s">
        <v>1930</v>
      </c>
      <c r="E132" s="1" t="s">
        <v>1931</v>
      </c>
      <c r="F132" s="33">
        <v>45348</v>
      </c>
      <c r="G132" s="35" t="s">
        <v>1932</v>
      </c>
      <c r="H132" s="37" t="s">
        <v>219</v>
      </c>
      <c r="I132" s="58" t="s">
        <v>1933</v>
      </c>
      <c r="J132" s="57">
        <v>94198500</v>
      </c>
      <c r="K132" s="40">
        <v>3</v>
      </c>
      <c r="L132" s="41">
        <v>2825955</v>
      </c>
      <c r="M132" s="38">
        <v>91372545</v>
      </c>
      <c r="N132" s="41">
        <v>2825955</v>
      </c>
      <c r="O132" s="38">
        <v>91372545</v>
      </c>
      <c r="P132" s="27">
        <v>91372545</v>
      </c>
      <c r="Q132" s="27">
        <v>91372545</v>
      </c>
      <c r="R132" s="27">
        <v>7.26</v>
      </c>
      <c r="S132" s="38">
        <v>7.0422000000000002</v>
      </c>
      <c r="T132" s="38">
        <v>3521.1</v>
      </c>
      <c r="U132" s="38">
        <v>12975000</v>
      </c>
      <c r="V132" s="38">
        <v>10800000</v>
      </c>
      <c r="W132" s="38">
        <v>2175000</v>
      </c>
      <c r="X132" s="38">
        <v>0</v>
      </c>
      <c r="Y132" s="38">
        <v>0</v>
      </c>
      <c r="Z132" s="38">
        <v>0</v>
      </c>
      <c r="AA132" s="38">
        <v>12975000</v>
      </c>
      <c r="AB132" s="38">
        <v>91372545</v>
      </c>
      <c r="AC132" s="38">
        <v>25950</v>
      </c>
      <c r="AD132" s="38">
        <v>25950</v>
      </c>
      <c r="AE132" s="33">
        <v>45366</v>
      </c>
      <c r="AF132" s="33">
        <v>45432</v>
      </c>
      <c r="AG132" s="33"/>
      <c r="AH132" s="33">
        <v>45397</v>
      </c>
      <c r="AI132" s="33">
        <v>45463</v>
      </c>
      <c r="AJ132" s="42"/>
      <c r="AK132" s="37" t="s">
        <v>1934</v>
      </c>
      <c r="AL132" s="37" t="s">
        <v>1935</v>
      </c>
      <c r="AM132" s="37" t="s">
        <v>1936</v>
      </c>
      <c r="AN132" s="37" t="s">
        <v>50</v>
      </c>
      <c r="AO132" s="43">
        <v>100</v>
      </c>
      <c r="AP132" s="35">
        <v>0</v>
      </c>
      <c r="AQ132" s="35" t="s">
        <v>175</v>
      </c>
      <c r="AR132" s="44">
        <v>500</v>
      </c>
      <c r="AS132" s="37" t="s">
        <v>52</v>
      </c>
    </row>
    <row r="133" spans="1:45" ht="48" customHeight="1" x14ac:dyDescent="0.25">
      <c r="A133" s="32" t="s">
        <v>1944</v>
      </c>
      <c r="B133" s="56">
        <v>45323</v>
      </c>
      <c r="C133" s="37">
        <v>1416</v>
      </c>
      <c r="D133" s="36"/>
      <c r="E133" s="1" t="s">
        <v>1945</v>
      </c>
      <c r="F133" s="33">
        <v>45352</v>
      </c>
      <c r="G133" s="35" t="s">
        <v>1946</v>
      </c>
      <c r="H133" s="37" t="s">
        <v>169</v>
      </c>
      <c r="I133" s="58" t="s">
        <v>942</v>
      </c>
      <c r="J133" s="57">
        <v>1349562136</v>
      </c>
      <c r="K133" s="40">
        <v>0</v>
      </c>
      <c r="L133" s="41">
        <v>0</v>
      </c>
      <c r="M133" s="57">
        <v>1349562136</v>
      </c>
      <c r="N133" s="41">
        <v>0</v>
      </c>
      <c r="O133" s="57">
        <v>1349562136</v>
      </c>
      <c r="P133" s="27">
        <v>1349562136</v>
      </c>
      <c r="Q133" s="27">
        <v>1349562136</v>
      </c>
      <c r="R133" s="27">
        <v>25.33</v>
      </c>
      <c r="S133" s="38">
        <v>25.33</v>
      </c>
      <c r="T133" s="38">
        <v>20264</v>
      </c>
      <c r="U133" s="38">
        <v>53279200</v>
      </c>
      <c r="V133" s="38">
        <v>53279200</v>
      </c>
      <c r="W133" s="38">
        <v>0</v>
      </c>
      <c r="X133" s="38">
        <v>0</v>
      </c>
      <c r="Y133" s="38">
        <v>37443200</v>
      </c>
      <c r="Z133" s="38">
        <v>948436255.99999988</v>
      </c>
      <c r="AA133" s="38">
        <v>15836000</v>
      </c>
      <c r="AB133" s="38">
        <v>401125880</v>
      </c>
      <c r="AC133" s="38">
        <v>66599</v>
      </c>
      <c r="AD133" s="38">
        <v>66599</v>
      </c>
      <c r="AE133" s="33">
        <v>45383</v>
      </c>
      <c r="AF133" s="33"/>
      <c r="AG133" s="33"/>
      <c r="AH133" s="33">
        <v>45413</v>
      </c>
      <c r="AI133" s="33"/>
      <c r="AJ133" s="42"/>
      <c r="AK133" s="37" t="s">
        <v>1947</v>
      </c>
      <c r="AL133" s="37" t="s">
        <v>1948</v>
      </c>
      <c r="AM133" s="37" t="s">
        <v>1949</v>
      </c>
      <c r="AN133" s="37" t="s">
        <v>828</v>
      </c>
      <c r="AO133" s="43">
        <v>0</v>
      </c>
      <c r="AP133" s="35">
        <v>100</v>
      </c>
      <c r="AQ133" s="35" t="s">
        <v>175</v>
      </c>
      <c r="AR133" s="44">
        <v>800</v>
      </c>
      <c r="AS133" s="37" t="s">
        <v>52</v>
      </c>
    </row>
    <row r="134" spans="1:45" ht="48" customHeight="1" x14ac:dyDescent="0.25">
      <c r="A134" s="32" t="s">
        <v>1950</v>
      </c>
      <c r="B134" s="56">
        <v>45323</v>
      </c>
      <c r="C134" s="37">
        <v>1416</v>
      </c>
      <c r="D134" s="36"/>
      <c r="E134" s="1" t="s">
        <v>1951</v>
      </c>
      <c r="F134" s="33">
        <v>45363</v>
      </c>
      <c r="G134" s="35" t="s">
        <v>1952</v>
      </c>
      <c r="H134" s="37" t="s">
        <v>169</v>
      </c>
      <c r="I134" s="58" t="s">
        <v>1953</v>
      </c>
      <c r="J134" s="57">
        <v>3107256738.3000002</v>
      </c>
      <c r="K134" s="40">
        <v>0</v>
      </c>
      <c r="L134" s="41">
        <v>0</v>
      </c>
      <c r="M134" s="57">
        <v>3107256738.3000002</v>
      </c>
      <c r="N134" s="41">
        <v>0</v>
      </c>
      <c r="O134" s="57">
        <v>3107256738.3000002</v>
      </c>
      <c r="P134" s="27">
        <v>3435912561.5100002</v>
      </c>
      <c r="Q134" s="27">
        <v>3435912561.5100002</v>
      </c>
      <c r="R134" s="27">
        <v>63582.09</v>
      </c>
      <c r="S134" s="38">
        <v>63582.090000000004</v>
      </c>
      <c r="T134" s="38">
        <v>190746.27000000002</v>
      </c>
      <c r="U134" s="38">
        <v>54039</v>
      </c>
      <c r="V134" s="38">
        <v>10500</v>
      </c>
      <c r="W134" s="38">
        <v>43539</v>
      </c>
      <c r="X134" s="38">
        <v>0</v>
      </c>
      <c r="Y134" s="38">
        <v>39477</v>
      </c>
      <c r="Z134" s="38">
        <v>2510030166.9300003</v>
      </c>
      <c r="AA134" s="38">
        <v>14562</v>
      </c>
      <c r="AB134" s="38">
        <v>925882394.58000004</v>
      </c>
      <c r="AC134" s="38">
        <v>18013</v>
      </c>
      <c r="AD134" s="38">
        <v>18013</v>
      </c>
      <c r="AE134" s="33">
        <v>45412</v>
      </c>
      <c r="AF134" s="33">
        <v>45504</v>
      </c>
      <c r="AG134" s="33"/>
      <c r="AH134" s="33">
        <v>45444</v>
      </c>
      <c r="AI134" s="33">
        <v>45536</v>
      </c>
      <c r="AJ134" s="42"/>
      <c r="AK134" s="37" t="s">
        <v>1954</v>
      </c>
      <c r="AL134" s="37" t="s">
        <v>1955</v>
      </c>
      <c r="AM134" s="37" t="s">
        <v>1956</v>
      </c>
      <c r="AN134" s="37" t="s">
        <v>174</v>
      </c>
      <c r="AO134" s="43">
        <v>0</v>
      </c>
      <c r="AP134" s="35">
        <v>100</v>
      </c>
      <c r="AQ134" s="35" t="s">
        <v>164</v>
      </c>
      <c r="AR134" s="44">
        <v>3</v>
      </c>
      <c r="AS134" s="37" t="s">
        <v>52</v>
      </c>
    </row>
    <row r="135" spans="1:45" ht="48" customHeight="1" x14ac:dyDescent="0.25">
      <c r="A135" s="32" t="s">
        <v>1961</v>
      </c>
      <c r="B135" s="56">
        <v>45323</v>
      </c>
      <c r="C135" s="37">
        <v>1416</v>
      </c>
      <c r="D135" s="36"/>
      <c r="E135" s="1" t="s">
        <v>1962</v>
      </c>
      <c r="F135" s="33">
        <v>45348</v>
      </c>
      <c r="G135" s="35" t="s">
        <v>1963</v>
      </c>
      <c r="H135" s="37" t="s">
        <v>169</v>
      </c>
      <c r="I135" s="58" t="s">
        <v>1933</v>
      </c>
      <c r="J135" s="57">
        <v>116475810</v>
      </c>
      <c r="K135" s="40">
        <v>0</v>
      </c>
      <c r="L135" s="41">
        <v>0</v>
      </c>
      <c r="M135" s="57">
        <v>116475810</v>
      </c>
      <c r="N135" s="41">
        <v>0</v>
      </c>
      <c r="O135" s="57">
        <v>116475810</v>
      </c>
      <c r="P135" s="27">
        <v>116475810</v>
      </c>
      <c r="Q135" s="27">
        <v>116475810</v>
      </c>
      <c r="R135" s="27">
        <v>7.26</v>
      </c>
      <c r="S135" s="38">
        <v>7.26</v>
      </c>
      <c r="T135" s="38" t="e">
        <v>#VALUE!</v>
      </c>
      <c r="U135" s="38">
        <v>16043500</v>
      </c>
      <c r="V135" s="38">
        <v>16043500</v>
      </c>
      <c r="W135" s="38">
        <v>0</v>
      </c>
      <c r="X135" s="38">
        <v>0</v>
      </c>
      <c r="Y135" s="38">
        <v>16043500</v>
      </c>
      <c r="Z135" s="38">
        <v>116475810</v>
      </c>
      <c r="AA135" s="38">
        <v>0</v>
      </c>
      <c r="AB135" s="38">
        <v>0</v>
      </c>
      <c r="AC135" s="38" t="e">
        <v>#VALUE!</v>
      </c>
      <c r="AD135" s="38" t="e">
        <v>#VALUE!</v>
      </c>
      <c r="AE135" s="33">
        <v>45366</v>
      </c>
      <c r="AF135" s="33"/>
      <c r="AG135" s="33"/>
      <c r="AH135" s="33">
        <v>45397</v>
      </c>
      <c r="AI135" s="33"/>
      <c r="AJ135" s="42"/>
      <c r="AK135" s="37" t="s">
        <v>1964</v>
      </c>
      <c r="AL135" s="37" t="s">
        <v>1965</v>
      </c>
      <c r="AM135" s="37" t="s">
        <v>1966</v>
      </c>
      <c r="AN135" s="37" t="s">
        <v>768</v>
      </c>
      <c r="AO135" s="43">
        <v>0</v>
      </c>
      <c r="AP135" s="35">
        <v>100</v>
      </c>
      <c r="AQ135" s="35" t="s">
        <v>175</v>
      </c>
      <c r="AR135" s="48" t="s">
        <v>1967</v>
      </c>
      <c r="AS135" s="37" t="s">
        <v>52</v>
      </c>
    </row>
    <row r="136" spans="1:45" ht="48" customHeight="1" x14ac:dyDescent="0.25">
      <c r="A136" s="32" t="s">
        <v>1968</v>
      </c>
      <c r="B136" s="56">
        <v>45323</v>
      </c>
      <c r="C136" s="37">
        <v>1416</v>
      </c>
      <c r="D136" s="36"/>
      <c r="E136" s="1" t="s">
        <v>1969</v>
      </c>
      <c r="F136" s="33">
        <v>45348</v>
      </c>
      <c r="G136" s="35" t="s">
        <v>1970</v>
      </c>
      <c r="H136" s="37" t="s">
        <v>291</v>
      </c>
      <c r="I136" s="58" t="s">
        <v>1971</v>
      </c>
      <c r="J136" s="57">
        <v>18636961.5</v>
      </c>
      <c r="K136" s="40">
        <v>0.52840158520475566</v>
      </c>
      <c r="L136" s="41">
        <v>98478</v>
      </c>
      <c r="M136" s="38">
        <v>18538483.5</v>
      </c>
      <c r="N136" s="41">
        <v>98478</v>
      </c>
      <c r="O136" s="38">
        <v>18538483.5</v>
      </c>
      <c r="P136" s="27">
        <v>18538483.5</v>
      </c>
      <c r="Q136" s="27">
        <v>18538483.5</v>
      </c>
      <c r="R136" s="27">
        <v>22.71</v>
      </c>
      <c r="S136" s="38">
        <v>22.59</v>
      </c>
      <c r="T136" s="38">
        <v>1129.5</v>
      </c>
      <c r="U136" s="38">
        <v>820650</v>
      </c>
      <c r="V136" s="38">
        <v>820650</v>
      </c>
      <c r="W136" s="38">
        <v>0</v>
      </c>
      <c r="X136" s="38">
        <v>0</v>
      </c>
      <c r="Y136" s="38">
        <v>33950</v>
      </c>
      <c r="Z136" s="38">
        <v>766930.5</v>
      </c>
      <c r="AA136" s="38">
        <v>786700</v>
      </c>
      <c r="AB136" s="38">
        <v>17771553</v>
      </c>
      <c r="AC136" s="38">
        <v>16413</v>
      </c>
      <c r="AD136" s="38">
        <v>16413</v>
      </c>
      <c r="AE136" s="33">
        <v>45366</v>
      </c>
      <c r="AF136" s="33"/>
      <c r="AG136" s="33"/>
      <c r="AH136" s="33">
        <v>45397</v>
      </c>
      <c r="AI136" s="33"/>
      <c r="AJ136" s="42"/>
      <c r="AK136" s="37" t="s">
        <v>1972</v>
      </c>
      <c r="AL136" s="37" t="s">
        <v>1973</v>
      </c>
      <c r="AM136" s="37" t="s">
        <v>1974</v>
      </c>
      <c r="AN136" s="37" t="s">
        <v>50</v>
      </c>
      <c r="AO136" s="43">
        <v>100</v>
      </c>
      <c r="AP136" s="35">
        <v>0</v>
      </c>
      <c r="AQ136" s="35" t="s">
        <v>441</v>
      </c>
      <c r="AR136" s="44">
        <v>50</v>
      </c>
      <c r="AS136" s="37" t="s">
        <v>52</v>
      </c>
    </row>
    <row r="137" spans="1:45" ht="48" customHeight="1" x14ac:dyDescent="0.25">
      <c r="A137" s="32" t="s">
        <v>1975</v>
      </c>
      <c r="B137" s="56">
        <v>45323</v>
      </c>
      <c r="C137" s="37">
        <v>1416</v>
      </c>
      <c r="D137" s="36"/>
      <c r="E137" s="1" t="s">
        <v>1976</v>
      </c>
      <c r="F137" s="33">
        <v>45348</v>
      </c>
      <c r="G137" s="35" t="s">
        <v>1977</v>
      </c>
      <c r="H137" s="37" t="s">
        <v>219</v>
      </c>
      <c r="I137" s="58" t="s">
        <v>1978</v>
      </c>
      <c r="J137" s="57">
        <v>63183728.159999996</v>
      </c>
      <c r="K137" s="40">
        <v>0</v>
      </c>
      <c r="L137" s="41">
        <v>0</v>
      </c>
      <c r="M137" s="38">
        <v>63183728.159999996</v>
      </c>
      <c r="N137" s="41">
        <v>0</v>
      </c>
      <c r="O137" s="38">
        <v>63183728.159999996</v>
      </c>
      <c r="P137" s="27">
        <v>63183728.159999996</v>
      </c>
      <c r="Q137" s="27">
        <v>63183728.159999996</v>
      </c>
      <c r="R137" s="27">
        <v>12792.3</v>
      </c>
      <c r="S137" s="38">
        <v>12792.3</v>
      </c>
      <c r="T137" s="38">
        <v>15350.759999999998</v>
      </c>
      <c r="U137" s="38">
        <v>4939.2</v>
      </c>
      <c r="V137" s="38">
        <v>4939.2</v>
      </c>
      <c r="W137" s="38">
        <v>0</v>
      </c>
      <c r="X137" s="38">
        <v>0</v>
      </c>
      <c r="Y137" s="38">
        <v>3705.6</v>
      </c>
      <c r="Z137" s="38">
        <v>47403146.879999995</v>
      </c>
      <c r="AA137" s="38">
        <v>1233.5999999999999</v>
      </c>
      <c r="AB137" s="38">
        <v>15780581.279999997</v>
      </c>
      <c r="AC137" s="38">
        <v>4116</v>
      </c>
      <c r="AD137" s="38">
        <v>4116</v>
      </c>
      <c r="AE137" s="33">
        <v>45427</v>
      </c>
      <c r="AF137" s="33"/>
      <c r="AG137" s="33"/>
      <c r="AH137" s="33">
        <v>45458</v>
      </c>
      <c r="AI137" s="33"/>
      <c r="AJ137" s="42"/>
      <c r="AK137" s="37" t="s">
        <v>1979</v>
      </c>
      <c r="AL137" s="37" t="s">
        <v>1980</v>
      </c>
      <c r="AM137" s="37" t="s">
        <v>1981</v>
      </c>
      <c r="AN137" s="37" t="s">
        <v>50</v>
      </c>
      <c r="AO137" s="43">
        <v>100</v>
      </c>
      <c r="AP137" s="35">
        <v>0</v>
      </c>
      <c r="AQ137" s="35" t="s">
        <v>379</v>
      </c>
      <c r="AR137" s="49">
        <v>1.2</v>
      </c>
      <c r="AS137" s="37" t="s">
        <v>52</v>
      </c>
    </row>
    <row r="138" spans="1:45" ht="48" customHeight="1" x14ac:dyDescent="0.25">
      <c r="A138" s="32" t="s">
        <v>1982</v>
      </c>
      <c r="B138" s="56">
        <v>45323</v>
      </c>
      <c r="C138" s="37">
        <v>1416</v>
      </c>
      <c r="D138" s="36"/>
      <c r="E138" s="1" t="s">
        <v>1983</v>
      </c>
      <c r="F138" s="33">
        <v>45348</v>
      </c>
      <c r="G138" s="35" t="s">
        <v>1984</v>
      </c>
      <c r="H138" s="37" t="s">
        <v>219</v>
      </c>
      <c r="I138" s="58" t="s">
        <v>1985</v>
      </c>
      <c r="J138" s="57">
        <v>146587500</v>
      </c>
      <c r="K138" s="40">
        <v>0</v>
      </c>
      <c r="L138" s="41">
        <v>0</v>
      </c>
      <c r="M138" s="57">
        <v>146587500</v>
      </c>
      <c r="N138" s="41">
        <v>0</v>
      </c>
      <c r="O138" s="57">
        <v>146587500</v>
      </c>
      <c r="P138" s="27">
        <v>146587500</v>
      </c>
      <c r="Q138" s="27">
        <v>146587500</v>
      </c>
      <c r="R138" s="27">
        <v>13.03</v>
      </c>
      <c r="S138" s="38">
        <v>13.03</v>
      </c>
      <c r="T138" s="38">
        <v>6515</v>
      </c>
      <c r="U138" s="38">
        <v>11250000</v>
      </c>
      <c r="V138" s="38">
        <v>11250000</v>
      </c>
      <c r="W138" s="38">
        <v>0</v>
      </c>
      <c r="X138" s="38">
        <v>0</v>
      </c>
      <c r="Y138" s="38">
        <v>7194500</v>
      </c>
      <c r="Z138" s="38">
        <v>93744335</v>
      </c>
      <c r="AA138" s="38">
        <v>4055500</v>
      </c>
      <c r="AB138" s="38">
        <v>52843165</v>
      </c>
      <c r="AC138" s="38">
        <v>22500</v>
      </c>
      <c r="AD138" s="38">
        <v>22500</v>
      </c>
      <c r="AE138" s="33">
        <v>45382</v>
      </c>
      <c r="AF138" s="33"/>
      <c r="AG138" s="33"/>
      <c r="AH138" s="33">
        <v>45413</v>
      </c>
      <c r="AI138" s="33"/>
      <c r="AJ138" s="42"/>
      <c r="AK138" s="37" t="s">
        <v>1986</v>
      </c>
      <c r="AL138" s="37" t="s">
        <v>1987</v>
      </c>
      <c r="AM138" s="37" t="s">
        <v>1988</v>
      </c>
      <c r="AN138" s="37" t="s">
        <v>828</v>
      </c>
      <c r="AO138" s="43">
        <v>0</v>
      </c>
      <c r="AP138" s="35">
        <v>100</v>
      </c>
      <c r="AQ138" s="35" t="s">
        <v>175</v>
      </c>
      <c r="AR138" s="44">
        <v>500</v>
      </c>
      <c r="AS138" s="37" t="s">
        <v>52</v>
      </c>
    </row>
    <row r="139" spans="1:45" ht="48" customHeight="1" x14ac:dyDescent="0.25">
      <c r="A139" s="32" t="s">
        <v>2006</v>
      </c>
      <c r="B139" s="56">
        <v>45324</v>
      </c>
      <c r="C139" s="37">
        <v>1416</v>
      </c>
      <c r="D139" s="36"/>
      <c r="E139" s="1" t="s">
        <v>2007</v>
      </c>
      <c r="F139" s="33">
        <v>45352</v>
      </c>
      <c r="G139" s="35" t="s">
        <v>2008</v>
      </c>
      <c r="H139" s="37" t="s">
        <v>219</v>
      </c>
      <c r="I139" s="58" t="s">
        <v>2009</v>
      </c>
      <c r="J139" s="57">
        <v>763941360</v>
      </c>
      <c r="K139" s="40">
        <v>2.5</v>
      </c>
      <c r="L139" s="41">
        <v>19098534</v>
      </c>
      <c r="M139" s="38">
        <v>744842826</v>
      </c>
      <c r="N139" s="41">
        <v>19098534</v>
      </c>
      <c r="O139" s="38">
        <v>744842826</v>
      </c>
      <c r="P139" s="27">
        <v>744842826</v>
      </c>
      <c r="Q139" s="27">
        <v>744842826</v>
      </c>
      <c r="R139" s="27">
        <v>7.28</v>
      </c>
      <c r="S139" s="38">
        <v>7.0979999999999999</v>
      </c>
      <c r="T139" s="38">
        <v>7098</v>
      </c>
      <c r="U139" s="38">
        <v>104937000</v>
      </c>
      <c r="V139" s="38">
        <v>73121000</v>
      </c>
      <c r="W139" s="38">
        <v>31816000</v>
      </c>
      <c r="X139" s="38">
        <v>0</v>
      </c>
      <c r="Y139" s="38">
        <v>0</v>
      </c>
      <c r="Z139" s="38">
        <v>0</v>
      </c>
      <c r="AA139" s="38">
        <v>104937000</v>
      </c>
      <c r="AB139" s="38">
        <v>744842826</v>
      </c>
      <c r="AC139" s="38">
        <v>104937</v>
      </c>
      <c r="AD139" s="38">
        <v>104937</v>
      </c>
      <c r="AE139" s="33">
        <v>45366</v>
      </c>
      <c r="AF139" s="33">
        <v>45432</v>
      </c>
      <c r="AG139" s="33"/>
      <c r="AH139" s="33">
        <v>45397</v>
      </c>
      <c r="AI139" s="33">
        <v>45463</v>
      </c>
      <c r="AJ139" s="42"/>
      <c r="AK139" s="37" t="s">
        <v>1934</v>
      </c>
      <c r="AL139" s="37" t="s">
        <v>2010</v>
      </c>
      <c r="AM139" s="37" t="s">
        <v>1936</v>
      </c>
      <c r="AN139" s="37" t="s">
        <v>50</v>
      </c>
      <c r="AO139" s="43">
        <v>100</v>
      </c>
      <c r="AP139" s="35">
        <v>0</v>
      </c>
      <c r="AQ139" s="35" t="s">
        <v>175</v>
      </c>
      <c r="AR139" s="44">
        <v>1000</v>
      </c>
      <c r="AS139" s="37" t="s">
        <v>52</v>
      </c>
    </row>
    <row r="140" spans="1:45" ht="48" customHeight="1" x14ac:dyDescent="0.25">
      <c r="A140" s="32" t="s">
        <v>2011</v>
      </c>
      <c r="B140" s="56">
        <v>45324</v>
      </c>
      <c r="C140" s="37">
        <v>1416</v>
      </c>
      <c r="D140" s="36" t="s">
        <v>485</v>
      </c>
      <c r="E140" s="1" t="s">
        <v>2012</v>
      </c>
      <c r="F140" s="33" t="s">
        <v>485</v>
      </c>
      <c r="G140" s="35" t="s">
        <v>485</v>
      </c>
      <c r="H140" s="37" t="s">
        <v>485</v>
      </c>
      <c r="I140" s="58" t="s">
        <v>2013</v>
      </c>
      <c r="J140" s="57">
        <v>169078328.09999999</v>
      </c>
      <c r="K140" s="40">
        <v>100</v>
      </c>
      <c r="L140" s="41">
        <v>169078328.09999999</v>
      </c>
      <c r="M140" s="38"/>
      <c r="N140" s="41">
        <v>169078328.09999999</v>
      </c>
      <c r="O140" s="38">
        <v>0</v>
      </c>
      <c r="P140" s="27">
        <v>0</v>
      </c>
      <c r="Q140" s="27">
        <v>0</v>
      </c>
      <c r="R140" s="27">
        <v>3221.46</v>
      </c>
      <c r="S140" s="38">
        <v>0</v>
      </c>
      <c r="T140" s="38">
        <v>0</v>
      </c>
      <c r="U140" s="38">
        <v>52485</v>
      </c>
      <c r="V140" s="38">
        <v>17665</v>
      </c>
      <c r="W140" s="38">
        <v>34820</v>
      </c>
      <c r="X140" s="38">
        <v>0</v>
      </c>
      <c r="Y140" s="38"/>
      <c r="Z140" s="38">
        <v>0</v>
      </c>
      <c r="AA140" s="38">
        <v>0</v>
      </c>
      <c r="AB140" s="38">
        <v>0</v>
      </c>
      <c r="AC140" s="38" t="e">
        <v>#DIV/0!</v>
      </c>
      <c r="AD140" s="38" t="e">
        <v>#DIV/0!</v>
      </c>
      <c r="AE140" s="33">
        <v>45352</v>
      </c>
      <c r="AF140" s="33">
        <v>45444</v>
      </c>
      <c r="AG140" s="33"/>
      <c r="AH140" s="33"/>
      <c r="AI140" s="33"/>
      <c r="AJ140" s="42"/>
      <c r="AK140" s="37"/>
      <c r="AL140" s="37"/>
      <c r="AM140" s="37"/>
      <c r="AN140" s="37"/>
      <c r="AO140" s="43"/>
      <c r="AP140" s="35"/>
      <c r="AQ140" s="35"/>
      <c r="AR140" s="44"/>
      <c r="AS140" s="37" t="s">
        <v>485</v>
      </c>
    </row>
    <row r="141" spans="1:45" ht="63.75" customHeight="1" x14ac:dyDescent="0.25">
      <c r="A141" s="46" t="s">
        <v>2014</v>
      </c>
      <c r="B141" s="33">
        <v>45327</v>
      </c>
      <c r="C141" s="35">
        <v>1416</v>
      </c>
      <c r="D141" s="36"/>
      <c r="E141" s="1" t="s">
        <v>2015</v>
      </c>
      <c r="F141" s="33">
        <v>45352</v>
      </c>
      <c r="G141" s="35" t="s">
        <v>2016</v>
      </c>
      <c r="H141" s="37" t="s">
        <v>169</v>
      </c>
      <c r="I141" s="37" t="s">
        <v>764</v>
      </c>
      <c r="J141" s="38">
        <v>251473040</v>
      </c>
      <c r="K141" s="40">
        <v>0</v>
      </c>
      <c r="L141" s="41">
        <v>0</v>
      </c>
      <c r="M141" s="38">
        <v>251473040</v>
      </c>
      <c r="N141" s="41">
        <v>0</v>
      </c>
      <c r="O141" s="38">
        <v>251473040</v>
      </c>
      <c r="P141" s="27">
        <v>251473040</v>
      </c>
      <c r="Q141" s="27">
        <v>251473040</v>
      </c>
      <c r="R141" s="27">
        <v>7.28</v>
      </c>
      <c r="S141" s="38">
        <v>7.28</v>
      </c>
      <c r="T141" s="38">
        <v>7280</v>
      </c>
      <c r="U141" s="38">
        <v>34543000</v>
      </c>
      <c r="V141" s="38">
        <v>34543000</v>
      </c>
      <c r="W141" s="38">
        <v>0</v>
      </c>
      <c r="X141" s="38">
        <v>0</v>
      </c>
      <c r="Y141" s="38">
        <v>34543000</v>
      </c>
      <c r="Z141" s="38">
        <v>251473040</v>
      </c>
      <c r="AA141" s="38">
        <v>0</v>
      </c>
      <c r="AB141" s="38">
        <v>0</v>
      </c>
      <c r="AC141" s="38">
        <v>34543</v>
      </c>
      <c r="AD141" s="38">
        <v>34543</v>
      </c>
      <c r="AE141" s="33">
        <v>45366</v>
      </c>
      <c r="AF141" s="33"/>
      <c r="AG141" s="33"/>
      <c r="AH141" s="33">
        <v>45397</v>
      </c>
      <c r="AI141" s="33"/>
      <c r="AJ141" s="42"/>
      <c r="AK141" s="37" t="s">
        <v>1964</v>
      </c>
      <c r="AL141" s="37" t="s">
        <v>2017</v>
      </c>
      <c r="AM141" s="37" t="s">
        <v>1966</v>
      </c>
      <c r="AN141" s="37" t="s">
        <v>768</v>
      </c>
      <c r="AO141" s="43">
        <v>0</v>
      </c>
      <c r="AP141" s="35">
        <v>100</v>
      </c>
      <c r="AQ141" s="35" t="s">
        <v>175</v>
      </c>
      <c r="AR141" s="44">
        <v>1000</v>
      </c>
      <c r="AS141" s="37" t="s">
        <v>52</v>
      </c>
    </row>
    <row r="142" spans="1:45" ht="41.25" customHeight="1" x14ac:dyDescent="0.25">
      <c r="A142" s="36" t="s">
        <v>2192</v>
      </c>
      <c r="B142" s="33">
        <v>45337</v>
      </c>
      <c r="C142" s="35">
        <v>1416</v>
      </c>
      <c r="D142" s="36" t="s">
        <v>485</v>
      </c>
      <c r="E142" s="1" t="s">
        <v>2193</v>
      </c>
      <c r="F142" s="36" t="s">
        <v>485</v>
      </c>
      <c r="G142" s="36" t="s">
        <v>485</v>
      </c>
      <c r="H142" s="36" t="s">
        <v>485</v>
      </c>
      <c r="I142" s="45" t="s">
        <v>785</v>
      </c>
      <c r="J142" s="38">
        <v>661467276.47000003</v>
      </c>
      <c r="K142" s="40">
        <v>100</v>
      </c>
      <c r="L142" s="41">
        <v>661467276.47000003</v>
      </c>
      <c r="M142" s="38"/>
      <c r="N142" s="41">
        <v>661467276.47000003</v>
      </c>
      <c r="O142" s="38">
        <v>0</v>
      </c>
      <c r="P142" s="27">
        <v>0</v>
      </c>
      <c r="Q142" s="27">
        <v>0</v>
      </c>
      <c r="R142" s="27" t="e">
        <v>#DIV/0!</v>
      </c>
      <c r="S142" s="38" t="e">
        <v>#DIV/0!</v>
      </c>
      <c r="T142" s="38" t="e">
        <v>#DIV/0!</v>
      </c>
      <c r="U142" s="38">
        <v>0</v>
      </c>
      <c r="V142" s="38">
        <v>0</v>
      </c>
      <c r="W142" s="38">
        <v>0</v>
      </c>
      <c r="X142" s="38">
        <v>0</v>
      </c>
      <c r="Y142" s="38"/>
      <c r="Z142" s="38" t="e">
        <v>#DIV/0!</v>
      </c>
      <c r="AA142" s="38"/>
      <c r="AB142" s="38" t="e">
        <v>#DIV/0!</v>
      </c>
      <c r="AC142" s="38" t="e">
        <v>#DIV/0!</v>
      </c>
      <c r="AD142" s="38" t="e">
        <v>#DIV/0!</v>
      </c>
      <c r="AE142" s="33">
        <v>45474</v>
      </c>
      <c r="AF142" s="33"/>
      <c r="AG142" s="33"/>
      <c r="AH142" s="33"/>
      <c r="AI142" s="33"/>
      <c r="AJ142" s="42"/>
      <c r="AK142" s="37"/>
      <c r="AL142" s="37"/>
      <c r="AM142" s="37"/>
      <c r="AN142" s="37"/>
      <c r="AO142" s="43"/>
      <c r="AP142" s="35"/>
      <c r="AQ142" s="35"/>
      <c r="AR142" s="44"/>
      <c r="AS142" s="37" t="s">
        <v>485</v>
      </c>
    </row>
    <row r="143" spans="1:45" ht="41.25" customHeight="1" x14ac:dyDescent="0.25">
      <c r="A143" s="36" t="s">
        <v>2208</v>
      </c>
      <c r="B143" s="33">
        <v>45337</v>
      </c>
      <c r="C143" s="35">
        <v>1416</v>
      </c>
      <c r="D143" s="36"/>
      <c r="E143" s="1" t="s">
        <v>2209</v>
      </c>
      <c r="F143" s="33">
        <v>45366</v>
      </c>
      <c r="G143" s="35" t="s">
        <v>2210</v>
      </c>
      <c r="H143" s="37" t="s">
        <v>364</v>
      </c>
      <c r="I143" s="45" t="s">
        <v>2211</v>
      </c>
      <c r="J143" s="38">
        <v>626565718.35000002</v>
      </c>
      <c r="K143" s="40">
        <v>0</v>
      </c>
      <c r="L143" s="41">
        <v>0</v>
      </c>
      <c r="M143" s="38">
        <v>626565718.35000002</v>
      </c>
      <c r="N143" s="41">
        <v>0</v>
      </c>
      <c r="O143" s="38">
        <v>626565718.35000002</v>
      </c>
      <c r="P143" s="27">
        <v>626565718.35000002</v>
      </c>
      <c r="Q143" s="27">
        <v>626565718.35000002</v>
      </c>
      <c r="R143" s="27">
        <v>1212.97</v>
      </c>
      <c r="S143" s="38">
        <v>1212.97</v>
      </c>
      <c r="T143" s="38" t="e">
        <v>#VALUE!</v>
      </c>
      <c r="U143" s="38">
        <v>516555</v>
      </c>
      <c r="V143" s="38">
        <v>516555</v>
      </c>
      <c r="W143" s="38">
        <v>0</v>
      </c>
      <c r="X143" s="38">
        <v>0</v>
      </c>
      <c r="Y143" s="38">
        <v>0</v>
      </c>
      <c r="Z143" s="38">
        <v>0</v>
      </c>
      <c r="AA143" s="38">
        <v>516555</v>
      </c>
      <c r="AB143" s="38">
        <v>626565718.35000002</v>
      </c>
      <c r="AC143" s="38" t="e">
        <v>#VALUE!</v>
      </c>
      <c r="AD143" s="38" t="e">
        <v>#VALUE!</v>
      </c>
      <c r="AE143" s="33">
        <v>45413</v>
      </c>
      <c r="AF143" s="33"/>
      <c r="AG143" s="33"/>
      <c r="AH143" s="33">
        <v>45444</v>
      </c>
      <c r="AI143" s="33"/>
      <c r="AJ143" s="42"/>
      <c r="AK143" s="37" t="s">
        <v>1441</v>
      </c>
      <c r="AL143" s="37" t="s">
        <v>1442</v>
      </c>
      <c r="AM143" s="37" t="s">
        <v>1443</v>
      </c>
      <c r="AN143" s="37" t="s">
        <v>50</v>
      </c>
      <c r="AO143" s="43">
        <v>100</v>
      </c>
      <c r="AP143" s="35">
        <v>0</v>
      </c>
      <c r="AQ143" s="35" t="s">
        <v>441</v>
      </c>
      <c r="AR143" s="48" t="s">
        <v>1444</v>
      </c>
      <c r="AS143" s="37" t="s">
        <v>52</v>
      </c>
    </row>
    <row r="144" spans="1:45" ht="41.25" customHeight="1" x14ac:dyDescent="0.25">
      <c r="A144" s="36" t="s">
        <v>2212</v>
      </c>
      <c r="B144" s="33">
        <v>45337</v>
      </c>
      <c r="C144" s="35" t="s">
        <v>2213</v>
      </c>
      <c r="D144" s="36" t="s">
        <v>485</v>
      </c>
      <c r="E144" s="1" t="s">
        <v>2214</v>
      </c>
      <c r="F144" s="36" t="s">
        <v>485</v>
      </c>
      <c r="G144" s="36" t="s">
        <v>485</v>
      </c>
      <c r="H144" s="36" t="s">
        <v>485</v>
      </c>
      <c r="I144" s="45" t="s">
        <v>785</v>
      </c>
      <c r="J144" s="38">
        <v>9023426.2799999993</v>
      </c>
      <c r="K144" s="40">
        <v>100</v>
      </c>
      <c r="L144" s="41">
        <v>9023426.2799999993</v>
      </c>
      <c r="M144" s="38"/>
      <c r="N144" s="41">
        <v>9023426.2799999993</v>
      </c>
      <c r="O144" s="38">
        <v>0</v>
      </c>
      <c r="P144" s="27">
        <v>0</v>
      </c>
      <c r="Q144" s="27">
        <v>0</v>
      </c>
      <c r="R144" s="27" t="e">
        <v>#DIV/0!</v>
      </c>
      <c r="S144" s="38" t="e">
        <v>#DIV/0!</v>
      </c>
      <c r="T144" s="38" t="e">
        <v>#DIV/0!</v>
      </c>
      <c r="U144" s="38">
        <v>0</v>
      </c>
      <c r="V144" s="38">
        <v>0</v>
      </c>
      <c r="W144" s="38">
        <v>0</v>
      </c>
      <c r="X144" s="38">
        <v>0</v>
      </c>
      <c r="Y144" s="38"/>
      <c r="Z144" s="38" t="e">
        <v>#DIV/0!</v>
      </c>
      <c r="AA144" s="38"/>
      <c r="AB144" s="38" t="e">
        <v>#DIV/0!</v>
      </c>
      <c r="AC144" s="38" t="e">
        <v>#DIV/0!</v>
      </c>
      <c r="AD144" s="38" t="e">
        <v>#DIV/0!</v>
      </c>
      <c r="AE144" s="33">
        <v>45474</v>
      </c>
      <c r="AF144" s="33"/>
      <c r="AG144" s="33"/>
      <c r="AH144" s="33"/>
      <c r="AI144" s="33"/>
      <c r="AJ144" s="42"/>
      <c r="AK144" s="37"/>
      <c r="AL144" s="37"/>
      <c r="AM144" s="37"/>
      <c r="AN144" s="37"/>
      <c r="AO144" s="43"/>
      <c r="AP144" s="35"/>
      <c r="AQ144" s="35"/>
      <c r="AR144" s="44"/>
      <c r="AS144" s="37" t="s">
        <v>485</v>
      </c>
    </row>
    <row r="145" spans="1:45" ht="41.25" customHeight="1" x14ac:dyDescent="0.25">
      <c r="A145" s="36" t="s">
        <v>2215</v>
      </c>
      <c r="B145" s="33">
        <v>45337</v>
      </c>
      <c r="C145" s="35" t="s">
        <v>2213</v>
      </c>
      <c r="D145" s="36" t="s">
        <v>485</v>
      </c>
      <c r="E145" s="1" t="s">
        <v>2216</v>
      </c>
      <c r="F145" s="36" t="s">
        <v>485</v>
      </c>
      <c r="G145" s="36" t="s">
        <v>485</v>
      </c>
      <c r="H145" s="36" t="s">
        <v>485</v>
      </c>
      <c r="I145" s="45" t="s">
        <v>2217</v>
      </c>
      <c r="J145" s="38">
        <v>62977.5</v>
      </c>
      <c r="K145" s="40">
        <v>100</v>
      </c>
      <c r="L145" s="41">
        <v>62977.5</v>
      </c>
      <c r="M145" s="38"/>
      <c r="N145" s="41">
        <v>62977.5</v>
      </c>
      <c r="O145" s="38">
        <v>0</v>
      </c>
      <c r="P145" s="27">
        <v>0</v>
      </c>
      <c r="Q145" s="27">
        <v>0</v>
      </c>
      <c r="R145" s="27" t="e">
        <v>#DIV/0!</v>
      </c>
      <c r="S145" s="38" t="e">
        <v>#DIV/0!</v>
      </c>
      <c r="T145" s="38" t="e">
        <v>#DIV/0!</v>
      </c>
      <c r="U145" s="38">
        <v>0</v>
      </c>
      <c r="V145" s="38">
        <v>0</v>
      </c>
      <c r="W145" s="38">
        <v>0</v>
      </c>
      <c r="X145" s="38">
        <v>0</v>
      </c>
      <c r="Y145" s="38"/>
      <c r="Z145" s="38" t="e">
        <v>#DIV/0!</v>
      </c>
      <c r="AA145" s="38"/>
      <c r="AB145" s="38" t="e">
        <v>#DIV/0!</v>
      </c>
      <c r="AC145" s="38" t="e">
        <v>#DIV/0!</v>
      </c>
      <c r="AD145" s="38" t="e">
        <v>#DIV/0!</v>
      </c>
      <c r="AE145" s="33">
        <v>45397</v>
      </c>
      <c r="AF145" s="33"/>
      <c r="AG145" s="33"/>
      <c r="AH145" s="33"/>
      <c r="AI145" s="33"/>
      <c r="AJ145" s="42"/>
      <c r="AK145" s="37"/>
      <c r="AL145" s="37"/>
      <c r="AM145" s="37"/>
      <c r="AN145" s="37"/>
      <c r="AO145" s="43"/>
      <c r="AP145" s="35"/>
      <c r="AQ145" s="35"/>
      <c r="AR145" s="44"/>
      <c r="AS145" s="37" t="s">
        <v>485</v>
      </c>
    </row>
    <row r="146" spans="1:45" ht="41.25" customHeight="1" x14ac:dyDescent="0.25">
      <c r="A146" s="36" t="s">
        <v>2228</v>
      </c>
      <c r="B146" s="33">
        <v>45337</v>
      </c>
      <c r="C146" s="35" t="s">
        <v>2213</v>
      </c>
      <c r="D146" s="36"/>
      <c r="E146" s="1" t="s">
        <v>2229</v>
      </c>
      <c r="F146" s="33">
        <v>45350</v>
      </c>
      <c r="G146" s="35" t="s">
        <v>2230</v>
      </c>
      <c r="H146" s="37" t="s">
        <v>2176</v>
      </c>
      <c r="I146" s="45" t="s">
        <v>2211</v>
      </c>
      <c r="J146" s="38">
        <v>3802660.95</v>
      </c>
      <c r="K146" s="40">
        <v>0</v>
      </c>
      <c r="L146" s="41">
        <v>0</v>
      </c>
      <c r="M146" s="38">
        <v>3802660.95</v>
      </c>
      <c r="N146" s="41">
        <v>0</v>
      </c>
      <c r="O146" s="38">
        <v>3802660.95</v>
      </c>
      <c r="P146" s="27">
        <v>3802660.95</v>
      </c>
      <c r="Q146" s="27">
        <v>3802660.95</v>
      </c>
      <c r="R146" s="27">
        <v>1212.97</v>
      </c>
      <c r="S146" s="38">
        <v>1212.97</v>
      </c>
      <c r="T146" s="38">
        <v>18194.55</v>
      </c>
      <c r="U146" s="38">
        <v>3135</v>
      </c>
      <c r="V146" s="38">
        <v>3135</v>
      </c>
      <c r="W146" s="38">
        <v>0</v>
      </c>
      <c r="X146" s="38">
        <v>0</v>
      </c>
      <c r="Y146" s="38">
        <v>0</v>
      </c>
      <c r="Z146" s="38">
        <v>0</v>
      </c>
      <c r="AA146" s="38">
        <v>3135</v>
      </c>
      <c r="AB146" s="38">
        <v>3802660.95</v>
      </c>
      <c r="AC146" s="38">
        <v>209</v>
      </c>
      <c r="AD146" s="38">
        <v>209</v>
      </c>
      <c r="AE146" s="33">
        <v>45413</v>
      </c>
      <c r="AF146" s="33"/>
      <c r="AG146" s="33"/>
      <c r="AH146" s="33">
        <v>45444</v>
      </c>
      <c r="AI146" s="33"/>
      <c r="AJ146" s="42"/>
      <c r="AK146" s="37" t="s">
        <v>2231</v>
      </c>
      <c r="AL146" s="37" t="s">
        <v>2232</v>
      </c>
      <c r="AM146" s="37" t="s">
        <v>2233</v>
      </c>
      <c r="AN146" s="37" t="s">
        <v>50</v>
      </c>
      <c r="AO146" s="43">
        <v>100</v>
      </c>
      <c r="AP146" s="35">
        <v>0</v>
      </c>
      <c r="AQ146" s="35" t="s">
        <v>441</v>
      </c>
      <c r="AR146" s="44">
        <v>15</v>
      </c>
      <c r="AS146" s="37" t="s">
        <v>52</v>
      </c>
    </row>
    <row r="147" spans="1:45" ht="41.25" customHeight="1" x14ac:dyDescent="0.25">
      <c r="A147" s="32" t="s">
        <v>2238</v>
      </c>
      <c r="B147" s="56">
        <v>45338</v>
      </c>
      <c r="C147" s="35">
        <v>1416</v>
      </c>
      <c r="D147" s="36"/>
      <c r="E147" s="1" t="s">
        <v>2239</v>
      </c>
      <c r="F147" s="33">
        <v>45363</v>
      </c>
      <c r="G147" s="35" t="s">
        <v>2240</v>
      </c>
      <c r="H147" s="37" t="s">
        <v>2241</v>
      </c>
      <c r="I147" s="58" t="s">
        <v>1078</v>
      </c>
      <c r="J147" s="57">
        <v>2708640</v>
      </c>
      <c r="K147" s="40">
        <v>0</v>
      </c>
      <c r="L147" s="41">
        <v>0</v>
      </c>
      <c r="M147" s="57">
        <v>2708640</v>
      </c>
      <c r="N147" s="41">
        <v>0</v>
      </c>
      <c r="O147" s="57">
        <v>2708640</v>
      </c>
      <c r="P147" s="27">
        <v>2708640</v>
      </c>
      <c r="Q147" s="27">
        <v>2708640</v>
      </c>
      <c r="R147" s="27">
        <v>125.4</v>
      </c>
      <c r="S147" s="38">
        <v>125.4</v>
      </c>
      <c r="T147" s="38">
        <v>25080</v>
      </c>
      <c r="U147" s="38">
        <v>21600</v>
      </c>
      <c r="V147" s="38">
        <v>21600</v>
      </c>
      <c r="W147" s="38">
        <v>0</v>
      </c>
      <c r="X147" s="38">
        <v>0</v>
      </c>
      <c r="Y147" s="38">
        <v>14400</v>
      </c>
      <c r="Z147" s="38">
        <v>1805760</v>
      </c>
      <c r="AA147" s="38">
        <v>7200</v>
      </c>
      <c r="AB147" s="38">
        <v>902880</v>
      </c>
      <c r="AC147" s="38">
        <v>108</v>
      </c>
      <c r="AD147" s="38">
        <v>108</v>
      </c>
      <c r="AE147" s="33">
        <v>45474</v>
      </c>
      <c r="AF147" s="33"/>
      <c r="AG147" s="33"/>
      <c r="AH147" s="33">
        <v>45505</v>
      </c>
      <c r="AI147" s="33"/>
      <c r="AJ147" s="42"/>
      <c r="AK147" s="37" t="s">
        <v>2242</v>
      </c>
      <c r="AL147" s="37" t="s">
        <v>2243</v>
      </c>
      <c r="AM147" s="37" t="s">
        <v>2244</v>
      </c>
      <c r="AN147" s="37" t="s">
        <v>440</v>
      </c>
      <c r="AO147" s="43">
        <v>0</v>
      </c>
      <c r="AP147" s="35">
        <v>100</v>
      </c>
      <c r="AQ147" s="35" t="s">
        <v>1118</v>
      </c>
      <c r="AR147" s="44">
        <v>200</v>
      </c>
      <c r="AS147" s="37" t="s">
        <v>52</v>
      </c>
    </row>
    <row r="148" spans="1:45" ht="48" customHeight="1" x14ac:dyDescent="0.25">
      <c r="A148" s="32" t="s">
        <v>2293</v>
      </c>
      <c r="B148" s="56">
        <v>45341</v>
      </c>
      <c r="C148" s="35">
        <v>1416</v>
      </c>
      <c r="D148" s="36"/>
      <c r="E148" s="1" t="s">
        <v>2294</v>
      </c>
      <c r="F148" s="33">
        <v>45369</v>
      </c>
      <c r="G148" s="35" t="s">
        <v>2295</v>
      </c>
      <c r="H148" s="37" t="s">
        <v>1067</v>
      </c>
      <c r="I148" s="58" t="s">
        <v>2296</v>
      </c>
      <c r="J148" s="57">
        <v>454968600</v>
      </c>
      <c r="K148" s="40">
        <v>0</v>
      </c>
      <c r="L148" s="41">
        <v>0</v>
      </c>
      <c r="M148" s="57">
        <v>454968600</v>
      </c>
      <c r="N148" s="41">
        <v>0</v>
      </c>
      <c r="O148" s="57">
        <v>454968600</v>
      </c>
      <c r="P148" s="27">
        <v>454968600</v>
      </c>
      <c r="Q148" s="27">
        <v>454968600</v>
      </c>
      <c r="R148" s="27">
        <v>12.37</v>
      </c>
      <c r="S148" s="38">
        <v>12.37</v>
      </c>
      <c r="T148" s="38">
        <v>37110</v>
      </c>
      <c r="U148" s="38">
        <v>36780000</v>
      </c>
      <c r="V148" s="38">
        <v>30000000</v>
      </c>
      <c r="W148" s="38">
        <v>6780000</v>
      </c>
      <c r="X148" s="38">
        <v>0</v>
      </c>
      <c r="Y148" s="38">
        <v>14343000</v>
      </c>
      <c r="Z148" s="38">
        <v>177422910</v>
      </c>
      <c r="AA148" s="38">
        <v>22437000</v>
      </c>
      <c r="AB148" s="38">
        <v>277545690</v>
      </c>
      <c r="AC148" s="38">
        <v>12260</v>
      </c>
      <c r="AD148" s="38">
        <v>12260</v>
      </c>
      <c r="AE148" s="33">
        <v>45397</v>
      </c>
      <c r="AF148" s="33">
        <v>45443</v>
      </c>
      <c r="AG148" s="33"/>
      <c r="AH148" s="33">
        <v>45427</v>
      </c>
      <c r="AI148" s="33">
        <v>45474</v>
      </c>
      <c r="AJ148" s="42"/>
      <c r="AK148" s="37" t="s">
        <v>2297</v>
      </c>
      <c r="AL148" s="37" t="s">
        <v>2298</v>
      </c>
      <c r="AM148" s="37" t="s">
        <v>2299</v>
      </c>
      <c r="AN148" s="37" t="s">
        <v>751</v>
      </c>
      <c r="AO148" s="43">
        <v>0</v>
      </c>
      <c r="AP148" s="35">
        <v>100</v>
      </c>
      <c r="AQ148" s="35" t="s">
        <v>175</v>
      </c>
      <c r="AR148" s="44">
        <v>3000</v>
      </c>
      <c r="AS148" s="37" t="s">
        <v>52</v>
      </c>
    </row>
    <row r="149" spans="1:45" ht="48" customHeight="1" x14ac:dyDescent="0.25">
      <c r="A149" s="32" t="s">
        <v>2300</v>
      </c>
      <c r="B149" s="56">
        <v>45341</v>
      </c>
      <c r="C149" s="35">
        <v>1416</v>
      </c>
      <c r="D149" s="36"/>
      <c r="E149" s="1" t="s">
        <v>2301</v>
      </c>
      <c r="F149" s="33">
        <v>45363</v>
      </c>
      <c r="G149" s="35" t="s">
        <v>2302</v>
      </c>
      <c r="H149" s="37" t="s">
        <v>2303</v>
      </c>
      <c r="I149" s="58" t="s">
        <v>2217</v>
      </c>
      <c r="J149" s="57">
        <v>6465690</v>
      </c>
      <c r="K149" s="40">
        <v>0</v>
      </c>
      <c r="L149" s="41">
        <v>0</v>
      </c>
      <c r="M149" s="57">
        <v>6465690</v>
      </c>
      <c r="N149" s="41">
        <v>0</v>
      </c>
      <c r="O149" s="57">
        <v>6465690</v>
      </c>
      <c r="P149" s="27">
        <v>6465690</v>
      </c>
      <c r="Q149" s="27">
        <v>6465690</v>
      </c>
      <c r="R149" s="27">
        <v>83.97</v>
      </c>
      <c r="S149" s="38">
        <v>83.97</v>
      </c>
      <c r="T149" s="38">
        <v>4198.5</v>
      </c>
      <c r="U149" s="38">
        <v>77000</v>
      </c>
      <c r="V149" s="38">
        <v>77000</v>
      </c>
      <c r="W149" s="38">
        <v>0</v>
      </c>
      <c r="X149" s="38">
        <v>0</v>
      </c>
      <c r="Y149" s="38">
        <v>32369</v>
      </c>
      <c r="Z149" s="38">
        <v>2718024.93</v>
      </c>
      <c r="AA149" s="38">
        <v>44631</v>
      </c>
      <c r="AB149" s="38">
        <v>3747665.07</v>
      </c>
      <c r="AC149" s="38">
        <v>1540</v>
      </c>
      <c r="AD149" s="38">
        <v>1540</v>
      </c>
      <c r="AE149" s="33">
        <v>45397</v>
      </c>
      <c r="AF149" s="33"/>
      <c r="AG149" s="33"/>
      <c r="AH149" s="33">
        <v>45427</v>
      </c>
      <c r="AI149" s="33"/>
      <c r="AJ149" s="42"/>
      <c r="AK149" s="37" t="s">
        <v>2304</v>
      </c>
      <c r="AL149" s="37" t="s">
        <v>2305</v>
      </c>
      <c r="AM149" s="37" t="s">
        <v>2306</v>
      </c>
      <c r="AN149" s="37" t="s">
        <v>369</v>
      </c>
      <c r="AO149" s="43">
        <v>0</v>
      </c>
      <c r="AP149" s="35">
        <v>100</v>
      </c>
      <c r="AQ149" s="35" t="s">
        <v>164</v>
      </c>
      <c r="AR149" s="44">
        <v>50</v>
      </c>
      <c r="AS149" s="37" t="s">
        <v>52</v>
      </c>
    </row>
    <row r="150" spans="1:45" ht="48" customHeight="1" x14ac:dyDescent="0.25">
      <c r="A150" s="32" t="s">
        <v>2307</v>
      </c>
      <c r="B150" s="56">
        <v>45341</v>
      </c>
      <c r="C150" s="35">
        <v>1416</v>
      </c>
      <c r="D150" s="36"/>
      <c r="E150" s="1" t="s">
        <v>2308</v>
      </c>
      <c r="F150" s="33">
        <v>45369</v>
      </c>
      <c r="G150" s="35" t="s">
        <v>2309</v>
      </c>
      <c r="H150" s="37" t="s">
        <v>1067</v>
      </c>
      <c r="I150" s="58" t="s">
        <v>2310</v>
      </c>
      <c r="J150" s="57">
        <v>680150160</v>
      </c>
      <c r="K150" s="40">
        <v>0</v>
      </c>
      <c r="L150" s="41">
        <v>0</v>
      </c>
      <c r="M150" s="57">
        <v>680150160</v>
      </c>
      <c r="N150" s="41">
        <v>0</v>
      </c>
      <c r="O150" s="57">
        <v>680150160</v>
      </c>
      <c r="P150" s="27">
        <v>680150160</v>
      </c>
      <c r="Q150" s="27">
        <v>680150160</v>
      </c>
      <c r="R150" s="27">
        <v>12.12</v>
      </c>
      <c r="S150" s="38">
        <v>12.12</v>
      </c>
      <c r="T150" s="38">
        <v>24240</v>
      </c>
      <c r="U150" s="38">
        <v>56118000</v>
      </c>
      <c r="V150" s="38">
        <v>56118000</v>
      </c>
      <c r="W150" s="38">
        <v>0</v>
      </c>
      <c r="X150" s="38">
        <v>0</v>
      </c>
      <c r="Y150" s="38">
        <v>24922000</v>
      </c>
      <c r="Z150" s="38">
        <v>302054640</v>
      </c>
      <c r="AA150" s="38">
        <v>31196000</v>
      </c>
      <c r="AB150" s="38">
        <v>378095520</v>
      </c>
      <c r="AC150" s="38">
        <v>28059</v>
      </c>
      <c r="AD150" s="38">
        <v>28059</v>
      </c>
      <c r="AE150" s="33">
        <v>45397</v>
      </c>
      <c r="AF150" s="33"/>
      <c r="AG150" s="33"/>
      <c r="AH150" s="33">
        <v>45427</v>
      </c>
      <c r="AI150" s="33"/>
      <c r="AJ150" s="42"/>
      <c r="AK150" s="37" t="s">
        <v>2297</v>
      </c>
      <c r="AL150" s="37" t="s">
        <v>2311</v>
      </c>
      <c r="AM150" s="37" t="s">
        <v>2299</v>
      </c>
      <c r="AN150" s="37" t="s">
        <v>751</v>
      </c>
      <c r="AO150" s="43">
        <v>0</v>
      </c>
      <c r="AP150" s="35">
        <v>100</v>
      </c>
      <c r="AQ150" s="35" t="s">
        <v>175</v>
      </c>
      <c r="AR150" s="44">
        <v>2000</v>
      </c>
      <c r="AS150" s="37" t="s">
        <v>52</v>
      </c>
    </row>
    <row r="151" spans="1:45" ht="48" customHeight="1" x14ac:dyDescent="0.25">
      <c r="A151" s="32" t="s">
        <v>2366</v>
      </c>
      <c r="B151" s="56">
        <v>45343</v>
      </c>
      <c r="C151" s="35">
        <v>1416</v>
      </c>
      <c r="D151" s="35" t="s">
        <v>485</v>
      </c>
      <c r="E151" s="1" t="s">
        <v>2367</v>
      </c>
      <c r="F151" s="35" t="s">
        <v>485</v>
      </c>
      <c r="G151" s="35" t="s">
        <v>485</v>
      </c>
      <c r="H151" s="35" t="s">
        <v>485</v>
      </c>
      <c r="I151" s="58" t="s">
        <v>2368</v>
      </c>
      <c r="J151" s="57">
        <v>2041600</v>
      </c>
      <c r="K151" s="40">
        <v>100</v>
      </c>
      <c r="L151" s="41">
        <v>2041600</v>
      </c>
      <c r="M151" s="38"/>
      <c r="N151" s="41">
        <v>2041600</v>
      </c>
      <c r="O151" s="38">
        <v>0</v>
      </c>
      <c r="P151" s="27">
        <v>0</v>
      </c>
      <c r="Q151" s="27">
        <v>0</v>
      </c>
      <c r="R151" s="27" t="e">
        <v>#DIV/0!</v>
      </c>
      <c r="S151" s="38" t="e">
        <v>#DIV/0!</v>
      </c>
      <c r="T151" s="38" t="e">
        <v>#DIV/0!</v>
      </c>
      <c r="U151" s="38">
        <v>0</v>
      </c>
      <c r="V151" s="38">
        <v>0</v>
      </c>
      <c r="W151" s="38">
        <v>0</v>
      </c>
      <c r="X151" s="38">
        <v>0</v>
      </c>
      <c r="Y151" s="38"/>
      <c r="Z151" s="38" t="e">
        <v>#DIV/0!</v>
      </c>
      <c r="AA151" s="38"/>
      <c r="AB151" s="38" t="e">
        <v>#DIV/0!</v>
      </c>
      <c r="AC151" s="38" t="e">
        <v>#DIV/0!</v>
      </c>
      <c r="AD151" s="38" t="e">
        <v>#DIV/0!</v>
      </c>
      <c r="AE151" s="33">
        <v>45397</v>
      </c>
      <c r="AF151" s="33"/>
      <c r="AG151" s="33"/>
      <c r="AH151" s="33"/>
      <c r="AI151" s="33"/>
      <c r="AJ151" s="42"/>
      <c r="AK151" s="37"/>
      <c r="AL151" s="37"/>
      <c r="AM151" s="37"/>
      <c r="AN151" s="37"/>
      <c r="AO151" s="43"/>
      <c r="AP151" s="35"/>
      <c r="AQ151" s="35"/>
      <c r="AR151" s="44"/>
      <c r="AS151" s="37" t="s">
        <v>485</v>
      </c>
    </row>
    <row r="152" spans="1:45" ht="39" customHeight="1" x14ac:dyDescent="0.25">
      <c r="A152" s="32" t="s">
        <v>2380</v>
      </c>
      <c r="B152" s="56">
        <v>45343</v>
      </c>
      <c r="C152" s="35">
        <v>1416</v>
      </c>
      <c r="D152" s="36"/>
      <c r="E152" s="1" t="s">
        <v>2381</v>
      </c>
      <c r="F152" s="33">
        <v>45363</v>
      </c>
      <c r="G152" s="35" t="s">
        <v>2382</v>
      </c>
      <c r="H152" s="37" t="s">
        <v>1067</v>
      </c>
      <c r="I152" s="58" t="s">
        <v>2383</v>
      </c>
      <c r="J152" s="57">
        <v>45157260</v>
      </c>
      <c r="K152" s="40">
        <v>0</v>
      </c>
      <c r="L152" s="41">
        <v>0</v>
      </c>
      <c r="M152" s="57">
        <v>45157260</v>
      </c>
      <c r="N152" s="41">
        <v>0</v>
      </c>
      <c r="O152" s="57">
        <v>45157260</v>
      </c>
      <c r="P152" s="27">
        <v>45157260</v>
      </c>
      <c r="Q152" s="27">
        <v>45157260</v>
      </c>
      <c r="R152" s="27">
        <v>12.36</v>
      </c>
      <c r="S152" s="38">
        <v>12.36</v>
      </c>
      <c r="T152" s="38">
        <v>6180</v>
      </c>
      <c r="U152" s="38">
        <v>3653500</v>
      </c>
      <c r="V152" s="38">
        <v>2000000</v>
      </c>
      <c r="W152" s="38">
        <v>1653500</v>
      </c>
      <c r="X152" s="38">
        <v>0</v>
      </c>
      <c r="Y152" s="38">
        <v>3653500</v>
      </c>
      <c r="Z152" s="38">
        <v>45157260</v>
      </c>
      <c r="AA152" s="38">
        <v>0</v>
      </c>
      <c r="AB152" s="38">
        <v>0</v>
      </c>
      <c r="AC152" s="38">
        <v>7307</v>
      </c>
      <c r="AD152" s="38">
        <v>7307</v>
      </c>
      <c r="AE152" s="33">
        <v>45397</v>
      </c>
      <c r="AF152" s="33">
        <v>45443</v>
      </c>
      <c r="AG152" s="33"/>
      <c r="AH152" s="33">
        <v>45427</v>
      </c>
      <c r="AI152" s="33">
        <v>45474</v>
      </c>
      <c r="AJ152" s="42"/>
      <c r="AK152" s="37" t="s">
        <v>2384</v>
      </c>
      <c r="AL152" s="37" t="s">
        <v>2385</v>
      </c>
      <c r="AM152" s="37" t="s">
        <v>2386</v>
      </c>
      <c r="AN152" s="37" t="s">
        <v>751</v>
      </c>
      <c r="AO152" s="43">
        <v>0</v>
      </c>
      <c r="AP152" s="35">
        <v>100</v>
      </c>
      <c r="AQ152" s="35" t="s">
        <v>175</v>
      </c>
      <c r="AR152" s="44">
        <v>500</v>
      </c>
      <c r="AS152" s="37" t="s">
        <v>52</v>
      </c>
    </row>
    <row r="153" spans="1:45" ht="39" customHeight="1" x14ac:dyDescent="0.25">
      <c r="A153" s="32" t="s">
        <v>2389</v>
      </c>
      <c r="B153" s="56">
        <v>45343</v>
      </c>
      <c r="C153" s="35">
        <v>1416</v>
      </c>
      <c r="D153" s="36"/>
      <c r="E153" s="1" t="s">
        <v>2390</v>
      </c>
      <c r="F153" s="33">
        <v>45363</v>
      </c>
      <c r="G153" s="35" t="s">
        <v>2391</v>
      </c>
      <c r="H153" s="37" t="s">
        <v>1067</v>
      </c>
      <c r="I153" s="58" t="s">
        <v>2392</v>
      </c>
      <c r="J153" s="57">
        <v>217068760</v>
      </c>
      <c r="K153" s="40">
        <v>0</v>
      </c>
      <c r="L153" s="41">
        <v>0</v>
      </c>
      <c r="M153" s="57">
        <v>217068760</v>
      </c>
      <c r="N153" s="41">
        <v>0</v>
      </c>
      <c r="O153" s="57">
        <v>217068760</v>
      </c>
      <c r="P153" s="27">
        <v>217068760</v>
      </c>
      <c r="Q153" s="27">
        <v>217068760</v>
      </c>
      <c r="R153" s="27">
        <v>12.37</v>
      </c>
      <c r="S153" s="38">
        <v>12.37</v>
      </c>
      <c r="T153" s="38">
        <v>18555</v>
      </c>
      <c r="U153" s="38">
        <v>17548000</v>
      </c>
      <c r="V153" s="38">
        <v>7745500</v>
      </c>
      <c r="W153" s="38">
        <v>9802500</v>
      </c>
      <c r="X153" s="38">
        <v>0</v>
      </c>
      <c r="Y153" s="38">
        <v>7745500</v>
      </c>
      <c r="Z153" s="38">
        <v>95811835</v>
      </c>
      <c r="AA153" s="38">
        <v>9802500</v>
      </c>
      <c r="AB153" s="38">
        <v>121256924.99999999</v>
      </c>
      <c r="AC153" s="38">
        <v>11698.666666666666</v>
      </c>
      <c r="AD153" s="38">
        <v>11699</v>
      </c>
      <c r="AE153" s="33">
        <v>45397</v>
      </c>
      <c r="AF153" s="33"/>
      <c r="AG153" s="33"/>
      <c r="AH153" s="33">
        <v>45427</v>
      </c>
      <c r="AI153" s="33"/>
      <c r="AJ153" s="42"/>
      <c r="AK153" s="37" t="s">
        <v>2384</v>
      </c>
      <c r="AL153" s="37" t="s">
        <v>2393</v>
      </c>
      <c r="AM153" s="37" t="s">
        <v>2386</v>
      </c>
      <c r="AN153" s="37" t="s">
        <v>751</v>
      </c>
      <c r="AO153" s="43">
        <v>0</v>
      </c>
      <c r="AP153" s="35">
        <v>100</v>
      </c>
      <c r="AQ153" s="35" t="s">
        <v>175</v>
      </c>
      <c r="AR153" s="44">
        <v>1500</v>
      </c>
      <c r="AS153" s="37" t="s">
        <v>52</v>
      </c>
    </row>
    <row r="154" spans="1:45" ht="43.5" customHeight="1" x14ac:dyDescent="0.25">
      <c r="A154" s="32" t="s">
        <v>2394</v>
      </c>
      <c r="B154" s="56">
        <v>45343</v>
      </c>
      <c r="C154" s="35">
        <v>1416</v>
      </c>
      <c r="D154" s="36"/>
      <c r="E154" s="1" t="s">
        <v>2395</v>
      </c>
      <c r="F154" s="33">
        <v>45376</v>
      </c>
      <c r="G154" s="35" t="s">
        <v>2396</v>
      </c>
      <c r="H154" s="37" t="s">
        <v>1067</v>
      </c>
      <c r="I154" s="58" t="s">
        <v>2397</v>
      </c>
      <c r="J154" s="57">
        <v>351221410</v>
      </c>
      <c r="K154" s="40">
        <v>0</v>
      </c>
      <c r="L154" s="41">
        <v>0</v>
      </c>
      <c r="M154" s="57">
        <v>351221410</v>
      </c>
      <c r="N154" s="41">
        <v>0</v>
      </c>
      <c r="O154" s="57">
        <v>351221410</v>
      </c>
      <c r="P154" s="27">
        <v>351221410</v>
      </c>
      <c r="Q154" s="27">
        <v>351221410</v>
      </c>
      <c r="R154" s="27">
        <v>12.37</v>
      </c>
      <c r="S154" s="38">
        <v>12.37</v>
      </c>
      <c r="T154" s="38">
        <v>12370</v>
      </c>
      <c r="U154" s="38">
        <v>28393000</v>
      </c>
      <c r="V154" s="38">
        <v>28393000</v>
      </c>
      <c r="W154" s="38">
        <v>0</v>
      </c>
      <c r="X154" s="38">
        <v>0</v>
      </c>
      <c r="Y154" s="38">
        <v>16607000</v>
      </c>
      <c r="Z154" s="38">
        <v>205428590</v>
      </c>
      <c r="AA154" s="38">
        <v>11786000</v>
      </c>
      <c r="AB154" s="38">
        <v>145792820</v>
      </c>
      <c r="AC154" s="38">
        <v>28393</v>
      </c>
      <c r="AD154" s="38">
        <v>28393</v>
      </c>
      <c r="AE154" s="33">
        <v>45397</v>
      </c>
      <c r="AF154" s="33"/>
      <c r="AG154" s="33"/>
      <c r="AH154" s="33">
        <v>45427</v>
      </c>
      <c r="AI154" s="33"/>
      <c r="AJ154" s="42"/>
      <c r="AK154" s="37" t="s">
        <v>2384</v>
      </c>
      <c r="AL154" s="37" t="s">
        <v>2398</v>
      </c>
      <c r="AM154" s="37" t="s">
        <v>2386</v>
      </c>
      <c r="AN154" s="37" t="s">
        <v>751</v>
      </c>
      <c r="AO154" s="43">
        <v>0</v>
      </c>
      <c r="AP154" s="35">
        <v>100</v>
      </c>
      <c r="AQ154" s="35" t="s">
        <v>175</v>
      </c>
      <c r="AR154" s="44">
        <v>1000</v>
      </c>
      <c r="AS154" s="37" t="s">
        <v>52</v>
      </c>
    </row>
    <row r="155" spans="1:45" ht="39" customHeight="1" x14ac:dyDescent="0.25">
      <c r="A155" s="32" t="s">
        <v>2404</v>
      </c>
      <c r="B155" s="56">
        <v>45343</v>
      </c>
      <c r="C155" s="35" t="s">
        <v>2213</v>
      </c>
      <c r="D155" s="36"/>
      <c r="E155" s="1" t="s">
        <v>2405</v>
      </c>
      <c r="F155" s="33">
        <v>45356</v>
      </c>
      <c r="G155" s="35" t="s">
        <v>2406</v>
      </c>
      <c r="H155" s="37" t="s">
        <v>1847</v>
      </c>
      <c r="I155" s="58" t="s">
        <v>1486</v>
      </c>
      <c r="J155" s="57">
        <v>435864</v>
      </c>
      <c r="K155" s="40">
        <v>2.3860653781913623E-2</v>
      </c>
      <c r="L155" s="41">
        <v>104</v>
      </c>
      <c r="M155" s="38">
        <v>435760</v>
      </c>
      <c r="N155" s="41">
        <v>104</v>
      </c>
      <c r="O155" s="38">
        <v>435760</v>
      </c>
      <c r="P155" s="27">
        <v>435760</v>
      </c>
      <c r="Q155" s="27">
        <v>435760</v>
      </c>
      <c r="R155" s="27">
        <v>41.9</v>
      </c>
      <c r="S155" s="38">
        <v>41.9</v>
      </c>
      <c r="T155" s="38">
        <v>2095</v>
      </c>
      <c r="U155" s="38">
        <v>10400</v>
      </c>
      <c r="V155" s="38">
        <v>10400</v>
      </c>
      <c r="W155" s="38">
        <v>0</v>
      </c>
      <c r="X155" s="38">
        <v>0</v>
      </c>
      <c r="Y155" s="38">
        <v>1800</v>
      </c>
      <c r="Z155" s="38">
        <v>75420</v>
      </c>
      <c r="AA155" s="38">
        <v>8600</v>
      </c>
      <c r="AB155" s="38">
        <v>360340</v>
      </c>
      <c r="AC155" s="38">
        <v>208</v>
      </c>
      <c r="AD155" s="38">
        <v>208</v>
      </c>
      <c r="AE155" s="33">
        <v>45397</v>
      </c>
      <c r="AF155" s="33"/>
      <c r="AG155" s="33"/>
      <c r="AH155" s="33">
        <v>45427</v>
      </c>
      <c r="AI155" s="33"/>
      <c r="AJ155" s="42"/>
      <c r="AK155" s="37" t="s">
        <v>918</v>
      </c>
      <c r="AL155" s="37" t="s">
        <v>1513</v>
      </c>
      <c r="AM155" s="37" t="s">
        <v>920</v>
      </c>
      <c r="AN155" s="37" t="s">
        <v>50</v>
      </c>
      <c r="AO155" s="43">
        <v>100</v>
      </c>
      <c r="AP155" s="35">
        <v>0</v>
      </c>
      <c r="AQ155" s="35" t="s">
        <v>441</v>
      </c>
      <c r="AR155" s="44">
        <v>50</v>
      </c>
      <c r="AS155" s="37" t="s">
        <v>52</v>
      </c>
    </row>
    <row r="156" spans="1:45" ht="39" customHeight="1" x14ac:dyDescent="0.25">
      <c r="A156" s="32" t="s">
        <v>2407</v>
      </c>
      <c r="B156" s="56">
        <v>45343</v>
      </c>
      <c r="C156" s="35">
        <v>1416</v>
      </c>
      <c r="D156" s="36"/>
      <c r="E156" s="1" t="s">
        <v>2408</v>
      </c>
      <c r="F156" s="33">
        <v>45366</v>
      </c>
      <c r="G156" s="35" t="s">
        <v>2409</v>
      </c>
      <c r="H156" s="37" t="s">
        <v>219</v>
      </c>
      <c r="I156" s="58" t="s">
        <v>2410</v>
      </c>
      <c r="J156" s="57">
        <v>205846080</v>
      </c>
      <c r="K156" s="40">
        <v>0</v>
      </c>
      <c r="L156" s="41">
        <v>0</v>
      </c>
      <c r="M156" s="57">
        <v>205846080</v>
      </c>
      <c r="N156" s="41">
        <v>0</v>
      </c>
      <c r="O156" s="57">
        <v>205846080</v>
      </c>
      <c r="P156" s="27">
        <v>205846080</v>
      </c>
      <c r="Q156" s="27">
        <v>205846080</v>
      </c>
      <c r="R156" s="27">
        <v>48.48</v>
      </c>
      <c r="S156" s="38">
        <v>48.48</v>
      </c>
      <c r="T156" s="38">
        <v>48480</v>
      </c>
      <c r="U156" s="38">
        <v>4246000</v>
      </c>
      <c r="V156" s="38">
        <v>4246000</v>
      </c>
      <c r="W156" s="38">
        <v>0</v>
      </c>
      <c r="X156" s="38">
        <v>0</v>
      </c>
      <c r="Y156" s="38">
        <v>0</v>
      </c>
      <c r="Z156" s="38">
        <v>0</v>
      </c>
      <c r="AA156" s="38">
        <v>4246000</v>
      </c>
      <c r="AB156" s="38">
        <v>205846080</v>
      </c>
      <c r="AC156" s="38">
        <v>4246</v>
      </c>
      <c r="AD156" s="38">
        <v>4246</v>
      </c>
      <c r="AE156" s="33">
        <v>45519</v>
      </c>
      <c r="AF156" s="33"/>
      <c r="AG156" s="33"/>
      <c r="AH156" s="33">
        <v>45550</v>
      </c>
      <c r="AI156" s="33"/>
      <c r="AJ156" s="42"/>
      <c r="AK156" s="37" t="s">
        <v>1176</v>
      </c>
      <c r="AL156" s="37" t="s">
        <v>1177</v>
      </c>
      <c r="AM156" s="37" t="s">
        <v>1178</v>
      </c>
      <c r="AN156" s="37" t="s">
        <v>828</v>
      </c>
      <c r="AO156" s="43">
        <v>0</v>
      </c>
      <c r="AP156" s="35">
        <v>100</v>
      </c>
      <c r="AQ156" s="35" t="s">
        <v>1118</v>
      </c>
      <c r="AR156" s="44">
        <v>1000</v>
      </c>
      <c r="AS156" s="37" t="s">
        <v>52</v>
      </c>
    </row>
    <row r="157" spans="1:45" ht="39" customHeight="1" x14ac:dyDescent="0.25">
      <c r="A157" s="32" t="s">
        <v>2439</v>
      </c>
      <c r="B157" s="56">
        <v>45343</v>
      </c>
      <c r="C157" s="35">
        <v>1416</v>
      </c>
      <c r="D157" s="36"/>
      <c r="E157" s="1" t="s">
        <v>2440</v>
      </c>
      <c r="F157" s="33">
        <v>45366</v>
      </c>
      <c r="G157" s="35" t="s">
        <v>2441</v>
      </c>
      <c r="H157" s="37" t="s">
        <v>169</v>
      </c>
      <c r="I157" s="58" t="s">
        <v>2442</v>
      </c>
      <c r="J157" s="57">
        <v>194060560</v>
      </c>
      <c r="K157" s="40">
        <v>0</v>
      </c>
      <c r="L157" s="41">
        <v>0</v>
      </c>
      <c r="M157" s="57">
        <v>194060560</v>
      </c>
      <c r="N157" s="41">
        <v>0</v>
      </c>
      <c r="O157" s="57">
        <v>194060560</v>
      </c>
      <c r="P157" s="27">
        <v>194060560</v>
      </c>
      <c r="Q157" s="27">
        <v>194060560</v>
      </c>
      <c r="R157" s="27">
        <v>12.37</v>
      </c>
      <c r="S157" s="38">
        <v>12.37</v>
      </c>
      <c r="T157" s="38">
        <v>24740</v>
      </c>
      <c r="U157" s="38">
        <v>15688000</v>
      </c>
      <c r="V157" s="38">
        <v>15688000</v>
      </c>
      <c r="W157" s="38">
        <v>0</v>
      </c>
      <c r="X157" s="38">
        <v>0</v>
      </c>
      <c r="Y157" s="38">
        <v>15688000</v>
      </c>
      <c r="Z157" s="38">
        <v>194060560</v>
      </c>
      <c r="AA157" s="38">
        <v>0</v>
      </c>
      <c r="AB157" s="38">
        <v>0</v>
      </c>
      <c r="AC157" s="38">
        <v>7844</v>
      </c>
      <c r="AD157" s="38">
        <v>7844</v>
      </c>
      <c r="AE157" s="33">
        <v>45458</v>
      </c>
      <c r="AF157" s="33"/>
      <c r="AG157" s="33"/>
      <c r="AH157" s="33">
        <v>45488</v>
      </c>
      <c r="AI157" s="33"/>
      <c r="AJ157" s="42"/>
      <c r="AK157" s="37" t="s">
        <v>834</v>
      </c>
      <c r="AL157" s="37" t="s">
        <v>2443</v>
      </c>
      <c r="AM157" s="37" t="s">
        <v>836</v>
      </c>
      <c r="AN157" s="37" t="s">
        <v>813</v>
      </c>
      <c r="AO157" s="43">
        <v>0</v>
      </c>
      <c r="AP157" s="35">
        <v>100</v>
      </c>
      <c r="AQ157" s="35" t="s">
        <v>175</v>
      </c>
      <c r="AR157" s="44">
        <v>2000</v>
      </c>
      <c r="AS157" s="37" t="s">
        <v>52</v>
      </c>
    </row>
    <row r="158" spans="1:45" ht="42" customHeight="1" x14ac:dyDescent="0.25">
      <c r="A158" s="32" t="s">
        <v>2444</v>
      </c>
      <c r="B158" s="56">
        <v>45343</v>
      </c>
      <c r="C158" s="35">
        <v>1416</v>
      </c>
      <c r="D158" s="36"/>
      <c r="E158" s="1" t="s">
        <v>2445</v>
      </c>
      <c r="F158" s="33">
        <v>45366</v>
      </c>
      <c r="G158" s="35" t="s">
        <v>2446</v>
      </c>
      <c r="H158" s="37" t="s">
        <v>169</v>
      </c>
      <c r="I158" s="58" t="s">
        <v>2447</v>
      </c>
      <c r="J158" s="57">
        <v>57676320</v>
      </c>
      <c r="K158" s="40">
        <v>0</v>
      </c>
      <c r="L158" s="41">
        <v>0</v>
      </c>
      <c r="M158" s="57">
        <v>57676320</v>
      </c>
      <c r="N158" s="41">
        <v>0</v>
      </c>
      <c r="O158" s="57">
        <v>57676320</v>
      </c>
      <c r="P158" s="27">
        <v>57676320</v>
      </c>
      <c r="Q158" s="27">
        <v>57676320</v>
      </c>
      <c r="R158" s="27">
        <v>12.48</v>
      </c>
      <c r="S158" s="38">
        <v>12.48</v>
      </c>
      <c r="T158" s="38">
        <v>6240</v>
      </c>
      <c r="U158" s="38">
        <v>4621500</v>
      </c>
      <c r="V158" s="38">
        <v>4621500</v>
      </c>
      <c r="W158" s="38">
        <v>0</v>
      </c>
      <c r="X158" s="38">
        <v>0</v>
      </c>
      <c r="Y158" s="38">
        <v>4525500</v>
      </c>
      <c r="Z158" s="38">
        <v>56478240</v>
      </c>
      <c r="AA158" s="38">
        <v>96000</v>
      </c>
      <c r="AB158" s="38">
        <v>1198080</v>
      </c>
      <c r="AC158" s="38">
        <v>9243</v>
      </c>
      <c r="AD158" s="38">
        <v>9243</v>
      </c>
      <c r="AE158" s="33">
        <v>45488</v>
      </c>
      <c r="AF158" s="33"/>
      <c r="AG158" s="33"/>
      <c r="AH158" s="33">
        <v>45519</v>
      </c>
      <c r="AI158" s="33"/>
      <c r="AJ158" s="42"/>
      <c r="AK158" s="37" t="s">
        <v>834</v>
      </c>
      <c r="AL158" s="37" t="s">
        <v>835</v>
      </c>
      <c r="AM158" s="37" t="s">
        <v>836</v>
      </c>
      <c r="AN158" s="37" t="s">
        <v>813</v>
      </c>
      <c r="AO158" s="43">
        <v>0</v>
      </c>
      <c r="AP158" s="35">
        <v>100</v>
      </c>
      <c r="AQ158" s="35" t="s">
        <v>175</v>
      </c>
      <c r="AR158" s="44">
        <v>500</v>
      </c>
      <c r="AS158" s="37" t="s">
        <v>52</v>
      </c>
    </row>
    <row r="159" spans="1:45" ht="42" customHeight="1" x14ac:dyDescent="0.25">
      <c r="A159" s="32" t="s">
        <v>2457</v>
      </c>
      <c r="B159" s="56">
        <v>45344</v>
      </c>
      <c r="C159" s="35">
        <v>1416</v>
      </c>
      <c r="D159" s="36"/>
      <c r="E159" s="1" t="s">
        <v>2458</v>
      </c>
      <c r="F159" s="33">
        <v>45385</v>
      </c>
      <c r="G159" s="35" t="s">
        <v>2459</v>
      </c>
      <c r="H159" s="37" t="s">
        <v>411</v>
      </c>
      <c r="I159" s="58" t="s">
        <v>818</v>
      </c>
      <c r="J159" s="57">
        <v>1175551149.8499999</v>
      </c>
      <c r="K159" s="40">
        <v>0</v>
      </c>
      <c r="L159" s="41">
        <v>0</v>
      </c>
      <c r="M159" s="57">
        <v>1175551149.8499999</v>
      </c>
      <c r="N159" s="41">
        <v>0</v>
      </c>
      <c r="O159" s="57">
        <v>1175551149.8499999</v>
      </c>
      <c r="P159" s="27">
        <v>1175551149.8499999</v>
      </c>
      <c r="Q159" s="27">
        <v>1175551149.8499999</v>
      </c>
      <c r="R159" s="27">
        <v>263842.69999999995</v>
      </c>
      <c r="S159" s="38">
        <v>263842.69999999995</v>
      </c>
      <c r="T159" s="38">
        <v>184689.88999999996</v>
      </c>
      <c r="U159" s="38">
        <v>4455.5</v>
      </c>
      <c r="V159" s="38">
        <v>2261.6999999999998</v>
      </c>
      <c r="W159" s="38">
        <v>2193.8000000000002</v>
      </c>
      <c r="X159" s="38">
        <v>0</v>
      </c>
      <c r="Y159" s="38">
        <v>4418.3999999999996</v>
      </c>
      <c r="Z159" s="38">
        <v>1165762585.6799996</v>
      </c>
      <c r="AA159" s="38">
        <v>37.1</v>
      </c>
      <c r="AB159" s="38">
        <v>9788564.1699999981</v>
      </c>
      <c r="AC159" s="38">
        <v>6365</v>
      </c>
      <c r="AD159" s="38">
        <v>6365</v>
      </c>
      <c r="AE159" s="33">
        <v>45413</v>
      </c>
      <c r="AF159" s="33">
        <v>45524</v>
      </c>
      <c r="AG159" s="33"/>
      <c r="AH159" s="33">
        <v>45444</v>
      </c>
      <c r="AI159" s="33">
        <v>45555</v>
      </c>
      <c r="AJ159" s="42"/>
      <c r="AK159" s="37" t="s">
        <v>786</v>
      </c>
      <c r="AL159" s="37" t="s">
        <v>819</v>
      </c>
      <c r="AM159" s="37" t="s">
        <v>788</v>
      </c>
      <c r="AN159" s="37" t="s">
        <v>326</v>
      </c>
      <c r="AO159" s="43">
        <v>0</v>
      </c>
      <c r="AP159" s="35">
        <v>100</v>
      </c>
      <c r="AQ159" s="35" t="s">
        <v>164</v>
      </c>
      <c r="AR159" s="49">
        <v>0.7</v>
      </c>
      <c r="AS159" s="37" t="s">
        <v>52</v>
      </c>
    </row>
    <row r="160" spans="1:45" ht="42" customHeight="1" x14ac:dyDescent="0.25">
      <c r="A160" s="32" t="s">
        <v>2463</v>
      </c>
      <c r="B160" s="56">
        <v>45344</v>
      </c>
      <c r="C160" s="35">
        <v>1416</v>
      </c>
      <c r="D160" s="35" t="s">
        <v>485</v>
      </c>
      <c r="E160" s="1" t="s">
        <v>2464</v>
      </c>
      <c r="F160" s="35" t="s">
        <v>485</v>
      </c>
      <c r="G160" s="35" t="s">
        <v>485</v>
      </c>
      <c r="H160" s="35" t="s">
        <v>485</v>
      </c>
      <c r="I160" s="58" t="s">
        <v>1114</v>
      </c>
      <c r="J160" s="57">
        <v>124614128</v>
      </c>
      <c r="K160" s="40">
        <v>100</v>
      </c>
      <c r="L160" s="41">
        <v>124614128</v>
      </c>
      <c r="M160" s="38"/>
      <c r="N160" s="41">
        <v>124614128</v>
      </c>
      <c r="O160" s="38">
        <v>0</v>
      </c>
      <c r="P160" s="27">
        <v>0</v>
      </c>
      <c r="Q160" s="27">
        <v>0</v>
      </c>
      <c r="R160" s="27" t="e">
        <v>#DIV/0!</v>
      </c>
      <c r="S160" s="38" t="e">
        <v>#DIV/0!</v>
      </c>
      <c r="T160" s="38" t="e">
        <v>#DIV/0!</v>
      </c>
      <c r="U160" s="38">
        <v>0</v>
      </c>
      <c r="V160" s="38">
        <v>0</v>
      </c>
      <c r="W160" s="38">
        <v>0</v>
      </c>
      <c r="X160" s="38">
        <v>0</v>
      </c>
      <c r="Y160" s="38"/>
      <c r="Z160" s="38" t="e">
        <v>#DIV/0!</v>
      </c>
      <c r="AA160" s="38"/>
      <c r="AB160" s="38" t="e">
        <v>#DIV/0!</v>
      </c>
      <c r="AC160" s="38" t="e">
        <v>#DIV/0!</v>
      </c>
      <c r="AD160" s="38" t="e">
        <v>#DIV/0!</v>
      </c>
      <c r="AE160" s="33">
        <v>45413</v>
      </c>
      <c r="AF160" s="33"/>
      <c r="AG160" s="33"/>
      <c r="AH160" s="33"/>
      <c r="AI160" s="33"/>
      <c r="AJ160" s="42"/>
      <c r="AK160" s="37"/>
      <c r="AL160" s="37"/>
      <c r="AM160" s="37"/>
      <c r="AN160" s="37"/>
      <c r="AO160" s="43"/>
      <c r="AP160" s="35"/>
      <c r="AQ160" s="35"/>
      <c r="AR160" s="44"/>
      <c r="AS160" s="37" t="s">
        <v>485</v>
      </c>
    </row>
    <row r="161" spans="1:45" ht="42" customHeight="1" x14ac:dyDescent="0.25">
      <c r="A161" s="32" t="s">
        <v>2468</v>
      </c>
      <c r="B161" s="56">
        <v>45344</v>
      </c>
      <c r="C161" s="35">
        <v>1416</v>
      </c>
      <c r="D161" s="36"/>
      <c r="E161" s="1" t="s">
        <v>2469</v>
      </c>
      <c r="F161" s="33">
        <v>45363</v>
      </c>
      <c r="G161" s="35" t="s">
        <v>2470</v>
      </c>
      <c r="H161" s="37" t="s">
        <v>1067</v>
      </c>
      <c r="I161" s="58" t="s">
        <v>2471</v>
      </c>
      <c r="J161" s="57">
        <v>70148691.599999994</v>
      </c>
      <c r="K161" s="40">
        <v>0</v>
      </c>
      <c r="L161" s="41">
        <v>0</v>
      </c>
      <c r="M161" s="57">
        <v>70148691.599999994</v>
      </c>
      <c r="N161" s="41">
        <v>0</v>
      </c>
      <c r="O161" s="57">
        <v>70148691.599999994</v>
      </c>
      <c r="P161" s="27">
        <v>70148691.599999994</v>
      </c>
      <c r="Q161" s="27">
        <v>70148691.599999994</v>
      </c>
      <c r="R161" s="27">
        <v>18607.079999999998</v>
      </c>
      <c r="S161" s="38">
        <v>18607.079999999998</v>
      </c>
      <c r="T161" s="38">
        <v>93035.4</v>
      </c>
      <c r="U161" s="38">
        <v>3770</v>
      </c>
      <c r="V161" s="38">
        <v>3770</v>
      </c>
      <c r="W161" s="38">
        <v>0</v>
      </c>
      <c r="X161" s="38">
        <v>0</v>
      </c>
      <c r="Y161" s="38">
        <v>0</v>
      </c>
      <c r="Z161" s="38">
        <v>0</v>
      </c>
      <c r="AA161" s="38">
        <v>3770</v>
      </c>
      <c r="AB161" s="38">
        <v>70148691.599999994</v>
      </c>
      <c r="AC161" s="38">
        <v>754</v>
      </c>
      <c r="AD161" s="38">
        <v>754</v>
      </c>
      <c r="AE161" s="33">
        <v>45443</v>
      </c>
      <c r="AF161" s="33"/>
      <c r="AG161" s="33"/>
      <c r="AH161" s="33">
        <v>45474</v>
      </c>
      <c r="AI161" s="33"/>
      <c r="AJ161" s="42"/>
      <c r="AK161" s="37" t="s">
        <v>1069</v>
      </c>
      <c r="AL161" s="37" t="s">
        <v>2472</v>
      </c>
      <c r="AM161" s="37" t="s">
        <v>1071</v>
      </c>
      <c r="AN161" s="37" t="s">
        <v>174</v>
      </c>
      <c r="AO161" s="43">
        <v>0</v>
      </c>
      <c r="AP161" s="35">
        <v>100</v>
      </c>
      <c r="AQ161" s="35" t="s">
        <v>164</v>
      </c>
      <c r="AR161" s="44">
        <v>5</v>
      </c>
      <c r="AS161" s="37" t="s">
        <v>52</v>
      </c>
    </row>
    <row r="162" spans="1:45" ht="42" customHeight="1" x14ac:dyDescent="0.25">
      <c r="A162" s="32" t="s">
        <v>2476</v>
      </c>
      <c r="B162" s="56">
        <v>45344</v>
      </c>
      <c r="C162" s="35">
        <v>1416</v>
      </c>
      <c r="D162" s="36"/>
      <c r="E162" s="1" t="s">
        <v>2477</v>
      </c>
      <c r="F162" s="33">
        <v>45363</v>
      </c>
      <c r="G162" s="35" t="s">
        <v>2478</v>
      </c>
      <c r="H162" s="37" t="s">
        <v>556</v>
      </c>
      <c r="I162" s="58" t="s">
        <v>1141</v>
      </c>
      <c r="J162" s="57">
        <v>233179952.59999999</v>
      </c>
      <c r="K162" s="40">
        <v>0</v>
      </c>
      <c r="L162" s="41">
        <v>0</v>
      </c>
      <c r="M162" s="57">
        <v>233179952.59999999</v>
      </c>
      <c r="N162" s="41">
        <v>0</v>
      </c>
      <c r="O162" s="57">
        <v>233179952.59999999</v>
      </c>
      <c r="P162" s="27">
        <v>233179952.59999999</v>
      </c>
      <c r="Q162" s="27">
        <v>233179952.59999999</v>
      </c>
      <c r="R162" s="27">
        <v>7950.2199999999993</v>
      </c>
      <c r="S162" s="38">
        <v>7950.2199999999993</v>
      </c>
      <c r="T162" s="38">
        <v>39751.1</v>
      </c>
      <c r="U162" s="38">
        <v>29330</v>
      </c>
      <c r="V162" s="38">
        <v>29330</v>
      </c>
      <c r="W162" s="38">
        <v>0</v>
      </c>
      <c r="X162" s="38">
        <v>0</v>
      </c>
      <c r="Y162" s="38">
        <v>17950</v>
      </c>
      <c r="Z162" s="38">
        <v>142706449</v>
      </c>
      <c r="AA162" s="38">
        <v>11380</v>
      </c>
      <c r="AB162" s="38">
        <v>90473503.599999994</v>
      </c>
      <c r="AC162" s="38">
        <v>5866</v>
      </c>
      <c r="AD162" s="38">
        <v>5866</v>
      </c>
      <c r="AE162" s="33">
        <v>45473</v>
      </c>
      <c r="AF162" s="33"/>
      <c r="AG162" s="33"/>
      <c r="AH162" s="33">
        <v>45505</v>
      </c>
      <c r="AI162" s="33"/>
      <c r="AJ162" s="42"/>
      <c r="AK162" s="37" t="s">
        <v>1142</v>
      </c>
      <c r="AL162" s="37" t="s">
        <v>2479</v>
      </c>
      <c r="AM162" s="37" t="s">
        <v>1144</v>
      </c>
      <c r="AN162" s="37" t="s">
        <v>174</v>
      </c>
      <c r="AO162" s="43">
        <v>0</v>
      </c>
      <c r="AP162" s="35">
        <v>100</v>
      </c>
      <c r="AQ162" s="35" t="s">
        <v>164</v>
      </c>
      <c r="AR162" s="44">
        <v>5</v>
      </c>
      <c r="AS162" s="37" t="s">
        <v>52</v>
      </c>
    </row>
    <row r="163" spans="1:45" ht="42" customHeight="1" x14ac:dyDescent="0.25">
      <c r="A163" s="32" t="s">
        <v>2483</v>
      </c>
      <c r="B163" s="56">
        <v>45344</v>
      </c>
      <c r="C163" s="35">
        <v>1416</v>
      </c>
      <c r="D163" s="36"/>
      <c r="E163" s="1" t="s">
        <v>2484</v>
      </c>
      <c r="F163" s="33">
        <v>45366</v>
      </c>
      <c r="G163" s="35" t="s">
        <v>2485</v>
      </c>
      <c r="H163" s="37" t="s">
        <v>219</v>
      </c>
      <c r="I163" s="58" t="s">
        <v>1191</v>
      </c>
      <c r="J163" s="57">
        <v>8651280</v>
      </c>
      <c r="K163" s="40">
        <v>0</v>
      </c>
      <c r="L163" s="41">
        <v>0</v>
      </c>
      <c r="M163" s="57">
        <v>8651280</v>
      </c>
      <c r="N163" s="41">
        <v>0</v>
      </c>
      <c r="O163" s="27">
        <v>8651280</v>
      </c>
      <c r="P163" s="27">
        <v>8651280</v>
      </c>
      <c r="Q163" s="27">
        <v>8651280</v>
      </c>
      <c r="R163" s="27">
        <v>51.04</v>
      </c>
      <c r="S163" s="38">
        <v>51.04</v>
      </c>
      <c r="T163" s="38">
        <v>25520</v>
      </c>
      <c r="U163" s="38">
        <v>169500</v>
      </c>
      <c r="V163" s="38">
        <v>169500</v>
      </c>
      <c r="W163" s="38">
        <v>0</v>
      </c>
      <c r="X163" s="38">
        <v>0</v>
      </c>
      <c r="Y163" s="38">
        <v>13000</v>
      </c>
      <c r="Z163" s="38">
        <v>663520</v>
      </c>
      <c r="AA163" s="38">
        <v>156500</v>
      </c>
      <c r="AB163" s="38">
        <v>7987760</v>
      </c>
      <c r="AC163" s="38">
        <v>339</v>
      </c>
      <c r="AD163" s="38">
        <v>339</v>
      </c>
      <c r="AE163" s="33">
        <v>45458</v>
      </c>
      <c r="AF163" s="33"/>
      <c r="AG163" s="33"/>
      <c r="AH163" s="33">
        <v>45488</v>
      </c>
      <c r="AI163" s="33"/>
      <c r="AJ163" s="42"/>
      <c r="AK163" s="37" t="s">
        <v>1176</v>
      </c>
      <c r="AL163" s="37" t="s">
        <v>2486</v>
      </c>
      <c r="AM163" s="37" t="s">
        <v>1178</v>
      </c>
      <c r="AN163" s="37" t="s">
        <v>828</v>
      </c>
      <c r="AO163" s="43">
        <v>0</v>
      </c>
      <c r="AP163" s="35">
        <v>100</v>
      </c>
      <c r="AQ163" s="35" t="s">
        <v>1118</v>
      </c>
      <c r="AR163" s="44">
        <v>500</v>
      </c>
      <c r="AS163" s="37" t="s">
        <v>52</v>
      </c>
    </row>
    <row r="164" spans="1:45" ht="42" customHeight="1" x14ac:dyDescent="0.25">
      <c r="A164" s="32" t="s">
        <v>2496</v>
      </c>
      <c r="B164" s="56">
        <v>45344</v>
      </c>
      <c r="C164" s="35">
        <v>1416</v>
      </c>
      <c r="D164" s="36"/>
      <c r="E164" s="1" t="s">
        <v>2497</v>
      </c>
      <c r="F164" s="33">
        <v>45364</v>
      </c>
      <c r="G164" s="35" t="s">
        <v>2498</v>
      </c>
      <c r="H164" s="37" t="s">
        <v>411</v>
      </c>
      <c r="I164" s="58" t="s">
        <v>1045</v>
      </c>
      <c r="J164" s="57">
        <v>173661265.13999999</v>
      </c>
      <c r="K164" s="40">
        <v>0</v>
      </c>
      <c r="L164" s="41">
        <v>0</v>
      </c>
      <c r="M164" s="57">
        <v>173661265.13999999</v>
      </c>
      <c r="N164" s="41">
        <v>0</v>
      </c>
      <c r="O164" s="57">
        <v>173661265.13999999</v>
      </c>
      <c r="P164" s="27">
        <v>173661265.13999999</v>
      </c>
      <c r="Q164" s="27">
        <v>173661265.13999999</v>
      </c>
      <c r="R164" s="27">
        <v>52768.539999999994</v>
      </c>
      <c r="S164" s="38">
        <v>52768.539999999994</v>
      </c>
      <c r="T164" s="38">
        <v>52768.539999999994</v>
      </c>
      <c r="U164" s="38">
        <v>3291</v>
      </c>
      <c r="V164" s="38">
        <v>3291</v>
      </c>
      <c r="W164" s="38">
        <v>0</v>
      </c>
      <c r="X164" s="38">
        <v>0</v>
      </c>
      <c r="Y164" s="38">
        <v>3149</v>
      </c>
      <c r="Z164" s="38">
        <v>166168132.45999998</v>
      </c>
      <c r="AA164" s="38">
        <v>142</v>
      </c>
      <c r="AB164" s="38">
        <v>7493132.6799999988</v>
      </c>
      <c r="AC164" s="38">
        <v>3291</v>
      </c>
      <c r="AD164" s="38">
        <v>3291</v>
      </c>
      <c r="AE164" s="33">
        <v>45536</v>
      </c>
      <c r="AF164" s="33"/>
      <c r="AG164" s="33"/>
      <c r="AH164" s="33">
        <v>45566</v>
      </c>
      <c r="AI164" s="33"/>
      <c r="AJ164" s="42"/>
      <c r="AK164" s="37" t="s">
        <v>786</v>
      </c>
      <c r="AL164" s="37" t="s">
        <v>1046</v>
      </c>
      <c r="AM164" s="37" t="s">
        <v>788</v>
      </c>
      <c r="AN164" s="37" t="s">
        <v>326</v>
      </c>
      <c r="AO164" s="43">
        <v>0</v>
      </c>
      <c r="AP164" s="35">
        <v>100</v>
      </c>
      <c r="AQ164" s="35" t="s">
        <v>164</v>
      </c>
      <c r="AR164" s="44">
        <v>1</v>
      </c>
      <c r="AS164" s="37" t="s">
        <v>52</v>
      </c>
    </row>
    <row r="165" spans="1:45" ht="42" customHeight="1" x14ac:dyDescent="0.25">
      <c r="A165" s="32" t="s">
        <v>2514</v>
      </c>
      <c r="B165" s="56">
        <v>45348</v>
      </c>
      <c r="C165" s="35" t="s">
        <v>2213</v>
      </c>
      <c r="D165" s="36"/>
      <c r="E165" s="1" t="s">
        <v>2515</v>
      </c>
      <c r="F165" s="33">
        <v>45358</v>
      </c>
      <c r="G165" s="35" t="s">
        <v>2516</v>
      </c>
      <c r="H165" s="37" t="s">
        <v>2176</v>
      </c>
      <c r="I165" s="58" t="s">
        <v>2517</v>
      </c>
      <c r="J165" s="57">
        <v>2488200</v>
      </c>
      <c r="K165" s="40">
        <v>0</v>
      </c>
      <c r="L165" s="41">
        <v>0</v>
      </c>
      <c r="M165" s="57">
        <v>2488200</v>
      </c>
      <c r="N165" s="41">
        <v>0</v>
      </c>
      <c r="O165" s="57">
        <v>2488200</v>
      </c>
      <c r="P165" s="27">
        <v>2488200</v>
      </c>
      <c r="Q165" s="27">
        <v>2488200</v>
      </c>
      <c r="R165" s="27">
        <v>220</v>
      </c>
      <c r="S165" s="38">
        <v>220</v>
      </c>
      <c r="T165" s="38">
        <v>3300</v>
      </c>
      <c r="U165" s="38">
        <v>11310</v>
      </c>
      <c r="V165" s="38">
        <v>11310</v>
      </c>
      <c r="W165" s="38">
        <v>0</v>
      </c>
      <c r="X165" s="38">
        <v>0</v>
      </c>
      <c r="Y165" s="38">
        <v>11310</v>
      </c>
      <c r="Z165" s="38">
        <v>2488200</v>
      </c>
      <c r="AA165" s="38">
        <v>0</v>
      </c>
      <c r="AB165" s="38">
        <v>0</v>
      </c>
      <c r="AC165" s="38">
        <v>754</v>
      </c>
      <c r="AD165" s="38">
        <v>754</v>
      </c>
      <c r="AE165" s="33">
        <v>45413</v>
      </c>
      <c r="AF165" s="33"/>
      <c r="AG165" s="33"/>
      <c r="AH165" s="33">
        <v>45444</v>
      </c>
      <c r="AI165" s="33"/>
      <c r="AJ165" s="42"/>
      <c r="AK165" s="37" t="s">
        <v>2518</v>
      </c>
      <c r="AL165" s="37" t="s">
        <v>2519</v>
      </c>
      <c r="AM165" s="37" t="s">
        <v>2520</v>
      </c>
      <c r="AN165" s="37" t="s">
        <v>50</v>
      </c>
      <c r="AO165" s="43">
        <v>100</v>
      </c>
      <c r="AP165" s="35">
        <v>0</v>
      </c>
      <c r="AQ165" s="35" t="s">
        <v>379</v>
      </c>
      <c r="AR165" s="44">
        <v>15</v>
      </c>
      <c r="AS165" s="37" t="s">
        <v>52</v>
      </c>
    </row>
    <row r="166" spans="1:45" ht="42" customHeight="1" x14ac:dyDescent="0.25">
      <c r="A166" s="32" t="s">
        <v>2528</v>
      </c>
      <c r="B166" s="56">
        <v>45348</v>
      </c>
      <c r="C166" s="35" t="s">
        <v>2213</v>
      </c>
      <c r="D166" s="35" t="s">
        <v>485</v>
      </c>
      <c r="E166" s="1" t="s">
        <v>2529</v>
      </c>
      <c r="F166" s="35" t="s">
        <v>485</v>
      </c>
      <c r="G166" s="35" t="s">
        <v>485</v>
      </c>
      <c r="H166" s="35" t="s">
        <v>485</v>
      </c>
      <c r="I166" s="58" t="s">
        <v>1114</v>
      </c>
      <c r="J166" s="57">
        <v>2320692</v>
      </c>
      <c r="K166" s="40">
        <v>100</v>
      </c>
      <c r="L166" s="41">
        <v>2320692</v>
      </c>
      <c r="M166" s="38"/>
      <c r="N166" s="41">
        <v>2320692</v>
      </c>
      <c r="O166" s="38">
        <v>0</v>
      </c>
      <c r="P166" s="27">
        <v>0</v>
      </c>
      <c r="Q166" s="27">
        <v>0</v>
      </c>
      <c r="R166" s="27" t="e">
        <v>#DIV/0!</v>
      </c>
      <c r="S166" s="38" t="e">
        <v>#DIV/0!</v>
      </c>
      <c r="T166" s="38" t="e">
        <v>#DIV/0!</v>
      </c>
      <c r="U166" s="38">
        <v>0</v>
      </c>
      <c r="V166" s="38">
        <v>0</v>
      </c>
      <c r="W166" s="38">
        <v>0</v>
      </c>
      <c r="X166" s="38">
        <v>0</v>
      </c>
      <c r="Y166" s="38"/>
      <c r="Z166" s="38" t="e">
        <v>#DIV/0!</v>
      </c>
      <c r="AA166" s="38"/>
      <c r="AB166" s="38" t="e">
        <v>#DIV/0!</v>
      </c>
      <c r="AC166" s="38" t="e">
        <v>#DIV/0!</v>
      </c>
      <c r="AD166" s="38" t="e">
        <v>#DIV/0!</v>
      </c>
      <c r="AE166" s="33">
        <v>45413</v>
      </c>
      <c r="AF166" s="33"/>
      <c r="AG166" s="33"/>
      <c r="AH166" s="33"/>
      <c r="AI166" s="33"/>
      <c r="AJ166" s="42"/>
      <c r="AK166" s="37"/>
      <c r="AL166" s="37"/>
      <c r="AM166" s="37"/>
      <c r="AN166" s="37"/>
      <c r="AO166" s="43"/>
      <c r="AP166" s="35"/>
      <c r="AQ166" s="35"/>
      <c r="AR166" s="44"/>
      <c r="AS166" s="37" t="s">
        <v>485</v>
      </c>
    </row>
    <row r="167" spans="1:45" ht="42" customHeight="1" x14ac:dyDescent="0.25">
      <c r="A167" s="32" t="s">
        <v>2530</v>
      </c>
      <c r="B167" s="56">
        <v>45348</v>
      </c>
      <c r="C167" s="35" t="s">
        <v>2213</v>
      </c>
      <c r="D167" s="35" t="s">
        <v>485</v>
      </c>
      <c r="E167" s="1" t="s">
        <v>2531</v>
      </c>
      <c r="F167" s="35" t="s">
        <v>485</v>
      </c>
      <c r="G167" s="35" t="s">
        <v>485</v>
      </c>
      <c r="H167" s="35" t="s">
        <v>485</v>
      </c>
      <c r="I167" s="58" t="s">
        <v>2532</v>
      </c>
      <c r="J167" s="57">
        <v>138022.5</v>
      </c>
      <c r="K167" s="40">
        <v>100</v>
      </c>
      <c r="L167" s="41">
        <v>138022.5</v>
      </c>
      <c r="M167" s="38"/>
      <c r="N167" s="41">
        <v>138022.5</v>
      </c>
      <c r="O167" s="38">
        <v>0</v>
      </c>
      <c r="P167" s="27">
        <v>0</v>
      </c>
      <c r="Q167" s="27">
        <v>0</v>
      </c>
      <c r="R167" s="27" t="e">
        <v>#DIV/0!</v>
      </c>
      <c r="S167" s="38" t="e">
        <v>#DIV/0!</v>
      </c>
      <c r="T167" s="38" t="e">
        <v>#DIV/0!</v>
      </c>
      <c r="U167" s="38">
        <v>0</v>
      </c>
      <c r="V167" s="38">
        <v>0</v>
      </c>
      <c r="W167" s="38">
        <v>0</v>
      </c>
      <c r="X167" s="38">
        <v>0</v>
      </c>
      <c r="Y167" s="38"/>
      <c r="Z167" s="38" t="e">
        <v>#DIV/0!</v>
      </c>
      <c r="AA167" s="38"/>
      <c r="AB167" s="38" t="e">
        <v>#DIV/0!</v>
      </c>
      <c r="AC167" s="38" t="e">
        <v>#DIV/0!</v>
      </c>
      <c r="AD167" s="38" t="e">
        <v>#DIV/0!</v>
      </c>
      <c r="AE167" s="33">
        <v>45397</v>
      </c>
      <c r="AF167" s="33"/>
      <c r="AG167" s="33"/>
      <c r="AH167" s="33"/>
      <c r="AI167" s="33"/>
      <c r="AJ167" s="42"/>
      <c r="AK167" s="37"/>
      <c r="AL167" s="37"/>
      <c r="AM167" s="37"/>
      <c r="AN167" s="37"/>
      <c r="AO167" s="43"/>
      <c r="AP167" s="35"/>
      <c r="AQ167" s="35"/>
      <c r="AR167" s="44"/>
      <c r="AS167" s="37" t="s">
        <v>485</v>
      </c>
    </row>
    <row r="168" spans="1:45" ht="42" customHeight="1" x14ac:dyDescent="0.25">
      <c r="A168" s="32" t="s">
        <v>2558</v>
      </c>
      <c r="B168" s="56">
        <v>45349</v>
      </c>
      <c r="C168" s="35" t="s">
        <v>2213</v>
      </c>
      <c r="D168" s="36"/>
      <c r="E168" s="1" t="s">
        <v>2559</v>
      </c>
      <c r="F168" s="33">
        <v>45362</v>
      </c>
      <c r="G168" s="35" t="s">
        <v>2560</v>
      </c>
      <c r="H168" s="37" t="s">
        <v>1847</v>
      </c>
      <c r="I168" s="59" t="s">
        <v>1269</v>
      </c>
      <c r="J168" s="57">
        <v>501897</v>
      </c>
      <c r="K168" s="40">
        <v>4.5228403437358664E-2</v>
      </c>
      <c r="L168" s="41">
        <v>227</v>
      </c>
      <c r="M168" s="38">
        <v>501670</v>
      </c>
      <c r="N168" s="41">
        <v>227</v>
      </c>
      <c r="O168" s="38">
        <v>501670</v>
      </c>
      <c r="P168" s="27">
        <v>501670</v>
      </c>
      <c r="Q168" s="27">
        <v>501670</v>
      </c>
      <c r="R168" s="27">
        <v>22.1</v>
      </c>
      <c r="S168" s="38">
        <v>22.1</v>
      </c>
      <c r="T168" s="38">
        <v>1105</v>
      </c>
      <c r="U168" s="38">
        <v>22700</v>
      </c>
      <c r="V168" s="38">
        <v>22700</v>
      </c>
      <c r="W168" s="38">
        <v>0</v>
      </c>
      <c r="X168" s="38">
        <v>0</v>
      </c>
      <c r="Y168" s="38">
        <v>0</v>
      </c>
      <c r="Z168" s="38">
        <v>0</v>
      </c>
      <c r="AA168" s="38">
        <v>22700</v>
      </c>
      <c r="AB168" s="38">
        <v>501670.00000000006</v>
      </c>
      <c r="AC168" s="38">
        <v>454</v>
      </c>
      <c r="AD168" s="38">
        <v>454</v>
      </c>
      <c r="AE168" s="33">
        <v>45413</v>
      </c>
      <c r="AF168" s="33"/>
      <c r="AG168" s="33"/>
      <c r="AH168" s="33">
        <v>45444</v>
      </c>
      <c r="AI168" s="33"/>
      <c r="AJ168" s="42"/>
      <c r="AK168" s="37" t="s">
        <v>1505</v>
      </c>
      <c r="AL168" s="37" t="s">
        <v>2561</v>
      </c>
      <c r="AM168" s="37" t="s">
        <v>1507</v>
      </c>
      <c r="AN168" s="37" t="s">
        <v>50</v>
      </c>
      <c r="AO168" s="43">
        <v>100</v>
      </c>
      <c r="AP168" s="35">
        <v>0</v>
      </c>
      <c r="AQ168" s="35" t="s">
        <v>441</v>
      </c>
      <c r="AR168" s="44">
        <v>50</v>
      </c>
      <c r="AS168" s="37" t="s">
        <v>52</v>
      </c>
    </row>
    <row r="169" spans="1:45" ht="42" customHeight="1" x14ac:dyDescent="0.25">
      <c r="A169" s="32" t="s">
        <v>2562</v>
      </c>
      <c r="B169" s="56">
        <v>45349</v>
      </c>
      <c r="C169" s="35" t="s">
        <v>2213</v>
      </c>
      <c r="D169" s="36"/>
      <c r="E169" s="1" t="s">
        <v>2563</v>
      </c>
      <c r="F169" s="33">
        <v>45362</v>
      </c>
      <c r="G169" s="35" t="s">
        <v>2564</v>
      </c>
      <c r="H169" s="37" t="s">
        <v>411</v>
      </c>
      <c r="I169" s="58" t="s">
        <v>1045</v>
      </c>
      <c r="J169" s="57">
        <v>1477519.12</v>
      </c>
      <c r="K169" s="40">
        <v>0</v>
      </c>
      <c r="L169" s="41">
        <v>0</v>
      </c>
      <c r="M169" s="57">
        <v>1477519.12</v>
      </c>
      <c r="N169" s="41">
        <v>0</v>
      </c>
      <c r="O169" s="57">
        <v>1477519.12</v>
      </c>
      <c r="P169" s="27">
        <v>1477519.12</v>
      </c>
      <c r="Q169" s="27">
        <v>1477519.12</v>
      </c>
      <c r="R169" s="27">
        <v>52768.54</v>
      </c>
      <c r="S169" s="38">
        <v>52768.54</v>
      </c>
      <c r="T169" s="38">
        <v>52768.54</v>
      </c>
      <c r="U169" s="38">
        <v>28</v>
      </c>
      <c r="V169" s="38">
        <v>28</v>
      </c>
      <c r="W169" s="38">
        <v>0</v>
      </c>
      <c r="X169" s="38">
        <v>0</v>
      </c>
      <c r="Y169" s="38">
        <v>28</v>
      </c>
      <c r="Z169" s="38">
        <v>1477519.12</v>
      </c>
      <c r="AA169" s="38">
        <v>0</v>
      </c>
      <c r="AB169" s="38">
        <v>0</v>
      </c>
      <c r="AC169" s="38">
        <v>28</v>
      </c>
      <c r="AD169" s="38">
        <v>28</v>
      </c>
      <c r="AE169" s="33">
        <v>45536</v>
      </c>
      <c r="AF169" s="33"/>
      <c r="AG169" s="33"/>
      <c r="AH169" s="33">
        <v>45566</v>
      </c>
      <c r="AI169" s="33"/>
      <c r="AJ169" s="42"/>
      <c r="AK169" s="37" t="s">
        <v>786</v>
      </c>
      <c r="AL169" s="37" t="s">
        <v>1046</v>
      </c>
      <c r="AM169" s="37" t="s">
        <v>788</v>
      </c>
      <c r="AN169" s="37" t="s">
        <v>326</v>
      </c>
      <c r="AO169" s="43">
        <v>0</v>
      </c>
      <c r="AP169" s="35">
        <v>100</v>
      </c>
      <c r="AQ169" s="35" t="s">
        <v>164</v>
      </c>
      <c r="AR169" s="44">
        <v>1</v>
      </c>
      <c r="AS169" s="37" t="s">
        <v>52</v>
      </c>
    </row>
    <row r="170" spans="1:45" ht="42" customHeight="1" x14ac:dyDescent="0.25">
      <c r="A170" s="32" t="s">
        <v>2565</v>
      </c>
      <c r="B170" s="56">
        <v>45349</v>
      </c>
      <c r="C170" s="35" t="s">
        <v>2213</v>
      </c>
      <c r="D170" s="35" t="s">
        <v>485</v>
      </c>
      <c r="E170" s="1" t="s">
        <v>2566</v>
      </c>
      <c r="F170" s="35" t="s">
        <v>485</v>
      </c>
      <c r="G170" s="35" t="s">
        <v>485</v>
      </c>
      <c r="H170" s="35" t="s">
        <v>485</v>
      </c>
      <c r="I170" s="58" t="s">
        <v>1121</v>
      </c>
      <c r="J170" s="57">
        <v>2840763.67</v>
      </c>
      <c r="K170" s="40">
        <v>100</v>
      </c>
      <c r="L170" s="41">
        <v>2840763.67</v>
      </c>
      <c r="M170" s="38"/>
      <c r="N170" s="41">
        <v>2840763.67</v>
      </c>
      <c r="O170" s="38">
        <v>0</v>
      </c>
      <c r="P170" s="27">
        <v>0</v>
      </c>
      <c r="Q170" s="27">
        <v>0</v>
      </c>
      <c r="R170" s="27" t="e">
        <v>#DIV/0!</v>
      </c>
      <c r="S170" s="38" t="e">
        <v>#DIV/0!</v>
      </c>
      <c r="T170" s="38" t="e">
        <v>#DIV/0!</v>
      </c>
      <c r="U170" s="38">
        <v>0</v>
      </c>
      <c r="V170" s="38">
        <v>0</v>
      </c>
      <c r="W170" s="38">
        <v>0</v>
      </c>
      <c r="X170" s="38">
        <v>0</v>
      </c>
      <c r="Y170" s="38"/>
      <c r="Z170" s="38" t="e">
        <v>#DIV/0!</v>
      </c>
      <c r="AA170" s="38"/>
      <c r="AB170" s="38" t="e">
        <v>#DIV/0!</v>
      </c>
      <c r="AC170" s="38" t="e">
        <v>#DIV/0!</v>
      </c>
      <c r="AD170" s="38" t="e">
        <v>#DIV/0!</v>
      </c>
      <c r="AE170" s="33">
        <v>45413</v>
      </c>
      <c r="AF170" s="33"/>
      <c r="AG170" s="33"/>
      <c r="AH170" s="33"/>
      <c r="AI170" s="33"/>
      <c r="AJ170" s="42"/>
      <c r="AK170" s="37"/>
      <c r="AL170" s="37"/>
      <c r="AM170" s="37"/>
      <c r="AN170" s="37"/>
      <c r="AO170" s="43"/>
      <c r="AP170" s="35"/>
      <c r="AQ170" s="35"/>
      <c r="AR170" s="44"/>
      <c r="AS170" s="37" t="s">
        <v>485</v>
      </c>
    </row>
    <row r="171" spans="1:45" ht="43.5" customHeight="1" x14ac:dyDescent="0.25">
      <c r="A171" s="32" t="s">
        <v>2567</v>
      </c>
      <c r="B171" s="56">
        <v>45349</v>
      </c>
      <c r="C171" s="35">
        <v>1416</v>
      </c>
      <c r="D171" s="36"/>
      <c r="E171" s="1" t="s">
        <v>2568</v>
      </c>
      <c r="F171" s="33">
        <v>45376</v>
      </c>
      <c r="G171" s="35" t="s">
        <v>2569</v>
      </c>
      <c r="H171" s="37" t="s">
        <v>219</v>
      </c>
      <c r="I171" s="58" t="s">
        <v>2570</v>
      </c>
      <c r="J171" s="57">
        <v>367610100</v>
      </c>
      <c r="K171" s="40">
        <v>0</v>
      </c>
      <c r="L171" s="41">
        <v>0</v>
      </c>
      <c r="M171" s="57">
        <v>367610100</v>
      </c>
      <c r="N171" s="41">
        <v>0</v>
      </c>
      <c r="O171" s="57">
        <v>367610100</v>
      </c>
      <c r="P171" s="27">
        <v>374886600</v>
      </c>
      <c r="Q171" s="27">
        <v>374886600</v>
      </c>
      <c r="R171" s="27">
        <v>220</v>
      </c>
      <c r="S171" s="38">
        <v>220</v>
      </c>
      <c r="T171" s="38">
        <v>3300</v>
      </c>
      <c r="U171" s="38">
        <v>1704030</v>
      </c>
      <c r="V171" s="38">
        <v>753180</v>
      </c>
      <c r="W171" s="38">
        <v>950850</v>
      </c>
      <c r="X171" s="38">
        <v>0</v>
      </c>
      <c r="Y171" s="38">
        <v>753180</v>
      </c>
      <c r="Z171" s="38">
        <v>165699600</v>
      </c>
      <c r="AA171" s="38">
        <v>950850</v>
      </c>
      <c r="AB171" s="38">
        <v>209187000</v>
      </c>
      <c r="AC171" s="38">
        <v>113602</v>
      </c>
      <c r="AD171" s="38">
        <v>113602</v>
      </c>
      <c r="AE171" s="33">
        <v>45413</v>
      </c>
      <c r="AF171" s="33">
        <v>45505</v>
      </c>
      <c r="AG171" s="33"/>
      <c r="AH171" s="33">
        <v>45444</v>
      </c>
      <c r="AI171" s="33">
        <v>45536</v>
      </c>
      <c r="AJ171" s="42"/>
      <c r="AK171" s="37" t="s">
        <v>2518</v>
      </c>
      <c r="AL171" s="37" t="s">
        <v>2519</v>
      </c>
      <c r="AM171" s="37" t="s">
        <v>2520</v>
      </c>
      <c r="AN171" s="37" t="s">
        <v>50</v>
      </c>
      <c r="AO171" s="43">
        <v>100</v>
      </c>
      <c r="AP171" s="35">
        <v>0</v>
      </c>
      <c r="AQ171" s="35" t="s">
        <v>441</v>
      </c>
      <c r="AR171" s="44">
        <v>15</v>
      </c>
      <c r="AS171" s="37" t="s">
        <v>52</v>
      </c>
    </row>
    <row r="172" spans="1:45" ht="42.75" customHeight="1" x14ac:dyDescent="0.25">
      <c r="A172" s="32" t="s">
        <v>2573</v>
      </c>
      <c r="B172" s="56">
        <v>45349</v>
      </c>
      <c r="C172" s="35">
        <v>1416</v>
      </c>
      <c r="D172" s="35" t="s">
        <v>485</v>
      </c>
      <c r="E172" s="1" t="s">
        <v>2574</v>
      </c>
      <c r="F172" s="35" t="s">
        <v>485</v>
      </c>
      <c r="G172" s="35" t="s">
        <v>485</v>
      </c>
      <c r="H172" s="35" t="s">
        <v>485</v>
      </c>
      <c r="I172" s="59" t="s">
        <v>1269</v>
      </c>
      <c r="J172" s="57">
        <v>2304967.5</v>
      </c>
      <c r="K172" s="40">
        <v>100</v>
      </c>
      <c r="L172" s="41">
        <v>2304967.5</v>
      </c>
      <c r="M172" s="38"/>
      <c r="N172" s="41">
        <v>2304967.5</v>
      </c>
      <c r="O172" s="38">
        <v>0</v>
      </c>
      <c r="P172" s="27">
        <v>0</v>
      </c>
      <c r="Q172" s="27">
        <v>0</v>
      </c>
      <c r="R172" s="27" t="e">
        <v>#DIV/0!</v>
      </c>
      <c r="S172" s="38" t="e">
        <v>#DIV/0!</v>
      </c>
      <c r="T172" s="38" t="e">
        <v>#DIV/0!</v>
      </c>
      <c r="U172" s="38">
        <v>0</v>
      </c>
      <c r="V172" s="38">
        <v>0</v>
      </c>
      <c r="W172" s="38">
        <v>0</v>
      </c>
      <c r="X172" s="38">
        <v>0</v>
      </c>
      <c r="Y172" s="38"/>
      <c r="Z172" s="38" t="e">
        <v>#DIV/0!</v>
      </c>
      <c r="AA172" s="38"/>
      <c r="AB172" s="38" t="e">
        <v>#DIV/0!</v>
      </c>
      <c r="AC172" s="38" t="e">
        <v>#DIV/0!</v>
      </c>
      <c r="AD172" s="38" t="e">
        <v>#DIV/0!</v>
      </c>
      <c r="AE172" s="33">
        <v>45413</v>
      </c>
      <c r="AF172" s="33"/>
      <c r="AG172" s="33"/>
      <c r="AH172" s="33"/>
      <c r="AI172" s="33"/>
      <c r="AJ172" s="42"/>
      <c r="AK172" s="37"/>
      <c r="AL172" s="37"/>
      <c r="AM172" s="37"/>
      <c r="AN172" s="37"/>
      <c r="AO172" s="43"/>
      <c r="AP172" s="35"/>
      <c r="AQ172" s="35"/>
      <c r="AR172" s="44"/>
      <c r="AS172" s="37" t="s">
        <v>485</v>
      </c>
    </row>
    <row r="173" spans="1:45" ht="42.75" customHeight="1" x14ac:dyDescent="0.25">
      <c r="A173" s="32" t="s">
        <v>2575</v>
      </c>
      <c r="B173" s="56">
        <v>45350</v>
      </c>
      <c r="C173" s="35">
        <v>1416</v>
      </c>
      <c r="D173" s="36"/>
      <c r="E173" s="1" t="s">
        <v>2576</v>
      </c>
      <c r="F173" s="33">
        <v>45363</v>
      </c>
      <c r="G173" s="35" t="s">
        <v>2577</v>
      </c>
      <c r="H173" s="37" t="s">
        <v>1847</v>
      </c>
      <c r="I173" s="58" t="s">
        <v>2578</v>
      </c>
      <c r="J173" s="57">
        <v>92834</v>
      </c>
      <c r="K173" s="40">
        <v>2.0466639377814164E-2</v>
      </c>
      <c r="L173" s="41">
        <v>19</v>
      </c>
      <c r="M173" s="38">
        <v>92815</v>
      </c>
      <c r="N173" s="41">
        <v>19</v>
      </c>
      <c r="O173" s="38">
        <v>92815</v>
      </c>
      <c r="P173" s="27">
        <v>92815</v>
      </c>
      <c r="Q173" s="27">
        <v>92815</v>
      </c>
      <c r="R173" s="27">
        <v>97.7</v>
      </c>
      <c r="S173" s="38">
        <v>97.7</v>
      </c>
      <c r="T173" s="38">
        <v>4885</v>
      </c>
      <c r="U173" s="38">
        <v>950</v>
      </c>
      <c r="V173" s="38">
        <v>950</v>
      </c>
      <c r="W173" s="38">
        <v>0</v>
      </c>
      <c r="X173" s="38">
        <v>0</v>
      </c>
      <c r="Y173" s="38">
        <v>0</v>
      </c>
      <c r="Z173" s="38">
        <v>0</v>
      </c>
      <c r="AA173" s="38">
        <v>950</v>
      </c>
      <c r="AB173" s="38">
        <v>92815</v>
      </c>
      <c r="AC173" s="38">
        <v>19</v>
      </c>
      <c r="AD173" s="38">
        <v>19</v>
      </c>
      <c r="AE173" s="56">
        <v>45413</v>
      </c>
      <c r="AF173" s="33"/>
      <c r="AG173" s="33"/>
      <c r="AH173" s="33">
        <v>45444</v>
      </c>
      <c r="AI173" s="33"/>
      <c r="AJ173" s="42"/>
      <c r="AK173" s="37" t="s">
        <v>1505</v>
      </c>
      <c r="AL173" s="37" t="s">
        <v>1506</v>
      </c>
      <c r="AM173" s="37" t="s">
        <v>1507</v>
      </c>
      <c r="AN173" s="37" t="s">
        <v>50</v>
      </c>
      <c r="AO173" s="43">
        <v>100</v>
      </c>
      <c r="AP173" s="35">
        <v>0</v>
      </c>
      <c r="AQ173" s="35" t="s">
        <v>441</v>
      </c>
      <c r="AR173" s="44">
        <v>50</v>
      </c>
      <c r="AS173" s="37" t="s">
        <v>52</v>
      </c>
    </row>
    <row r="174" spans="1:45" ht="43.5" customHeight="1" x14ac:dyDescent="0.25">
      <c r="A174" s="32" t="s">
        <v>2583</v>
      </c>
      <c r="B174" s="56">
        <v>45350</v>
      </c>
      <c r="C174" s="35">
        <v>1416</v>
      </c>
      <c r="D174" s="36"/>
      <c r="E174" s="1" t="s">
        <v>2584</v>
      </c>
      <c r="F174" s="33">
        <v>45376</v>
      </c>
      <c r="G174" s="35" t="s">
        <v>2585</v>
      </c>
      <c r="H174" s="37" t="s">
        <v>169</v>
      </c>
      <c r="I174" s="58" t="s">
        <v>841</v>
      </c>
      <c r="J174" s="57">
        <v>188409760</v>
      </c>
      <c r="K174" s="40">
        <v>0</v>
      </c>
      <c r="L174" s="41">
        <v>0</v>
      </c>
      <c r="M174" s="57">
        <v>188409760</v>
      </c>
      <c r="N174" s="41">
        <v>0</v>
      </c>
      <c r="O174" s="57">
        <v>188409760</v>
      </c>
      <c r="P174" s="27">
        <v>188409760</v>
      </c>
      <c r="Q174" s="27">
        <v>188409760</v>
      </c>
      <c r="R174" s="27">
        <v>12.32</v>
      </c>
      <c r="S174" s="38">
        <v>12.32</v>
      </c>
      <c r="T174" s="38">
        <v>12320</v>
      </c>
      <c r="U174" s="38">
        <v>15293000</v>
      </c>
      <c r="V174" s="38">
        <v>15293000</v>
      </c>
      <c r="W174" s="38">
        <v>0</v>
      </c>
      <c r="X174" s="38">
        <v>0</v>
      </c>
      <c r="Y174" s="38">
        <v>15222000</v>
      </c>
      <c r="Z174" s="38">
        <v>187535040</v>
      </c>
      <c r="AA174" s="38">
        <v>71000</v>
      </c>
      <c r="AB174" s="38">
        <v>874720</v>
      </c>
      <c r="AC174" s="38">
        <v>15293</v>
      </c>
      <c r="AD174" s="38">
        <v>15293</v>
      </c>
      <c r="AE174" s="56">
        <v>45488</v>
      </c>
      <c r="AF174" s="33"/>
      <c r="AG174" s="33"/>
      <c r="AH174" s="33">
        <v>45519</v>
      </c>
      <c r="AI174" s="33"/>
      <c r="AJ174" s="42"/>
      <c r="AK174" s="37" t="s">
        <v>834</v>
      </c>
      <c r="AL174" s="37" t="s">
        <v>842</v>
      </c>
      <c r="AM174" s="37" t="s">
        <v>836</v>
      </c>
      <c r="AN174" s="37" t="s">
        <v>813</v>
      </c>
      <c r="AO174" s="43">
        <v>0</v>
      </c>
      <c r="AP174" s="35">
        <v>100</v>
      </c>
      <c r="AQ174" s="35" t="s">
        <v>175</v>
      </c>
      <c r="AR174" s="44">
        <v>1000</v>
      </c>
      <c r="AS174" s="37" t="s">
        <v>52</v>
      </c>
    </row>
    <row r="175" spans="1:45" ht="42.75" customHeight="1" x14ac:dyDescent="0.25">
      <c r="A175" s="32" t="s">
        <v>2586</v>
      </c>
      <c r="B175" s="56">
        <v>45350</v>
      </c>
      <c r="C175" s="35" t="s">
        <v>2213</v>
      </c>
      <c r="D175" s="36"/>
      <c r="E175" s="1" t="s">
        <v>2587</v>
      </c>
      <c r="F175" s="33">
        <v>45363</v>
      </c>
      <c r="G175" s="35" t="s">
        <v>2588</v>
      </c>
      <c r="H175" s="37" t="s">
        <v>2589</v>
      </c>
      <c r="I175" s="58" t="s">
        <v>2590</v>
      </c>
      <c r="J175" s="57">
        <v>588058.80000000005</v>
      </c>
      <c r="K175" s="40">
        <v>0</v>
      </c>
      <c r="L175" s="41">
        <v>0</v>
      </c>
      <c r="M175" s="57">
        <v>588058.80000000005</v>
      </c>
      <c r="N175" s="41">
        <v>0</v>
      </c>
      <c r="O175" s="57">
        <v>588058.80000000005</v>
      </c>
      <c r="P175" s="27">
        <v>588058.80000000005</v>
      </c>
      <c r="Q175" s="27">
        <v>588058.80000000005</v>
      </c>
      <c r="R175" s="27">
        <v>7000.7000000000007</v>
      </c>
      <c r="S175" s="38">
        <v>7000.7000000000007</v>
      </c>
      <c r="T175" s="38">
        <v>147014.70000000001</v>
      </c>
      <c r="U175" s="38">
        <v>84</v>
      </c>
      <c r="V175" s="38">
        <v>84</v>
      </c>
      <c r="W175" s="38">
        <v>0</v>
      </c>
      <c r="X175" s="38">
        <v>0</v>
      </c>
      <c r="Y175" s="38">
        <v>0</v>
      </c>
      <c r="Z175" s="38">
        <v>0</v>
      </c>
      <c r="AA175" s="38">
        <v>84</v>
      </c>
      <c r="AB175" s="38">
        <v>588058.80000000005</v>
      </c>
      <c r="AC175" s="38">
        <v>4</v>
      </c>
      <c r="AD175" s="38">
        <v>4</v>
      </c>
      <c r="AE175" s="56">
        <v>45413</v>
      </c>
      <c r="AF175" s="33"/>
      <c r="AG175" s="33"/>
      <c r="AH175" s="33">
        <v>45444</v>
      </c>
      <c r="AI175" s="33"/>
      <c r="AJ175" s="42"/>
      <c r="AK175" s="37" t="s">
        <v>2591</v>
      </c>
      <c r="AL175" s="37" t="s">
        <v>2592</v>
      </c>
      <c r="AM175" s="37" t="s">
        <v>2593</v>
      </c>
      <c r="AN175" s="37" t="s">
        <v>50</v>
      </c>
      <c r="AO175" s="43">
        <v>100</v>
      </c>
      <c r="AP175" s="35">
        <v>0</v>
      </c>
      <c r="AQ175" s="35" t="s">
        <v>441</v>
      </c>
      <c r="AR175" s="44">
        <v>21</v>
      </c>
      <c r="AS175" s="37" t="s">
        <v>52</v>
      </c>
    </row>
    <row r="176" spans="1:45" ht="42.75" customHeight="1" x14ac:dyDescent="0.25">
      <c r="A176" s="32" t="s">
        <v>2594</v>
      </c>
      <c r="B176" s="56">
        <v>45350</v>
      </c>
      <c r="C176" s="35" t="s">
        <v>2213</v>
      </c>
      <c r="D176" s="36"/>
      <c r="E176" s="1" t="s">
        <v>2595</v>
      </c>
      <c r="F176" s="33">
        <v>45363</v>
      </c>
      <c r="G176" s="35" t="s">
        <v>2596</v>
      </c>
      <c r="H176" s="37" t="s">
        <v>2597</v>
      </c>
      <c r="I176" s="58" t="s">
        <v>2598</v>
      </c>
      <c r="J176" s="57">
        <v>1272030</v>
      </c>
      <c r="K176" s="40">
        <v>50.334190231362463</v>
      </c>
      <c r="L176" s="41">
        <v>640266</v>
      </c>
      <c r="M176" s="38">
        <v>631764</v>
      </c>
      <c r="N176" s="41">
        <v>640266</v>
      </c>
      <c r="O176" s="38">
        <v>631764</v>
      </c>
      <c r="P176" s="27">
        <v>631764</v>
      </c>
      <c r="Q176" s="27">
        <v>631764</v>
      </c>
      <c r="R176" s="27">
        <v>48.3</v>
      </c>
      <c r="S176" s="38">
        <v>48.3</v>
      </c>
      <c r="T176" s="38">
        <v>1449</v>
      </c>
      <c r="U176" s="38">
        <v>13080</v>
      </c>
      <c r="V176" s="38">
        <v>13080</v>
      </c>
      <c r="W176" s="38">
        <v>0</v>
      </c>
      <c r="X176" s="38">
        <v>0</v>
      </c>
      <c r="Y176" s="38">
        <v>0</v>
      </c>
      <c r="Z176" s="38">
        <v>0</v>
      </c>
      <c r="AA176" s="38">
        <v>13080</v>
      </c>
      <c r="AB176" s="38">
        <v>631764</v>
      </c>
      <c r="AC176" s="38">
        <v>436</v>
      </c>
      <c r="AD176" s="38">
        <v>436</v>
      </c>
      <c r="AE176" s="56">
        <v>45413</v>
      </c>
      <c r="AF176" s="33"/>
      <c r="AG176" s="33"/>
      <c r="AH176" s="33">
        <v>45444</v>
      </c>
      <c r="AI176" s="33"/>
      <c r="AJ176" s="42"/>
      <c r="AK176" s="37" t="s">
        <v>1426</v>
      </c>
      <c r="AL176" s="37" t="s">
        <v>2599</v>
      </c>
      <c r="AM176" s="37" t="s">
        <v>2600</v>
      </c>
      <c r="AN176" s="37" t="s">
        <v>2601</v>
      </c>
      <c r="AO176" s="43">
        <v>0</v>
      </c>
      <c r="AP176" s="35">
        <v>100</v>
      </c>
      <c r="AQ176" s="35" t="s">
        <v>441</v>
      </c>
      <c r="AR176" s="44">
        <v>30</v>
      </c>
      <c r="AS176" s="37" t="s">
        <v>52</v>
      </c>
    </row>
    <row r="177" spans="1:45" ht="42.75" customHeight="1" x14ac:dyDescent="0.25">
      <c r="A177" s="32" t="s">
        <v>2602</v>
      </c>
      <c r="B177" s="56">
        <v>45350</v>
      </c>
      <c r="C177" s="35" t="s">
        <v>2213</v>
      </c>
      <c r="D177" s="36"/>
      <c r="E177" s="1" t="s">
        <v>2603</v>
      </c>
      <c r="F177" s="33">
        <v>45363</v>
      </c>
      <c r="G177" s="35" t="s">
        <v>2604</v>
      </c>
      <c r="H177" s="37" t="s">
        <v>1847</v>
      </c>
      <c r="I177" s="58" t="s">
        <v>2605</v>
      </c>
      <c r="J177" s="57">
        <v>156739.79999999999</v>
      </c>
      <c r="K177" s="40">
        <v>8.9766606822250988E-2</v>
      </c>
      <c r="L177" s="41">
        <v>140.69999999998254</v>
      </c>
      <c r="M177" s="38">
        <v>156599.1</v>
      </c>
      <c r="N177" s="41">
        <v>140.69999999998254</v>
      </c>
      <c r="O177" s="38">
        <v>156599.1</v>
      </c>
      <c r="P177" s="27">
        <v>156599.1</v>
      </c>
      <c r="Q177" s="27">
        <v>156599.1</v>
      </c>
      <c r="R177" s="27">
        <v>11.13</v>
      </c>
      <c r="S177" s="38">
        <v>11.13</v>
      </c>
      <c r="T177" s="38" t="e">
        <v>#VALUE!</v>
      </c>
      <c r="U177" s="38">
        <v>14070</v>
      </c>
      <c r="V177" s="38">
        <v>14070</v>
      </c>
      <c r="W177" s="38">
        <v>0</v>
      </c>
      <c r="X177" s="38">
        <v>0</v>
      </c>
      <c r="Y177" s="38">
        <v>0</v>
      </c>
      <c r="Z177" s="38">
        <v>0</v>
      </c>
      <c r="AA177" s="38">
        <v>14070</v>
      </c>
      <c r="AB177" s="38">
        <v>156599.1</v>
      </c>
      <c r="AC177" s="38" t="e">
        <v>#VALUE!</v>
      </c>
      <c r="AD177" s="38" t="e">
        <v>#VALUE!</v>
      </c>
      <c r="AE177" s="56">
        <v>45413</v>
      </c>
      <c r="AF177" s="33"/>
      <c r="AG177" s="33"/>
      <c r="AH177" s="33">
        <v>45444</v>
      </c>
      <c r="AI177" s="33"/>
      <c r="AJ177" s="42"/>
      <c r="AK177" s="37" t="s">
        <v>2606</v>
      </c>
      <c r="AL177" s="37" t="s">
        <v>2607</v>
      </c>
      <c r="AM177" s="37" t="s">
        <v>2608</v>
      </c>
      <c r="AN177" s="37" t="s">
        <v>50</v>
      </c>
      <c r="AO177" s="43">
        <v>100</v>
      </c>
      <c r="AP177" s="35">
        <v>0</v>
      </c>
      <c r="AQ177" s="35" t="s">
        <v>441</v>
      </c>
      <c r="AR177" s="48" t="s">
        <v>2609</v>
      </c>
      <c r="AS177" s="37" t="s">
        <v>52</v>
      </c>
    </row>
    <row r="178" spans="1:45" ht="42.75" customHeight="1" x14ac:dyDescent="0.25">
      <c r="A178" s="32" t="s">
        <v>2610</v>
      </c>
      <c r="B178" s="56">
        <v>45350</v>
      </c>
      <c r="C178" s="35" t="s">
        <v>2213</v>
      </c>
      <c r="D178" s="36"/>
      <c r="E178" s="1" t="s">
        <v>2611</v>
      </c>
      <c r="F178" s="33">
        <v>45363</v>
      </c>
      <c r="G178" s="35" t="s">
        <v>2612</v>
      </c>
      <c r="H178" s="37" t="s">
        <v>1847</v>
      </c>
      <c r="I178" s="58" t="s">
        <v>2613</v>
      </c>
      <c r="J178" s="57">
        <v>155554.56</v>
      </c>
      <c r="K178" s="40">
        <v>1.8360117504750532E-2</v>
      </c>
      <c r="L178" s="41">
        <v>28.559999999997672</v>
      </c>
      <c r="M178" s="38">
        <v>155526</v>
      </c>
      <c r="N178" s="41">
        <v>28.559999999997672</v>
      </c>
      <c r="O178" s="38">
        <v>155526</v>
      </c>
      <c r="P178" s="27">
        <v>155526</v>
      </c>
      <c r="Q178" s="27">
        <v>155526</v>
      </c>
      <c r="R178" s="27">
        <v>925.75</v>
      </c>
      <c r="S178" s="38">
        <v>925.75</v>
      </c>
      <c r="T178" s="38">
        <v>46287.5</v>
      </c>
      <c r="U178" s="38">
        <v>168</v>
      </c>
      <c r="V178" s="38">
        <v>168</v>
      </c>
      <c r="W178" s="38">
        <v>0</v>
      </c>
      <c r="X178" s="38">
        <v>0</v>
      </c>
      <c r="Y178" s="38">
        <v>0</v>
      </c>
      <c r="Z178" s="38">
        <v>0</v>
      </c>
      <c r="AA178" s="38">
        <v>168</v>
      </c>
      <c r="AB178" s="38">
        <v>155526</v>
      </c>
      <c r="AC178" s="38">
        <v>3.36</v>
      </c>
      <c r="AD178" s="38">
        <v>4</v>
      </c>
      <c r="AE178" s="56">
        <v>45413</v>
      </c>
      <c r="AF178" s="33"/>
      <c r="AG178" s="33"/>
      <c r="AH178" s="33">
        <v>45444</v>
      </c>
      <c r="AI178" s="33"/>
      <c r="AJ178" s="42"/>
      <c r="AK178" s="37" t="s">
        <v>1433</v>
      </c>
      <c r="AL178" s="37" t="s">
        <v>2614</v>
      </c>
      <c r="AM178" s="37" t="s">
        <v>2615</v>
      </c>
      <c r="AN178" s="37" t="s">
        <v>50</v>
      </c>
      <c r="AO178" s="43">
        <v>100</v>
      </c>
      <c r="AP178" s="35">
        <v>0</v>
      </c>
      <c r="AQ178" s="35" t="s">
        <v>164</v>
      </c>
      <c r="AR178" s="44">
        <v>50</v>
      </c>
      <c r="AS178" s="37" t="s">
        <v>52</v>
      </c>
    </row>
    <row r="179" spans="1:45" ht="42.75" customHeight="1" x14ac:dyDescent="0.25">
      <c r="A179" s="32" t="s">
        <v>2616</v>
      </c>
      <c r="B179" s="56">
        <v>45350</v>
      </c>
      <c r="C179" s="35" t="s">
        <v>2213</v>
      </c>
      <c r="D179" s="36"/>
      <c r="E179" s="1" t="s">
        <v>2617</v>
      </c>
      <c r="F179" s="33">
        <v>45363</v>
      </c>
      <c r="G179" s="35" t="s">
        <v>2618</v>
      </c>
      <c r="H179" s="37" t="s">
        <v>1847</v>
      </c>
      <c r="I179" s="58" t="s">
        <v>2619</v>
      </c>
      <c r="J179" s="57">
        <v>52561.5</v>
      </c>
      <c r="K179" s="40">
        <v>6.3734862970044617E-2</v>
      </c>
      <c r="L179" s="41">
        <v>33.5</v>
      </c>
      <c r="M179" s="38">
        <v>52528</v>
      </c>
      <c r="N179" s="41">
        <v>33.5</v>
      </c>
      <c r="O179" s="38">
        <v>52528</v>
      </c>
      <c r="P179" s="27">
        <v>52528</v>
      </c>
      <c r="Q179" s="27">
        <v>52528</v>
      </c>
      <c r="R179" s="27">
        <v>15.68</v>
      </c>
      <c r="S179" s="38">
        <v>15.68</v>
      </c>
      <c r="T179" s="38">
        <v>784</v>
      </c>
      <c r="U179" s="38">
        <v>3350</v>
      </c>
      <c r="V179" s="38">
        <v>3350</v>
      </c>
      <c r="W179" s="38">
        <v>0</v>
      </c>
      <c r="X179" s="38">
        <v>0</v>
      </c>
      <c r="Y179" s="38">
        <v>0</v>
      </c>
      <c r="Z179" s="38">
        <v>0</v>
      </c>
      <c r="AA179" s="38">
        <v>3350</v>
      </c>
      <c r="AB179" s="38">
        <v>52528</v>
      </c>
      <c r="AC179" s="38">
        <v>67</v>
      </c>
      <c r="AD179" s="38">
        <v>67</v>
      </c>
      <c r="AE179" s="56">
        <v>45413</v>
      </c>
      <c r="AF179" s="33"/>
      <c r="AG179" s="33"/>
      <c r="AH179" s="33">
        <v>45444</v>
      </c>
      <c r="AI179" s="33"/>
      <c r="AJ179" s="42"/>
      <c r="AK179" s="37" t="s">
        <v>1505</v>
      </c>
      <c r="AL179" s="37" t="s">
        <v>2620</v>
      </c>
      <c r="AM179" s="37" t="s">
        <v>1507</v>
      </c>
      <c r="AN179" s="37" t="s">
        <v>50</v>
      </c>
      <c r="AO179" s="43">
        <v>100</v>
      </c>
      <c r="AP179" s="35">
        <v>0</v>
      </c>
      <c r="AQ179" s="35" t="s">
        <v>441</v>
      </c>
      <c r="AR179" s="44">
        <v>50</v>
      </c>
      <c r="AS179" s="37" t="s">
        <v>52</v>
      </c>
    </row>
    <row r="180" spans="1:45" ht="42.75" customHeight="1" x14ac:dyDescent="0.25">
      <c r="A180" s="32" t="s">
        <v>2621</v>
      </c>
      <c r="B180" s="56">
        <v>45350</v>
      </c>
      <c r="C180" s="35">
        <v>1416</v>
      </c>
      <c r="D180" s="35" t="s">
        <v>485</v>
      </c>
      <c r="E180" s="1" t="s">
        <v>2622</v>
      </c>
      <c r="F180" s="35" t="s">
        <v>485</v>
      </c>
      <c r="G180" s="35" t="s">
        <v>485</v>
      </c>
      <c r="H180" s="35" t="s">
        <v>485</v>
      </c>
      <c r="I180" s="58" t="s">
        <v>2623</v>
      </c>
      <c r="J180" s="57">
        <v>449689624.02999997</v>
      </c>
      <c r="K180" s="40">
        <v>100</v>
      </c>
      <c r="L180" s="41">
        <v>449689624.02999997</v>
      </c>
      <c r="M180" s="38"/>
      <c r="N180" s="41">
        <v>449689624.02999997</v>
      </c>
      <c r="O180" s="38">
        <v>0</v>
      </c>
      <c r="P180" s="27">
        <v>0</v>
      </c>
      <c r="Q180" s="27">
        <v>0</v>
      </c>
      <c r="R180" s="27" t="e">
        <v>#DIV/0!</v>
      </c>
      <c r="S180" s="38" t="e">
        <v>#DIV/0!</v>
      </c>
      <c r="T180" s="38" t="e">
        <v>#DIV/0!</v>
      </c>
      <c r="U180" s="38">
        <v>0</v>
      </c>
      <c r="V180" s="38">
        <v>0</v>
      </c>
      <c r="W180" s="38">
        <v>0</v>
      </c>
      <c r="X180" s="38">
        <v>0</v>
      </c>
      <c r="Y180" s="38"/>
      <c r="Z180" s="38" t="e">
        <v>#DIV/0!</v>
      </c>
      <c r="AA180" s="38"/>
      <c r="AB180" s="38" t="e">
        <v>#DIV/0!</v>
      </c>
      <c r="AC180" s="38" t="e">
        <v>#DIV/0!</v>
      </c>
      <c r="AD180" s="38" t="e">
        <v>#DIV/0!</v>
      </c>
      <c r="AE180" s="56">
        <v>45413</v>
      </c>
      <c r="AF180" s="33"/>
      <c r="AG180" s="33"/>
      <c r="AH180" s="33"/>
      <c r="AI180" s="33"/>
      <c r="AJ180" s="42"/>
      <c r="AK180" s="37"/>
      <c r="AL180" s="37"/>
      <c r="AM180" s="37"/>
      <c r="AN180" s="37"/>
      <c r="AO180" s="43"/>
      <c r="AP180" s="35"/>
      <c r="AQ180" s="35"/>
      <c r="AR180" s="44"/>
      <c r="AS180" s="37" t="s">
        <v>485</v>
      </c>
    </row>
    <row r="181" spans="1:45" ht="42.75" customHeight="1" x14ac:dyDescent="0.25">
      <c r="A181" s="32" t="s">
        <v>2624</v>
      </c>
      <c r="B181" s="56">
        <v>45350</v>
      </c>
      <c r="C181" s="35">
        <v>1416</v>
      </c>
      <c r="D181" s="36"/>
      <c r="E181" s="1" t="s">
        <v>2625</v>
      </c>
      <c r="F181" s="33">
        <v>45370</v>
      </c>
      <c r="G181" s="35" t="s">
        <v>2626</v>
      </c>
      <c r="H181" s="37" t="s">
        <v>291</v>
      </c>
      <c r="I181" s="58" t="s">
        <v>2619</v>
      </c>
      <c r="J181" s="57">
        <v>7595529</v>
      </c>
      <c r="K181" s="40">
        <v>0</v>
      </c>
      <c r="L181" s="41">
        <v>0</v>
      </c>
      <c r="M181" s="38">
        <v>7595529</v>
      </c>
      <c r="N181" s="41">
        <v>0</v>
      </c>
      <c r="O181" s="38">
        <v>7595529</v>
      </c>
      <c r="P181" s="27">
        <v>7595529</v>
      </c>
      <c r="Q181" s="27">
        <v>7595529</v>
      </c>
      <c r="R181" s="27">
        <v>15.69</v>
      </c>
      <c r="S181" s="38">
        <v>15.69</v>
      </c>
      <c r="T181" s="38">
        <v>784.5</v>
      </c>
      <c r="U181" s="38">
        <v>484100</v>
      </c>
      <c r="V181" s="38">
        <v>484100</v>
      </c>
      <c r="W181" s="38">
        <v>0</v>
      </c>
      <c r="X181" s="38">
        <v>0</v>
      </c>
      <c r="Y181" s="38">
        <v>0</v>
      </c>
      <c r="Z181" s="38">
        <v>0</v>
      </c>
      <c r="AA181" s="38">
        <v>484100</v>
      </c>
      <c r="AB181" s="38">
        <v>7595529</v>
      </c>
      <c r="AC181" s="38">
        <v>9682</v>
      </c>
      <c r="AD181" s="38">
        <v>9682</v>
      </c>
      <c r="AE181" s="56">
        <v>45413</v>
      </c>
      <c r="AF181" s="33"/>
      <c r="AG181" s="33"/>
      <c r="AH181" s="33">
        <v>45444</v>
      </c>
      <c r="AI181" s="33"/>
      <c r="AJ181" s="42"/>
      <c r="AK181" s="37" t="s">
        <v>1505</v>
      </c>
      <c r="AL181" s="37" t="s">
        <v>2620</v>
      </c>
      <c r="AM181" s="37" t="s">
        <v>1507</v>
      </c>
      <c r="AN181" s="37" t="s">
        <v>50</v>
      </c>
      <c r="AO181" s="43">
        <v>100</v>
      </c>
      <c r="AP181" s="35">
        <v>0</v>
      </c>
      <c r="AQ181" s="35" t="s">
        <v>441</v>
      </c>
      <c r="AR181" s="44">
        <v>50</v>
      </c>
      <c r="AS181" s="37" t="s">
        <v>52</v>
      </c>
    </row>
    <row r="182" spans="1:45" ht="42.75" customHeight="1" x14ac:dyDescent="0.25">
      <c r="A182" s="32" t="s">
        <v>2627</v>
      </c>
      <c r="B182" s="56">
        <v>45350</v>
      </c>
      <c r="C182" s="35">
        <v>1416</v>
      </c>
      <c r="D182" s="36"/>
      <c r="E182" s="1" t="s">
        <v>2628</v>
      </c>
      <c r="F182" s="33">
        <v>45376</v>
      </c>
      <c r="G182" s="35" t="s">
        <v>2629</v>
      </c>
      <c r="H182" s="37" t="s">
        <v>411</v>
      </c>
      <c r="I182" s="58" t="s">
        <v>2630</v>
      </c>
      <c r="J182" s="57">
        <v>12242301.279999999</v>
      </c>
      <c r="K182" s="40">
        <v>0</v>
      </c>
      <c r="L182" s="41">
        <v>0</v>
      </c>
      <c r="M182" s="57">
        <v>12242301.279999999</v>
      </c>
      <c r="N182" s="41">
        <v>0</v>
      </c>
      <c r="O182" s="57">
        <v>12242301.279999999</v>
      </c>
      <c r="P182" s="27">
        <v>12242301.279999999</v>
      </c>
      <c r="Q182" s="27">
        <v>12242301.279999999</v>
      </c>
      <c r="R182" s="27">
        <v>263842.7</v>
      </c>
      <c r="S182" s="38">
        <v>263842.7</v>
      </c>
      <c r="T182" s="38">
        <v>105537.08000000002</v>
      </c>
      <c r="U182" s="38">
        <v>46.4</v>
      </c>
      <c r="V182" s="38">
        <v>13.6</v>
      </c>
      <c r="W182" s="38">
        <v>32.799999999999997</v>
      </c>
      <c r="X182" s="38">
        <v>0</v>
      </c>
      <c r="Y182" s="38">
        <v>0</v>
      </c>
      <c r="Z182" s="38">
        <v>0</v>
      </c>
      <c r="AA182" s="38">
        <v>46.4</v>
      </c>
      <c r="AB182" s="38">
        <v>12242301.279999999</v>
      </c>
      <c r="AC182" s="38">
        <v>115.99999999999999</v>
      </c>
      <c r="AD182" s="38">
        <v>116</v>
      </c>
      <c r="AE182" s="56">
        <v>45427</v>
      </c>
      <c r="AF182" s="33">
        <v>45536</v>
      </c>
      <c r="AG182" s="33"/>
      <c r="AH182" s="33">
        <v>45458</v>
      </c>
      <c r="AI182" s="33">
        <v>45566</v>
      </c>
      <c r="AJ182" s="42"/>
      <c r="AK182" s="37" t="s">
        <v>786</v>
      </c>
      <c r="AL182" s="37" t="s">
        <v>1106</v>
      </c>
      <c r="AM182" s="37" t="s">
        <v>788</v>
      </c>
      <c r="AN182" s="37" t="s">
        <v>326</v>
      </c>
      <c r="AO182" s="43">
        <v>0</v>
      </c>
      <c r="AP182" s="35">
        <v>100</v>
      </c>
      <c r="AQ182" s="35" t="s">
        <v>164</v>
      </c>
      <c r="AR182" s="49">
        <v>0.4</v>
      </c>
      <c r="AS182" s="37" t="s">
        <v>52</v>
      </c>
    </row>
    <row r="183" spans="1:45" ht="42.75" customHeight="1" x14ac:dyDescent="0.25">
      <c r="A183" s="32" t="s">
        <v>2631</v>
      </c>
      <c r="B183" s="56">
        <v>45350</v>
      </c>
      <c r="C183" s="35">
        <v>1416</v>
      </c>
      <c r="D183" s="35" t="s">
        <v>485</v>
      </c>
      <c r="E183" s="1" t="s">
        <v>2632</v>
      </c>
      <c r="F183" s="35" t="s">
        <v>485</v>
      </c>
      <c r="G183" s="35" t="s">
        <v>485</v>
      </c>
      <c r="H183" s="35" t="s">
        <v>485</v>
      </c>
      <c r="I183" s="58" t="s">
        <v>306</v>
      </c>
      <c r="J183" s="57">
        <v>974646.96</v>
      </c>
      <c r="K183" s="40">
        <v>100</v>
      </c>
      <c r="L183" s="41">
        <v>974646.96</v>
      </c>
      <c r="M183" s="38"/>
      <c r="N183" s="41">
        <v>974646.96</v>
      </c>
      <c r="O183" s="38">
        <v>0</v>
      </c>
      <c r="P183" s="27">
        <v>0</v>
      </c>
      <c r="Q183" s="27">
        <v>0</v>
      </c>
      <c r="R183" s="27" t="e">
        <v>#DIV/0!</v>
      </c>
      <c r="S183" s="38" t="e">
        <v>#DIV/0!</v>
      </c>
      <c r="T183" s="38" t="e">
        <v>#DIV/0!</v>
      </c>
      <c r="U183" s="38">
        <v>0</v>
      </c>
      <c r="V183" s="38">
        <v>0</v>
      </c>
      <c r="W183" s="38">
        <v>0</v>
      </c>
      <c r="X183" s="38">
        <v>0</v>
      </c>
      <c r="Y183" s="38"/>
      <c r="Z183" s="38" t="e">
        <v>#DIV/0!</v>
      </c>
      <c r="AA183" s="38"/>
      <c r="AB183" s="38" t="e">
        <v>#DIV/0!</v>
      </c>
      <c r="AC183" s="38" t="e">
        <v>#DIV/0!</v>
      </c>
      <c r="AD183" s="38" t="e">
        <v>#DIV/0!</v>
      </c>
      <c r="AE183" s="56">
        <v>45413</v>
      </c>
      <c r="AF183" s="33"/>
      <c r="AG183" s="33"/>
      <c r="AH183" s="33"/>
      <c r="AI183" s="33"/>
      <c r="AJ183" s="42"/>
      <c r="AK183" s="37"/>
      <c r="AL183" s="37"/>
      <c r="AM183" s="37"/>
      <c r="AN183" s="37"/>
      <c r="AO183" s="43"/>
      <c r="AP183" s="35"/>
      <c r="AQ183" s="35"/>
      <c r="AR183" s="44"/>
      <c r="AS183" s="37" t="s">
        <v>485</v>
      </c>
    </row>
    <row r="184" spans="1:45" ht="42.75" customHeight="1" x14ac:dyDescent="0.25">
      <c r="A184" s="32" t="s">
        <v>2636</v>
      </c>
      <c r="B184" s="56">
        <v>45350</v>
      </c>
      <c r="C184" s="35">
        <v>1416</v>
      </c>
      <c r="D184" s="35" t="s">
        <v>485</v>
      </c>
      <c r="E184" s="1" t="s">
        <v>2637</v>
      </c>
      <c r="F184" s="35" t="s">
        <v>485</v>
      </c>
      <c r="G184" s="35" t="s">
        <v>485</v>
      </c>
      <c r="H184" s="35" t="s">
        <v>485</v>
      </c>
      <c r="I184" s="58" t="s">
        <v>1205</v>
      </c>
      <c r="J184" s="57">
        <v>89366255</v>
      </c>
      <c r="K184" s="40">
        <v>100</v>
      </c>
      <c r="L184" s="41">
        <v>89366255</v>
      </c>
      <c r="M184" s="38"/>
      <c r="N184" s="41">
        <v>89366255</v>
      </c>
      <c r="O184" s="38">
        <v>0</v>
      </c>
      <c r="P184" s="27">
        <v>0</v>
      </c>
      <c r="Q184" s="27">
        <v>0</v>
      </c>
      <c r="R184" s="27" t="e">
        <v>#DIV/0!</v>
      </c>
      <c r="S184" s="38" t="e">
        <v>#DIV/0!</v>
      </c>
      <c r="T184" s="38" t="e">
        <v>#DIV/0!</v>
      </c>
      <c r="U184" s="38">
        <v>0</v>
      </c>
      <c r="V184" s="38">
        <v>0</v>
      </c>
      <c r="W184" s="38">
        <v>0</v>
      </c>
      <c r="X184" s="38">
        <v>0</v>
      </c>
      <c r="Y184" s="38"/>
      <c r="Z184" s="38" t="e">
        <v>#DIV/0!</v>
      </c>
      <c r="AA184" s="38"/>
      <c r="AB184" s="38" t="e">
        <v>#DIV/0!</v>
      </c>
      <c r="AC184" s="38" t="e">
        <v>#DIV/0!</v>
      </c>
      <c r="AD184" s="38" t="e">
        <v>#DIV/0!</v>
      </c>
      <c r="AE184" s="56">
        <v>45413</v>
      </c>
      <c r="AF184" s="33"/>
      <c r="AG184" s="33"/>
      <c r="AH184" s="33"/>
      <c r="AI184" s="33"/>
      <c r="AJ184" s="42"/>
      <c r="AK184" s="37"/>
      <c r="AL184" s="37"/>
      <c r="AM184" s="37"/>
      <c r="AN184" s="37"/>
      <c r="AO184" s="43"/>
      <c r="AP184" s="35"/>
      <c r="AQ184" s="35"/>
      <c r="AR184" s="44"/>
      <c r="AS184" s="37" t="s">
        <v>485</v>
      </c>
    </row>
    <row r="185" spans="1:45" ht="42.75" customHeight="1" x14ac:dyDescent="0.25">
      <c r="A185" s="32" t="s">
        <v>2645</v>
      </c>
      <c r="B185" s="56">
        <v>45350</v>
      </c>
      <c r="C185" s="35" t="s">
        <v>2213</v>
      </c>
      <c r="D185" s="36"/>
      <c r="E185" s="1" t="s">
        <v>2646</v>
      </c>
      <c r="F185" s="33">
        <v>45363</v>
      </c>
      <c r="G185" s="35" t="s">
        <v>2647</v>
      </c>
      <c r="H185" s="37" t="s">
        <v>1847</v>
      </c>
      <c r="I185" s="58" t="s">
        <v>2648</v>
      </c>
      <c r="J185" s="57">
        <v>54850.2</v>
      </c>
      <c r="K185" s="40">
        <v>3.3181282839437394E-2</v>
      </c>
      <c r="L185" s="41">
        <v>18.19999999999709</v>
      </c>
      <c r="M185" s="38">
        <v>54832</v>
      </c>
      <c r="N185" s="41">
        <v>18.19999999999709</v>
      </c>
      <c r="O185" s="38">
        <v>54832</v>
      </c>
      <c r="P185" s="27">
        <v>54827.6</v>
      </c>
      <c r="Q185" s="27">
        <v>54827.6</v>
      </c>
      <c r="R185" s="27">
        <v>24.259999999999998</v>
      </c>
      <c r="S185" s="38">
        <v>24.259999999999998</v>
      </c>
      <c r="T185" s="38">
        <v>2426</v>
      </c>
      <c r="U185" s="38">
        <v>2260</v>
      </c>
      <c r="V185" s="38">
        <v>2260</v>
      </c>
      <c r="W185" s="38">
        <v>0</v>
      </c>
      <c r="X185" s="38">
        <v>0</v>
      </c>
      <c r="Y185" s="38">
        <v>0</v>
      </c>
      <c r="Z185" s="38">
        <v>0</v>
      </c>
      <c r="AA185" s="38">
        <v>2260</v>
      </c>
      <c r="AB185" s="38">
        <v>54827.6</v>
      </c>
      <c r="AC185" s="38">
        <v>22.6</v>
      </c>
      <c r="AD185" s="38">
        <v>23</v>
      </c>
      <c r="AE185" s="56">
        <v>45413</v>
      </c>
      <c r="AF185" s="33"/>
      <c r="AG185" s="33"/>
      <c r="AH185" s="33">
        <v>45444</v>
      </c>
      <c r="AI185" s="33"/>
      <c r="AJ185" s="42"/>
      <c r="AK185" s="37" t="s">
        <v>2649</v>
      </c>
      <c r="AL185" s="37" t="s">
        <v>2650</v>
      </c>
      <c r="AM185" s="37" t="s">
        <v>2651</v>
      </c>
      <c r="AN185" s="37" t="s">
        <v>50</v>
      </c>
      <c r="AO185" s="43">
        <v>100</v>
      </c>
      <c r="AP185" s="35">
        <v>0</v>
      </c>
      <c r="AQ185" s="35" t="s">
        <v>441</v>
      </c>
      <c r="AR185" s="44">
        <v>100</v>
      </c>
      <c r="AS185" s="37" t="s">
        <v>52</v>
      </c>
    </row>
    <row r="186" spans="1:45" ht="42.75" customHeight="1" x14ac:dyDescent="0.25">
      <c r="A186" s="32" t="s">
        <v>2652</v>
      </c>
      <c r="B186" s="56">
        <v>45350</v>
      </c>
      <c r="C186" s="35" t="s">
        <v>2213</v>
      </c>
      <c r="D186" s="35" t="s">
        <v>485</v>
      </c>
      <c r="E186" s="1" t="s">
        <v>2653</v>
      </c>
      <c r="F186" s="35" t="s">
        <v>485</v>
      </c>
      <c r="G186" s="35" t="s">
        <v>485</v>
      </c>
      <c r="H186" s="35" t="s">
        <v>485</v>
      </c>
      <c r="I186" s="58" t="s">
        <v>306</v>
      </c>
      <c r="J186" s="57">
        <v>1387.68</v>
      </c>
      <c r="K186" s="40">
        <v>100</v>
      </c>
      <c r="L186" s="41">
        <v>1387.68</v>
      </c>
      <c r="M186" s="38"/>
      <c r="N186" s="41">
        <v>1387.68</v>
      </c>
      <c r="O186" s="38">
        <v>0</v>
      </c>
      <c r="P186" s="27">
        <v>0</v>
      </c>
      <c r="Q186" s="27">
        <v>0</v>
      </c>
      <c r="R186" s="27" t="e">
        <v>#DIV/0!</v>
      </c>
      <c r="S186" s="38" t="e">
        <v>#DIV/0!</v>
      </c>
      <c r="T186" s="38" t="e">
        <v>#DIV/0!</v>
      </c>
      <c r="U186" s="38">
        <v>0</v>
      </c>
      <c r="V186" s="38">
        <v>0</v>
      </c>
      <c r="W186" s="38">
        <v>0</v>
      </c>
      <c r="X186" s="38">
        <v>0</v>
      </c>
      <c r="Y186" s="38"/>
      <c r="Z186" s="38" t="e">
        <v>#DIV/0!</v>
      </c>
      <c r="AA186" s="38"/>
      <c r="AB186" s="38" t="e">
        <v>#DIV/0!</v>
      </c>
      <c r="AC186" s="38" t="e">
        <v>#DIV/0!</v>
      </c>
      <c r="AD186" s="38" t="e">
        <v>#DIV/0!</v>
      </c>
      <c r="AE186" s="56">
        <v>45413</v>
      </c>
      <c r="AF186" s="33"/>
      <c r="AG186" s="33"/>
      <c r="AH186" s="33"/>
      <c r="AI186" s="33"/>
      <c r="AJ186" s="42"/>
      <c r="AK186" s="37"/>
      <c r="AL186" s="37"/>
      <c r="AM186" s="37"/>
      <c r="AN186" s="37"/>
      <c r="AO186" s="43"/>
      <c r="AP186" s="35"/>
      <c r="AQ186" s="35"/>
      <c r="AR186" s="44"/>
      <c r="AS186" s="37" t="s">
        <v>485</v>
      </c>
    </row>
    <row r="187" spans="1:45" ht="42.75" customHeight="1" x14ac:dyDescent="0.25">
      <c r="A187" s="32" t="s">
        <v>2659</v>
      </c>
      <c r="B187" s="56">
        <v>45350</v>
      </c>
      <c r="C187" s="35" t="s">
        <v>2213</v>
      </c>
      <c r="D187" s="35" t="s">
        <v>485</v>
      </c>
      <c r="E187" s="1" t="s">
        <v>2660</v>
      </c>
      <c r="F187" s="35" t="s">
        <v>485</v>
      </c>
      <c r="G187" s="35" t="s">
        <v>485</v>
      </c>
      <c r="H187" s="35" t="s">
        <v>485</v>
      </c>
      <c r="I187" s="58" t="s">
        <v>793</v>
      </c>
      <c r="J187" s="57">
        <v>480955.06</v>
      </c>
      <c r="K187" s="40">
        <v>100</v>
      </c>
      <c r="L187" s="41">
        <v>480955.06</v>
      </c>
      <c r="M187" s="38"/>
      <c r="N187" s="41">
        <v>480955.06</v>
      </c>
      <c r="O187" s="38">
        <v>0</v>
      </c>
      <c r="P187" s="27">
        <v>0</v>
      </c>
      <c r="Q187" s="27">
        <v>0</v>
      </c>
      <c r="R187" s="27" t="e">
        <v>#DIV/0!</v>
      </c>
      <c r="S187" s="38" t="e">
        <v>#DIV/0!</v>
      </c>
      <c r="T187" s="38" t="e">
        <v>#DIV/0!</v>
      </c>
      <c r="U187" s="38">
        <v>0</v>
      </c>
      <c r="V187" s="38">
        <v>0</v>
      </c>
      <c r="W187" s="38">
        <v>0</v>
      </c>
      <c r="X187" s="38">
        <v>0</v>
      </c>
      <c r="Y187" s="38"/>
      <c r="Z187" s="38" t="e">
        <v>#DIV/0!</v>
      </c>
      <c r="AA187" s="38"/>
      <c r="AB187" s="38" t="e">
        <v>#DIV/0!</v>
      </c>
      <c r="AC187" s="38" t="e">
        <v>#DIV/0!</v>
      </c>
      <c r="AD187" s="38" t="e">
        <v>#DIV/0!</v>
      </c>
      <c r="AE187" s="56">
        <v>45473</v>
      </c>
      <c r="AF187" s="33"/>
      <c r="AG187" s="33"/>
      <c r="AH187" s="33"/>
      <c r="AI187" s="33"/>
      <c r="AJ187" s="42"/>
      <c r="AK187" s="37"/>
      <c r="AL187" s="37"/>
      <c r="AM187" s="37"/>
      <c r="AN187" s="37"/>
      <c r="AO187" s="43"/>
      <c r="AP187" s="35"/>
      <c r="AQ187" s="35"/>
      <c r="AR187" s="44"/>
      <c r="AS187" s="37" t="s">
        <v>485</v>
      </c>
    </row>
    <row r="188" spans="1:45" ht="42.75" customHeight="1" x14ac:dyDescent="0.25">
      <c r="A188" s="32" t="s">
        <v>2661</v>
      </c>
      <c r="B188" s="56">
        <v>45350</v>
      </c>
      <c r="C188" s="35">
        <v>1416</v>
      </c>
      <c r="D188" s="35" t="s">
        <v>485</v>
      </c>
      <c r="E188" s="1" t="s">
        <v>2662</v>
      </c>
      <c r="F188" s="35" t="s">
        <v>485</v>
      </c>
      <c r="G188" s="35" t="s">
        <v>485</v>
      </c>
      <c r="H188" s="35" t="s">
        <v>485</v>
      </c>
      <c r="I188" s="58" t="s">
        <v>793</v>
      </c>
      <c r="J188" s="57">
        <v>56993174.140000001</v>
      </c>
      <c r="K188" s="40">
        <v>100</v>
      </c>
      <c r="L188" s="41">
        <v>56993174.140000001</v>
      </c>
      <c r="M188" s="38"/>
      <c r="N188" s="41">
        <v>56993174.140000001</v>
      </c>
      <c r="O188" s="38">
        <v>0</v>
      </c>
      <c r="P188" s="27">
        <v>0</v>
      </c>
      <c r="Q188" s="27">
        <v>0</v>
      </c>
      <c r="R188" s="27" t="e">
        <v>#DIV/0!</v>
      </c>
      <c r="S188" s="38" t="e">
        <v>#DIV/0!</v>
      </c>
      <c r="T188" s="38" t="e">
        <v>#DIV/0!</v>
      </c>
      <c r="U188" s="38">
        <v>0</v>
      </c>
      <c r="V188" s="38">
        <v>0</v>
      </c>
      <c r="W188" s="38">
        <v>0</v>
      </c>
      <c r="X188" s="38">
        <v>0</v>
      </c>
      <c r="Y188" s="38"/>
      <c r="Z188" s="38" t="e">
        <v>#DIV/0!</v>
      </c>
      <c r="AA188" s="38"/>
      <c r="AB188" s="38" t="e">
        <v>#DIV/0!</v>
      </c>
      <c r="AC188" s="38" t="e">
        <v>#DIV/0!</v>
      </c>
      <c r="AD188" s="38" t="e">
        <v>#DIV/0!</v>
      </c>
      <c r="AE188" s="56">
        <v>45473</v>
      </c>
      <c r="AF188" s="33"/>
      <c r="AG188" s="33"/>
      <c r="AH188" s="33"/>
      <c r="AI188" s="33"/>
      <c r="AJ188" s="42"/>
      <c r="AK188" s="37"/>
      <c r="AL188" s="37"/>
      <c r="AM188" s="37"/>
      <c r="AN188" s="37"/>
      <c r="AO188" s="43"/>
      <c r="AP188" s="35"/>
      <c r="AQ188" s="35"/>
      <c r="AR188" s="44"/>
      <c r="AS188" s="37" t="s">
        <v>485</v>
      </c>
    </row>
    <row r="189" spans="1:45" ht="43.5" customHeight="1" x14ac:dyDescent="0.25">
      <c r="A189" s="32" t="s">
        <v>2679</v>
      </c>
      <c r="B189" s="56">
        <v>45352</v>
      </c>
      <c r="C189" s="35">
        <v>1416</v>
      </c>
      <c r="D189" s="36"/>
      <c r="E189" s="1" t="s">
        <v>2680</v>
      </c>
      <c r="F189" s="33">
        <v>45380</v>
      </c>
      <c r="G189" s="35" t="s">
        <v>2681</v>
      </c>
      <c r="H189" s="37" t="s">
        <v>169</v>
      </c>
      <c r="I189" s="58" t="s">
        <v>2682</v>
      </c>
      <c r="J189" s="57">
        <v>255339696</v>
      </c>
      <c r="K189" s="40">
        <v>0</v>
      </c>
      <c r="L189" s="41">
        <v>0</v>
      </c>
      <c r="M189" s="57">
        <v>255339696</v>
      </c>
      <c r="N189" s="41">
        <v>0</v>
      </c>
      <c r="O189" s="57">
        <v>255339696</v>
      </c>
      <c r="P189" s="27">
        <v>255339696</v>
      </c>
      <c r="Q189" s="27">
        <v>255339696</v>
      </c>
      <c r="R189" s="27">
        <v>12.68</v>
      </c>
      <c r="S189" s="38">
        <v>12.68</v>
      </c>
      <c r="T189" s="38">
        <v>15216</v>
      </c>
      <c r="U189" s="38">
        <v>20137200</v>
      </c>
      <c r="V189" s="38">
        <v>20137200</v>
      </c>
      <c r="W189" s="38">
        <v>0</v>
      </c>
      <c r="X189" s="38">
        <v>0</v>
      </c>
      <c r="Y189" s="38">
        <v>20137200</v>
      </c>
      <c r="Z189" s="38">
        <v>255339696</v>
      </c>
      <c r="AA189" s="38">
        <v>0</v>
      </c>
      <c r="AB189" s="38">
        <v>0</v>
      </c>
      <c r="AC189" s="38">
        <v>16781</v>
      </c>
      <c r="AD189" s="38">
        <v>16781</v>
      </c>
      <c r="AE189" s="33">
        <v>45550</v>
      </c>
      <c r="AF189" s="33"/>
      <c r="AG189" s="33"/>
      <c r="AH189" s="33">
        <v>45580</v>
      </c>
      <c r="AI189" s="33"/>
      <c r="AJ189" s="42"/>
      <c r="AK189" s="37" t="s">
        <v>731</v>
      </c>
      <c r="AL189" s="37" t="s">
        <v>732</v>
      </c>
      <c r="AM189" s="37" t="s">
        <v>733</v>
      </c>
      <c r="AN189" s="37" t="s">
        <v>174</v>
      </c>
      <c r="AO189" s="43">
        <v>0</v>
      </c>
      <c r="AP189" s="35">
        <v>100</v>
      </c>
      <c r="AQ189" s="35" t="s">
        <v>175</v>
      </c>
      <c r="AR189" s="44">
        <v>1200</v>
      </c>
      <c r="AS189" s="37" t="s">
        <v>52</v>
      </c>
    </row>
    <row r="190" spans="1:45" ht="43.5" customHeight="1" x14ac:dyDescent="0.25">
      <c r="A190" s="32" t="s">
        <v>2683</v>
      </c>
      <c r="B190" s="56">
        <v>45352</v>
      </c>
      <c r="C190" s="35">
        <v>1416</v>
      </c>
      <c r="D190" s="36"/>
      <c r="E190" s="1" t="s">
        <v>2684</v>
      </c>
      <c r="F190" s="33">
        <v>45380</v>
      </c>
      <c r="G190" s="35" t="s">
        <v>2685</v>
      </c>
      <c r="H190" s="37" t="s">
        <v>169</v>
      </c>
      <c r="I190" s="58" t="s">
        <v>982</v>
      </c>
      <c r="J190" s="57">
        <v>53722536</v>
      </c>
      <c r="K190" s="40">
        <v>0</v>
      </c>
      <c r="L190" s="41">
        <v>0</v>
      </c>
      <c r="M190" s="57">
        <v>53722536</v>
      </c>
      <c r="N190" s="41">
        <v>0</v>
      </c>
      <c r="O190" s="57">
        <v>53722536</v>
      </c>
      <c r="P190" s="27">
        <v>53722536</v>
      </c>
      <c r="Q190" s="27">
        <v>53722536</v>
      </c>
      <c r="R190" s="27">
        <v>24.92</v>
      </c>
      <c r="S190" s="38">
        <v>24.92</v>
      </c>
      <c r="T190" s="38">
        <v>14952.000000000002</v>
      </c>
      <c r="U190" s="38">
        <v>2155800</v>
      </c>
      <c r="V190" s="38">
        <v>2155800</v>
      </c>
      <c r="W190" s="38">
        <v>0</v>
      </c>
      <c r="X190" s="38">
        <v>0</v>
      </c>
      <c r="Y190" s="38">
        <v>2155800</v>
      </c>
      <c r="Z190" s="38">
        <v>53722536</v>
      </c>
      <c r="AA190" s="38">
        <v>0</v>
      </c>
      <c r="AB190" s="38">
        <v>0</v>
      </c>
      <c r="AC190" s="38">
        <v>3593</v>
      </c>
      <c r="AD190" s="38">
        <v>3593</v>
      </c>
      <c r="AE190" s="33">
        <v>45550</v>
      </c>
      <c r="AF190" s="33"/>
      <c r="AG190" s="33"/>
      <c r="AH190" s="33">
        <v>45580</v>
      </c>
      <c r="AI190" s="33"/>
      <c r="AJ190" s="42"/>
      <c r="AK190" s="37" t="s">
        <v>731</v>
      </c>
      <c r="AL190" s="37" t="s">
        <v>983</v>
      </c>
      <c r="AM190" s="37" t="s">
        <v>733</v>
      </c>
      <c r="AN190" s="37" t="s">
        <v>174</v>
      </c>
      <c r="AO190" s="43">
        <v>0</v>
      </c>
      <c r="AP190" s="35">
        <v>100</v>
      </c>
      <c r="AQ190" s="35" t="s">
        <v>175</v>
      </c>
      <c r="AR190" s="44">
        <v>600</v>
      </c>
      <c r="AS190" s="37" t="s">
        <v>52</v>
      </c>
    </row>
    <row r="191" spans="1:45" ht="45.75" customHeight="1" x14ac:dyDescent="0.25">
      <c r="A191" s="32" t="s">
        <v>2686</v>
      </c>
      <c r="B191" s="56">
        <v>45352</v>
      </c>
      <c r="C191" s="35">
        <v>1416</v>
      </c>
      <c r="D191" s="36"/>
      <c r="E191" s="1" t="s">
        <v>2687</v>
      </c>
      <c r="F191" s="33">
        <v>45376</v>
      </c>
      <c r="G191" s="35" t="s">
        <v>2688</v>
      </c>
      <c r="H191" s="37" t="s">
        <v>2176</v>
      </c>
      <c r="I191" s="58" t="s">
        <v>2689</v>
      </c>
      <c r="J191" s="57">
        <v>1881289.02</v>
      </c>
      <c r="K191" s="40">
        <v>0</v>
      </c>
      <c r="L191" s="41">
        <v>0</v>
      </c>
      <c r="M191" s="57">
        <v>1881289.02</v>
      </c>
      <c r="N191" s="41">
        <v>0</v>
      </c>
      <c r="O191" s="57">
        <v>1881289.02</v>
      </c>
      <c r="P191" s="27">
        <v>1881289.02</v>
      </c>
      <c r="Q191" s="27">
        <v>1881289.02</v>
      </c>
      <c r="R191" s="27">
        <v>18444.009999999998</v>
      </c>
      <c r="S191" s="38">
        <v>18444.009999999998</v>
      </c>
      <c r="T191" s="38">
        <v>36888.019999999997</v>
      </c>
      <c r="U191" s="38">
        <v>102</v>
      </c>
      <c r="V191" s="38">
        <v>102</v>
      </c>
      <c r="W191" s="38">
        <v>0</v>
      </c>
      <c r="X191" s="38">
        <v>0</v>
      </c>
      <c r="Y191" s="38">
        <v>0</v>
      </c>
      <c r="Z191" s="38">
        <v>0</v>
      </c>
      <c r="AA191" s="38">
        <v>102</v>
      </c>
      <c r="AB191" s="38">
        <v>1881289.0199999998</v>
      </c>
      <c r="AC191" s="38">
        <v>51</v>
      </c>
      <c r="AD191" s="38">
        <v>51</v>
      </c>
      <c r="AE191" s="33">
        <v>45413</v>
      </c>
      <c r="AF191" s="33">
        <v>45504</v>
      </c>
      <c r="AG191" s="33"/>
      <c r="AH191" s="33">
        <v>45444</v>
      </c>
      <c r="AI191" s="33"/>
      <c r="AJ191" s="42"/>
      <c r="AK191" s="37" t="s">
        <v>2690</v>
      </c>
      <c r="AL191" s="37" t="s">
        <v>2691</v>
      </c>
      <c r="AM191" s="37" t="s">
        <v>2692</v>
      </c>
      <c r="AN191" s="37" t="s">
        <v>50</v>
      </c>
      <c r="AO191" s="43">
        <v>100</v>
      </c>
      <c r="AP191" s="35">
        <v>0</v>
      </c>
      <c r="AQ191" s="35" t="s">
        <v>441</v>
      </c>
      <c r="AR191" s="44">
        <v>2</v>
      </c>
      <c r="AS191" s="37" t="s">
        <v>52</v>
      </c>
    </row>
    <row r="192" spans="1:45" ht="45.75" customHeight="1" x14ac:dyDescent="0.25">
      <c r="A192" s="32" t="s">
        <v>2693</v>
      </c>
      <c r="B192" s="56">
        <v>45352</v>
      </c>
      <c r="C192" s="35">
        <v>1416</v>
      </c>
      <c r="D192" s="36"/>
      <c r="E192" s="1" t="s">
        <v>2694</v>
      </c>
      <c r="F192" s="33">
        <v>45376</v>
      </c>
      <c r="G192" s="35" t="s">
        <v>2695</v>
      </c>
      <c r="H192" s="37" t="s">
        <v>219</v>
      </c>
      <c r="I192" s="58" t="s">
        <v>2696</v>
      </c>
      <c r="J192" s="57">
        <v>131845280</v>
      </c>
      <c r="K192" s="40">
        <v>0</v>
      </c>
      <c r="L192" s="41">
        <v>0</v>
      </c>
      <c r="M192" s="57">
        <v>131845280</v>
      </c>
      <c r="N192" s="41">
        <v>0</v>
      </c>
      <c r="O192" s="57">
        <v>131845280</v>
      </c>
      <c r="P192" s="27">
        <v>131845280</v>
      </c>
      <c r="Q192" s="27">
        <v>131845280</v>
      </c>
      <c r="R192" s="27">
        <v>164.15</v>
      </c>
      <c r="S192" s="38">
        <v>164.15</v>
      </c>
      <c r="T192" s="38">
        <v>65660</v>
      </c>
      <c r="U192" s="38">
        <v>803200</v>
      </c>
      <c r="V192" s="38">
        <v>803200</v>
      </c>
      <c r="W192" s="38">
        <v>0</v>
      </c>
      <c r="X192" s="38">
        <v>0</v>
      </c>
      <c r="Y192" s="38">
        <v>0</v>
      </c>
      <c r="Z192" s="38">
        <v>0</v>
      </c>
      <c r="AA192" s="38">
        <v>803200</v>
      </c>
      <c r="AB192" s="38">
        <v>131845280</v>
      </c>
      <c r="AC192" s="38">
        <v>2008</v>
      </c>
      <c r="AD192" s="38">
        <v>2008</v>
      </c>
      <c r="AE192" s="33">
        <v>45427</v>
      </c>
      <c r="AF192" s="33">
        <v>45504</v>
      </c>
      <c r="AG192" s="33"/>
      <c r="AH192" s="33">
        <v>45458</v>
      </c>
      <c r="AI192" s="33"/>
      <c r="AJ192" s="42"/>
      <c r="AK192" s="37" t="s">
        <v>2697</v>
      </c>
      <c r="AL192" s="37" t="s">
        <v>2698</v>
      </c>
      <c r="AM192" s="37" t="s">
        <v>2699</v>
      </c>
      <c r="AN192" s="37" t="s">
        <v>50</v>
      </c>
      <c r="AO192" s="43">
        <v>100</v>
      </c>
      <c r="AP192" s="35">
        <v>0</v>
      </c>
      <c r="AQ192" s="35" t="s">
        <v>1118</v>
      </c>
      <c r="AR192" s="44">
        <v>400</v>
      </c>
      <c r="AS192" s="37" t="s">
        <v>52</v>
      </c>
    </row>
    <row r="193" spans="1:45" ht="43.5" customHeight="1" x14ac:dyDescent="0.25">
      <c r="A193" s="32" t="s">
        <v>2700</v>
      </c>
      <c r="B193" s="56">
        <v>45352</v>
      </c>
      <c r="C193" s="35">
        <v>1416</v>
      </c>
      <c r="D193" s="35" t="s">
        <v>485</v>
      </c>
      <c r="E193" s="1" t="s">
        <v>2701</v>
      </c>
      <c r="F193" s="35" t="s">
        <v>485</v>
      </c>
      <c r="G193" s="35" t="s">
        <v>485</v>
      </c>
      <c r="H193" s="35" t="s">
        <v>485</v>
      </c>
      <c r="I193" s="59" t="s">
        <v>858</v>
      </c>
      <c r="J193" s="57">
        <v>54348255.359999999</v>
      </c>
      <c r="K193" s="40">
        <v>100</v>
      </c>
      <c r="L193" s="41">
        <v>54348255.359999999</v>
      </c>
      <c r="M193" s="38"/>
      <c r="N193" s="41">
        <v>54348255.359999999</v>
      </c>
      <c r="O193" s="38">
        <v>0</v>
      </c>
      <c r="P193" s="27">
        <v>0</v>
      </c>
      <c r="Q193" s="27">
        <v>0</v>
      </c>
      <c r="R193" s="27" t="e">
        <v>#DIV/0!</v>
      </c>
      <c r="S193" s="38" t="e">
        <v>#DIV/0!</v>
      </c>
      <c r="T193" s="38" t="e">
        <v>#DIV/0!</v>
      </c>
      <c r="U193" s="38">
        <v>0</v>
      </c>
      <c r="V193" s="38">
        <v>0</v>
      </c>
      <c r="W193" s="38">
        <v>0</v>
      </c>
      <c r="X193" s="38">
        <v>0</v>
      </c>
      <c r="Y193" s="38"/>
      <c r="Z193" s="38" t="e">
        <v>#DIV/0!</v>
      </c>
      <c r="AA193" s="38"/>
      <c r="AB193" s="38" t="e">
        <v>#DIV/0!</v>
      </c>
      <c r="AC193" s="38" t="e">
        <v>#DIV/0!</v>
      </c>
      <c r="AD193" s="38" t="e">
        <v>#DIV/0!</v>
      </c>
      <c r="AE193" s="33">
        <v>45413</v>
      </c>
      <c r="AF193" s="33"/>
      <c r="AG193" s="33"/>
      <c r="AH193" s="33"/>
      <c r="AI193" s="33"/>
      <c r="AJ193" s="42"/>
      <c r="AK193" s="37"/>
      <c r="AL193" s="37"/>
      <c r="AM193" s="37"/>
      <c r="AN193" s="37"/>
      <c r="AO193" s="43"/>
      <c r="AP193" s="35"/>
      <c r="AQ193" s="35"/>
      <c r="AR193" s="44"/>
      <c r="AS193" s="37" t="s">
        <v>485</v>
      </c>
    </row>
    <row r="194" spans="1:45" ht="45.75" customHeight="1" x14ac:dyDescent="0.25">
      <c r="A194" s="32" t="s">
        <v>2702</v>
      </c>
      <c r="B194" s="56">
        <v>45352</v>
      </c>
      <c r="C194" s="35">
        <v>1416</v>
      </c>
      <c r="D194" s="36"/>
      <c r="E194" s="1" t="s">
        <v>2703</v>
      </c>
      <c r="F194" s="33">
        <v>45376</v>
      </c>
      <c r="G194" s="35" t="s">
        <v>2704</v>
      </c>
      <c r="H194" s="37" t="s">
        <v>2589</v>
      </c>
      <c r="I194" s="59" t="s">
        <v>2705</v>
      </c>
      <c r="J194" s="57">
        <v>12981853.08</v>
      </c>
      <c r="K194" s="40">
        <v>0</v>
      </c>
      <c r="L194" s="41">
        <v>0</v>
      </c>
      <c r="M194" s="57">
        <v>12981853.08</v>
      </c>
      <c r="N194" s="41">
        <v>0</v>
      </c>
      <c r="O194" s="57">
        <v>12981853.08</v>
      </c>
      <c r="P194" s="27">
        <v>12981853.08</v>
      </c>
      <c r="Q194" s="27">
        <v>12981853.08</v>
      </c>
      <c r="R194" s="27">
        <v>13152.84</v>
      </c>
      <c r="S194" s="38">
        <v>13152.84</v>
      </c>
      <c r="T194" s="38">
        <v>276209.64</v>
      </c>
      <c r="U194" s="38">
        <v>987</v>
      </c>
      <c r="V194" s="38">
        <v>987</v>
      </c>
      <c r="W194" s="38">
        <v>0</v>
      </c>
      <c r="X194" s="38">
        <v>0</v>
      </c>
      <c r="Y194" s="38">
        <v>0</v>
      </c>
      <c r="Z194" s="38">
        <v>0</v>
      </c>
      <c r="AA194" s="38">
        <v>987</v>
      </c>
      <c r="AB194" s="38">
        <v>12981853.08</v>
      </c>
      <c r="AC194" s="38">
        <v>47</v>
      </c>
      <c r="AD194" s="38">
        <v>47</v>
      </c>
      <c r="AE194" s="33">
        <v>45413</v>
      </c>
      <c r="AF194" s="33">
        <v>45504</v>
      </c>
      <c r="AG194" s="33"/>
      <c r="AH194" s="33">
        <v>45444</v>
      </c>
      <c r="AI194" s="33"/>
      <c r="AJ194" s="42"/>
      <c r="AK194" s="37" t="s">
        <v>266</v>
      </c>
      <c r="AL194" s="37" t="s">
        <v>2706</v>
      </c>
      <c r="AM194" s="37" t="s">
        <v>268</v>
      </c>
      <c r="AN194" s="37" t="s">
        <v>50</v>
      </c>
      <c r="AO194" s="43">
        <v>100</v>
      </c>
      <c r="AP194" s="35">
        <v>0</v>
      </c>
      <c r="AQ194" s="35" t="s">
        <v>441</v>
      </c>
      <c r="AR194" s="44">
        <v>21</v>
      </c>
      <c r="AS194" s="37" t="s">
        <v>52</v>
      </c>
    </row>
    <row r="195" spans="1:45" ht="45.75" customHeight="1" x14ac:dyDescent="0.25">
      <c r="A195" s="32" t="s">
        <v>2707</v>
      </c>
      <c r="B195" s="56">
        <v>45352</v>
      </c>
      <c r="C195" s="35">
        <v>1416</v>
      </c>
      <c r="D195" s="36"/>
      <c r="E195" s="1" t="s">
        <v>2708</v>
      </c>
      <c r="F195" s="33">
        <v>45376</v>
      </c>
      <c r="G195" s="35" t="s">
        <v>2709</v>
      </c>
      <c r="H195" s="37" t="s">
        <v>138</v>
      </c>
      <c r="I195" s="59" t="s">
        <v>2710</v>
      </c>
      <c r="J195" s="57">
        <v>58070806.5</v>
      </c>
      <c r="K195" s="40">
        <v>0</v>
      </c>
      <c r="L195" s="41">
        <v>0</v>
      </c>
      <c r="M195" s="57">
        <v>58070806.5</v>
      </c>
      <c r="N195" s="41">
        <v>0</v>
      </c>
      <c r="O195" s="57">
        <v>58070806.5</v>
      </c>
      <c r="P195" s="27">
        <v>58070806.5</v>
      </c>
      <c r="Q195" s="27">
        <v>58070806.5</v>
      </c>
      <c r="R195" s="27">
        <v>7000.7</v>
      </c>
      <c r="S195" s="38">
        <v>7000.7</v>
      </c>
      <c r="T195" s="38">
        <v>147014.69999999998</v>
      </c>
      <c r="U195" s="38">
        <v>8295</v>
      </c>
      <c r="V195" s="38">
        <v>8295</v>
      </c>
      <c r="W195" s="38">
        <v>0</v>
      </c>
      <c r="X195" s="38">
        <v>0</v>
      </c>
      <c r="Y195" s="38">
        <v>0</v>
      </c>
      <c r="Z195" s="38">
        <v>0</v>
      </c>
      <c r="AA195" s="38">
        <v>8295</v>
      </c>
      <c r="AB195" s="38">
        <v>58070806.5</v>
      </c>
      <c r="AC195" s="38">
        <v>395</v>
      </c>
      <c r="AD195" s="38">
        <v>395</v>
      </c>
      <c r="AE195" s="33">
        <v>45413</v>
      </c>
      <c r="AF195" s="33">
        <v>45504</v>
      </c>
      <c r="AG195" s="33"/>
      <c r="AH195" s="33">
        <v>45444</v>
      </c>
      <c r="AI195" s="33"/>
      <c r="AJ195" s="42"/>
      <c r="AK195" s="37" t="s">
        <v>266</v>
      </c>
      <c r="AL195" s="37" t="s">
        <v>267</v>
      </c>
      <c r="AM195" s="37" t="s">
        <v>268</v>
      </c>
      <c r="AN195" s="37" t="s">
        <v>50</v>
      </c>
      <c r="AO195" s="43">
        <v>100</v>
      </c>
      <c r="AP195" s="35">
        <v>0</v>
      </c>
      <c r="AQ195" s="35" t="s">
        <v>441</v>
      </c>
      <c r="AR195" s="44">
        <v>21</v>
      </c>
      <c r="AS195" s="37" t="s">
        <v>52</v>
      </c>
    </row>
    <row r="196" spans="1:45" ht="45.75" customHeight="1" x14ac:dyDescent="0.25">
      <c r="A196" s="32" t="s">
        <v>2711</v>
      </c>
      <c r="B196" s="56">
        <v>45352</v>
      </c>
      <c r="C196" s="35">
        <v>1416</v>
      </c>
      <c r="D196" s="36"/>
      <c r="E196" s="1" t="s">
        <v>2712</v>
      </c>
      <c r="F196" s="33">
        <v>45376</v>
      </c>
      <c r="G196" s="35" t="s">
        <v>2713</v>
      </c>
      <c r="H196" s="37" t="s">
        <v>138</v>
      </c>
      <c r="I196" s="58" t="s">
        <v>1449</v>
      </c>
      <c r="J196" s="57">
        <v>2745667</v>
      </c>
      <c r="K196" s="40">
        <v>0</v>
      </c>
      <c r="L196" s="41">
        <v>0</v>
      </c>
      <c r="M196" s="57">
        <v>2745667</v>
      </c>
      <c r="N196" s="41">
        <v>0</v>
      </c>
      <c r="O196" s="57">
        <v>2745667</v>
      </c>
      <c r="P196" s="27">
        <v>2745667</v>
      </c>
      <c r="Q196" s="27">
        <v>2745667</v>
      </c>
      <c r="R196" s="27">
        <v>197.53</v>
      </c>
      <c r="S196" s="38">
        <v>197.53</v>
      </c>
      <c r="T196" s="38">
        <v>19753</v>
      </c>
      <c r="U196" s="38">
        <v>13900</v>
      </c>
      <c r="V196" s="38">
        <v>13900</v>
      </c>
      <c r="W196" s="38">
        <v>0</v>
      </c>
      <c r="X196" s="38">
        <v>0</v>
      </c>
      <c r="Y196" s="38">
        <v>13500</v>
      </c>
      <c r="Z196" s="38">
        <v>2666655</v>
      </c>
      <c r="AA196" s="38">
        <v>400</v>
      </c>
      <c r="AB196" s="38">
        <v>79012</v>
      </c>
      <c r="AC196" s="38">
        <v>139</v>
      </c>
      <c r="AD196" s="38">
        <v>139</v>
      </c>
      <c r="AE196" s="33">
        <v>45413</v>
      </c>
      <c r="AF196" s="33">
        <v>45504</v>
      </c>
      <c r="AG196" s="33"/>
      <c r="AH196" s="33">
        <v>45444</v>
      </c>
      <c r="AI196" s="33"/>
      <c r="AJ196" s="42"/>
      <c r="AK196" s="37" t="s">
        <v>1450</v>
      </c>
      <c r="AL196" s="37" t="s">
        <v>1451</v>
      </c>
      <c r="AM196" s="37" t="s">
        <v>2714</v>
      </c>
      <c r="AN196" s="37" t="s">
        <v>1453</v>
      </c>
      <c r="AO196" s="43">
        <v>0</v>
      </c>
      <c r="AP196" s="35">
        <v>100</v>
      </c>
      <c r="AQ196" s="35" t="s">
        <v>379</v>
      </c>
      <c r="AR196" s="44">
        <v>100</v>
      </c>
      <c r="AS196" s="37" t="s">
        <v>52</v>
      </c>
    </row>
    <row r="197" spans="1:45" ht="43.5" customHeight="1" x14ac:dyDescent="0.25">
      <c r="A197" s="32" t="s">
        <v>2715</v>
      </c>
      <c r="B197" s="56">
        <v>45352</v>
      </c>
      <c r="C197" s="35">
        <v>1416</v>
      </c>
      <c r="D197" s="36"/>
      <c r="E197" s="1" t="s">
        <v>2716</v>
      </c>
      <c r="F197" s="33">
        <v>45383</v>
      </c>
      <c r="G197" s="35" t="s">
        <v>2717</v>
      </c>
      <c r="H197" s="37" t="s">
        <v>784</v>
      </c>
      <c r="I197" s="58" t="s">
        <v>1105</v>
      </c>
      <c r="J197" s="57">
        <v>707203973.08000004</v>
      </c>
      <c r="K197" s="40">
        <v>0</v>
      </c>
      <c r="L197" s="41">
        <v>0</v>
      </c>
      <c r="M197" s="57">
        <v>707203973.08000004</v>
      </c>
      <c r="N197" s="41">
        <v>0</v>
      </c>
      <c r="O197" s="57">
        <v>707203973.08000004</v>
      </c>
      <c r="P197" s="27">
        <v>707203973.08000004</v>
      </c>
      <c r="Q197" s="27">
        <v>707203973.08000004</v>
      </c>
      <c r="R197" s="27">
        <v>263842.7</v>
      </c>
      <c r="S197" s="38">
        <v>263842.7</v>
      </c>
      <c r="T197" s="38">
        <v>105537.08000000002</v>
      </c>
      <c r="U197" s="38">
        <v>2680.4</v>
      </c>
      <c r="V197" s="38">
        <v>2680.4</v>
      </c>
      <c r="W197" s="38">
        <v>0</v>
      </c>
      <c r="X197" s="38">
        <v>0</v>
      </c>
      <c r="Y197" s="38">
        <v>0</v>
      </c>
      <c r="Z197" s="38">
        <v>0</v>
      </c>
      <c r="AA197" s="38">
        <v>2680.4</v>
      </c>
      <c r="AB197" s="38">
        <v>707203973.08000004</v>
      </c>
      <c r="AC197" s="38">
        <v>6701</v>
      </c>
      <c r="AD197" s="38">
        <v>6701</v>
      </c>
      <c r="AE197" s="33">
        <v>45555</v>
      </c>
      <c r="AF197" s="33"/>
      <c r="AG197" s="33"/>
      <c r="AH197" s="33">
        <v>45585</v>
      </c>
      <c r="AI197" s="33"/>
      <c r="AJ197" s="42"/>
      <c r="AK197" s="37" t="s">
        <v>786</v>
      </c>
      <c r="AL197" s="37" t="s">
        <v>1106</v>
      </c>
      <c r="AM197" s="37" t="s">
        <v>788</v>
      </c>
      <c r="AN197" s="37" t="s">
        <v>326</v>
      </c>
      <c r="AO197" s="43">
        <v>0</v>
      </c>
      <c r="AP197" s="35">
        <v>100</v>
      </c>
      <c r="AQ197" s="35" t="s">
        <v>164</v>
      </c>
      <c r="AR197" s="49">
        <v>0.4</v>
      </c>
      <c r="AS197" s="37" t="s">
        <v>52</v>
      </c>
    </row>
    <row r="198" spans="1:45" ht="43.5" customHeight="1" x14ac:dyDescent="0.25">
      <c r="A198" s="32" t="s">
        <v>2718</v>
      </c>
      <c r="B198" s="56">
        <v>45352</v>
      </c>
      <c r="C198" s="35">
        <v>1416</v>
      </c>
      <c r="D198" s="36"/>
      <c r="E198" s="1" t="s">
        <v>2719</v>
      </c>
      <c r="F198" s="33">
        <v>45385</v>
      </c>
      <c r="G198" s="35" t="s">
        <v>2720</v>
      </c>
      <c r="H198" s="37" t="s">
        <v>138</v>
      </c>
      <c r="I198" s="59" t="s">
        <v>2721</v>
      </c>
      <c r="J198" s="57">
        <v>745766028</v>
      </c>
      <c r="K198" s="40">
        <v>0</v>
      </c>
      <c r="L198" s="41">
        <v>0</v>
      </c>
      <c r="M198" s="57">
        <v>745766028</v>
      </c>
      <c r="N198" s="41">
        <v>0</v>
      </c>
      <c r="O198" s="57">
        <v>745766028</v>
      </c>
      <c r="P198" s="27">
        <v>745766028</v>
      </c>
      <c r="Q198" s="27">
        <v>745766028</v>
      </c>
      <c r="R198" s="27">
        <v>13152.84</v>
      </c>
      <c r="S198" s="38">
        <v>13152.84</v>
      </c>
      <c r="T198" s="38">
        <v>276209.64</v>
      </c>
      <c r="U198" s="38">
        <v>56700</v>
      </c>
      <c r="V198" s="38">
        <v>56700</v>
      </c>
      <c r="W198" s="38">
        <v>0</v>
      </c>
      <c r="X198" s="38">
        <v>0</v>
      </c>
      <c r="Y198" s="38">
        <v>0</v>
      </c>
      <c r="Z198" s="38">
        <v>0</v>
      </c>
      <c r="AA198" s="38">
        <v>56700</v>
      </c>
      <c r="AB198" s="38">
        <v>745766028</v>
      </c>
      <c r="AC198" s="38">
        <v>2700</v>
      </c>
      <c r="AD198" s="38">
        <v>2700</v>
      </c>
      <c r="AE198" s="33">
        <v>45413</v>
      </c>
      <c r="AF198" s="33"/>
      <c r="AG198" s="33"/>
      <c r="AH198" s="33">
        <v>45444</v>
      </c>
      <c r="AI198" s="33"/>
      <c r="AJ198" s="42"/>
      <c r="AK198" s="37" t="s">
        <v>2722</v>
      </c>
      <c r="AL198" s="37" t="s">
        <v>2723</v>
      </c>
      <c r="AM198" s="37" t="s">
        <v>2724</v>
      </c>
      <c r="AN198" s="37" t="s">
        <v>50</v>
      </c>
      <c r="AO198" s="43">
        <v>100</v>
      </c>
      <c r="AP198" s="35">
        <v>0</v>
      </c>
      <c r="AQ198" s="35" t="s">
        <v>441</v>
      </c>
      <c r="AR198" s="44">
        <v>21</v>
      </c>
      <c r="AS198" s="37" t="s">
        <v>52</v>
      </c>
    </row>
    <row r="199" spans="1:45" ht="43.5" customHeight="1" x14ac:dyDescent="0.25">
      <c r="A199" s="32" t="s">
        <v>2731</v>
      </c>
      <c r="B199" s="56">
        <v>45352</v>
      </c>
      <c r="C199" s="35" t="s">
        <v>2213</v>
      </c>
      <c r="D199" s="35" t="s">
        <v>485</v>
      </c>
      <c r="E199" s="1" t="s">
        <v>2732</v>
      </c>
      <c r="F199" s="35" t="s">
        <v>485</v>
      </c>
      <c r="G199" s="35" t="s">
        <v>485</v>
      </c>
      <c r="H199" s="35" t="s">
        <v>485</v>
      </c>
      <c r="I199" s="59" t="s">
        <v>292</v>
      </c>
      <c r="J199" s="57">
        <v>210777.84</v>
      </c>
      <c r="K199" s="40">
        <v>100</v>
      </c>
      <c r="L199" s="41">
        <v>210777.84</v>
      </c>
      <c r="M199" s="38"/>
      <c r="N199" s="41">
        <v>210777.84</v>
      </c>
      <c r="O199" s="38">
        <v>0</v>
      </c>
      <c r="P199" s="27">
        <v>0</v>
      </c>
      <c r="Q199" s="27">
        <v>0</v>
      </c>
      <c r="R199" s="27" t="e">
        <v>#DIV/0!</v>
      </c>
      <c r="S199" s="38" t="e">
        <v>#DIV/0!</v>
      </c>
      <c r="T199" s="38" t="e">
        <v>#DIV/0!</v>
      </c>
      <c r="U199" s="38">
        <v>0</v>
      </c>
      <c r="V199" s="38">
        <v>0</v>
      </c>
      <c r="W199" s="38">
        <v>0</v>
      </c>
      <c r="X199" s="38">
        <v>0</v>
      </c>
      <c r="Y199" s="38"/>
      <c r="Z199" s="38" t="e">
        <v>#DIV/0!</v>
      </c>
      <c r="AA199" s="38"/>
      <c r="AB199" s="38" t="e">
        <v>#DIV/0!</v>
      </c>
      <c r="AC199" s="38" t="e">
        <v>#DIV/0!</v>
      </c>
      <c r="AD199" s="38" t="e">
        <v>#DIV/0!</v>
      </c>
      <c r="AE199" s="33">
        <v>45413</v>
      </c>
      <c r="AF199" s="33"/>
      <c r="AG199" s="33"/>
      <c r="AH199" s="33"/>
      <c r="AI199" s="33"/>
      <c r="AJ199" s="42"/>
      <c r="AK199" s="37"/>
      <c r="AL199" s="37"/>
      <c r="AM199" s="37"/>
      <c r="AN199" s="37"/>
      <c r="AO199" s="43"/>
      <c r="AP199" s="35"/>
      <c r="AQ199" s="35"/>
      <c r="AR199" s="44"/>
      <c r="AS199" s="37" t="s">
        <v>485</v>
      </c>
    </row>
    <row r="200" spans="1:45" ht="43.5" customHeight="1" x14ac:dyDescent="0.25">
      <c r="A200" s="32" t="s">
        <v>2733</v>
      </c>
      <c r="B200" s="56">
        <v>45355</v>
      </c>
      <c r="C200" s="35" t="s">
        <v>2213</v>
      </c>
      <c r="D200" s="36"/>
      <c r="E200" s="1" t="s">
        <v>2734</v>
      </c>
      <c r="F200" s="33">
        <v>45369</v>
      </c>
      <c r="G200" s="35" t="s">
        <v>2735</v>
      </c>
      <c r="H200" s="37" t="s">
        <v>719</v>
      </c>
      <c r="I200" s="58" t="s">
        <v>1356</v>
      </c>
      <c r="J200" s="57">
        <v>4436099.76</v>
      </c>
      <c r="K200" s="40">
        <v>0</v>
      </c>
      <c r="L200" s="41">
        <v>0</v>
      </c>
      <c r="M200" s="57">
        <v>4436099.76</v>
      </c>
      <c r="N200" s="41">
        <v>0</v>
      </c>
      <c r="O200" s="57">
        <v>4436099.76</v>
      </c>
      <c r="P200" s="27">
        <v>4436099.76</v>
      </c>
      <c r="Q200" s="27">
        <v>4436099.76</v>
      </c>
      <c r="R200" s="27">
        <v>554512.47</v>
      </c>
      <c r="S200" s="38">
        <v>554512.47</v>
      </c>
      <c r="T200" s="38">
        <v>554512.47</v>
      </c>
      <c r="U200" s="38">
        <v>8</v>
      </c>
      <c r="V200" s="38">
        <v>8</v>
      </c>
      <c r="W200" s="38">
        <v>0</v>
      </c>
      <c r="X200" s="38">
        <v>0</v>
      </c>
      <c r="Y200" s="38">
        <v>8</v>
      </c>
      <c r="Z200" s="38">
        <v>4436099.76</v>
      </c>
      <c r="AA200" s="38">
        <v>0</v>
      </c>
      <c r="AB200" s="38">
        <v>0</v>
      </c>
      <c r="AC200" s="38">
        <v>8</v>
      </c>
      <c r="AD200" s="38">
        <v>8</v>
      </c>
      <c r="AE200" s="33">
        <v>45413</v>
      </c>
      <c r="AF200" s="33"/>
      <c r="AG200" s="33"/>
      <c r="AH200" s="33">
        <v>45444</v>
      </c>
      <c r="AI200" s="33"/>
      <c r="AJ200" s="42"/>
      <c r="AK200" s="37" t="s">
        <v>349</v>
      </c>
      <c r="AL200" s="37" t="s">
        <v>447</v>
      </c>
      <c r="AM200" s="37" t="s">
        <v>351</v>
      </c>
      <c r="AN200" s="37" t="s">
        <v>352</v>
      </c>
      <c r="AO200" s="43">
        <v>0</v>
      </c>
      <c r="AP200" s="35">
        <v>100</v>
      </c>
      <c r="AQ200" s="35" t="s">
        <v>164</v>
      </c>
      <c r="AR200" s="44">
        <v>1</v>
      </c>
      <c r="AS200" s="37" t="s">
        <v>52</v>
      </c>
    </row>
    <row r="201" spans="1:45" ht="43.5" customHeight="1" x14ac:dyDescent="0.25">
      <c r="A201" s="32" t="s">
        <v>2736</v>
      </c>
      <c r="B201" s="56">
        <v>45355</v>
      </c>
      <c r="C201" s="35" t="s">
        <v>2213</v>
      </c>
      <c r="D201" s="35" t="s">
        <v>485</v>
      </c>
      <c r="E201" s="1" t="s">
        <v>2737</v>
      </c>
      <c r="F201" s="35" t="s">
        <v>485</v>
      </c>
      <c r="G201" s="35" t="s">
        <v>485</v>
      </c>
      <c r="H201" s="35" t="s">
        <v>485</v>
      </c>
      <c r="I201" s="58" t="s">
        <v>1205</v>
      </c>
      <c r="J201" s="57">
        <v>1237850</v>
      </c>
      <c r="K201" s="40">
        <v>100</v>
      </c>
      <c r="L201" s="41">
        <v>1237850</v>
      </c>
      <c r="M201" s="38"/>
      <c r="N201" s="41">
        <v>1237850</v>
      </c>
      <c r="O201" s="38">
        <v>0</v>
      </c>
      <c r="P201" s="27">
        <v>0</v>
      </c>
      <c r="Q201" s="27">
        <v>0</v>
      </c>
      <c r="R201" s="27" t="e">
        <v>#DIV/0!</v>
      </c>
      <c r="S201" s="38" t="e">
        <v>#DIV/0!</v>
      </c>
      <c r="T201" s="38" t="e">
        <v>#DIV/0!</v>
      </c>
      <c r="U201" s="38">
        <v>0</v>
      </c>
      <c r="V201" s="38">
        <v>0</v>
      </c>
      <c r="W201" s="38">
        <v>0</v>
      </c>
      <c r="X201" s="38">
        <v>0</v>
      </c>
      <c r="Y201" s="38"/>
      <c r="Z201" s="38" t="e">
        <v>#DIV/0!</v>
      </c>
      <c r="AA201" s="38"/>
      <c r="AB201" s="38" t="e">
        <v>#DIV/0!</v>
      </c>
      <c r="AC201" s="38" t="e">
        <v>#DIV/0!</v>
      </c>
      <c r="AD201" s="38" t="e">
        <v>#DIV/0!</v>
      </c>
      <c r="AE201" s="33">
        <v>45413</v>
      </c>
      <c r="AF201" s="33"/>
      <c r="AG201" s="33"/>
      <c r="AH201" s="33"/>
      <c r="AI201" s="33"/>
      <c r="AJ201" s="42"/>
      <c r="AK201" s="37"/>
      <c r="AL201" s="37"/>
      <c r="AM201" s="37"/>
      <c r="AN201" s="37"/>
      <c r="AO201" s="43"/>
      <c r="AP201" s="35"/>
      <c r="AQ201" s="35"/>
      <c r="AR201" s="44"/>
      <c r="AS201" s="37" t="s">
        <v>485</v>
      </c>
    </row>
    <row r="202" spans="1:45" ht="43.5" customHeight="1" x14ac:dyDescent="0.25">
      <c r="A202" s="32" t="s">
        <v>2738</v>
      </c>
      <c r="B202" s="56">
        <v>45355</v>
      </c>
      <c r="C202" s="35" t="s">
        <v>2213</v>
      </c>
      <c r="D202" s="35" t="s">
        <v>485</v>
      </c>
      <c r="E202" s="1" t="s">
        <v>2739</v>
      </c>
      <c r="F202" s="35" t="s">
        <v>485</v>
      </c>
      <c r="G202" s="35" t="s">
        <v>485</v>
      </c>
      <c r="H202" s="35" t="s">
        <v>485</v>
      </c>
      <c r="I202" s="58" t="s">
        <v>2740</v>
      </c>
      <c r="J202" s="57">
        <v>31007.4</v>
      </c>
      <c r="K202" s="40">
        <v>100</v>
      </c>
      <c r="L202" s="41">
        <v>31007.4</v>
      </c>
      <c r="M202" s="38"/>
      <c r="N202" s="41">
        <v>31007.4</v>
      </c>
      <c r="O202" s="38">
        <v>0</v>
      </c>
      <c r="P202" s="27">
        <v>0</v>
      </c>
      <c r="Q202" s="27">
        <v>0</v>
      </c>
      <c r="R202" s="27" t="e">
        <v>#DIV/0!</v>
      </c>
      <c r="S202" s="38" t="e">
        <v>#DIV/0!</v>
      </c>
      <c r="T202" s="38" t="e">
        <v>#DIV/0!</v>
      </c>
      <c r="U202" s="38">
        <v>0</v>
      </c>
      <c r="V202" s="38">
        <v>0</v>
      </c>
      <c r="W202" s="38">
        <v>0</v>
      </c>
      <c r="X202" s="38">
        <v>0</v>
      </c>
      <c r="Y202" s="38"/>
      <c r="Z202" s="38" t="e">
        <v>#DIV/0!</v>
      </c>
      <c r="AA202" s="38"/>
      <c r="AB202" s="38" t="e">
        <v>#DIV/0!</v>
      </c>
      <c r="AC202" s="38" t="e">
        <v>#DIV/0!</v>
      </c>
      <c r="AD202" s="38" t="e">
        <v>#DIV/0!</v>
      </c>
      <c r="AE202" s="33">
        <v>45413</v>
      </c>
      <c r="AF202" s="33"/>
      <c r="AG202" s="33"/>
      <c r="AH202" s="33"/>
      <c r="AI202" s="33"/>
      <c r="AJ202" s="42"/>
      <c r="AK202" s="37"/>
      <c r="AL202" s="37"/>
      <c r="AM202" s="37"/>
      <c r="AN202" s="37"/>
      <c r="AO202" s="43"/>
      <c r="AP202" s="35"/>
      <c r="AQ202" s="35"/>
      <c r="AR202" s="44"/>
      <c r="AS202" s="37" t="s">
        <v>485</v>
      </c>
    </row>
    <row r="203" spans="1:45" ht="43.5" customHeight="1" x14ac:dyDescent="0.25">
      <c r="A203" s="32" t="s">
        <v>2752</v>
      </c>
      <c r="B203" s="56">
        <v>45355</v>
      </c>
      <c r="C203" s="35">
        <v>1416</v>
      </c>
      <c r="D203" s="36"/>
      <c r="E203" s="1" t="s">
        <v>2753</v>
      </c>
      <c r="F203" s="33">
        <v>45380</v>
      </c>
      <c r="G203" s="35" t="s">
        <v>2754</v>
      </c>
      <c r="H203" s="37" t="s">
        <v>314</v>
      </c>
      <c r="I203" s="58" t="s">
        <v>2740</v>
      </c>
      <c r="J203" s="57">
        <v>111288659.34</v>
      </c>
      <c r="K203" s="40">
        <v>0</v>
      </c>
      <c r="L203" s="41">
        <v>0</v>
      </c>
      <c r="M203" s="57">
        <v>111288659.34</v>
      </c>
      <c r="N203" s="41">
        <v>0</v>
      </c>
      <c r="O203" s="57">
        <v>111288659.34</v>
      </c>
      <c r="P203" s="27">
        <v>111288659.34</v>
      </c>
      <c r="Q203" s="27">
        <v>111288659.34</v>
      </c>
      <c r="R203" s="27">
        <v>516.79239982353897</v>
      </c>
      <c r="S203" s="38">
        <v>516.79239982353897</v>
      </c>
      <c r="T203" s="38">
        <v>3100.7543989412338</v>
      </c>
      <c r="U203" s="38">
        <v>215345</v>
      </c>
      <c r="V203" s="38">
        <v>215345</v>
      </c>
      <c r="W203" s="38">
        <v>0</v>
      </c>
      <c r="X203" s="38">
        <v>0</v>
      </c>
      <c r="Y203" s="38">
        <v>0</v>
      </c>
      <c r="Z203" s="38">
        <v>0</v>
      </c>
      <c r="AA203" s="38">
        <v>215346</v>
      </c>
      <c r="AB203" s="38">
        <v>111289176.13239983</v>
      </c>
      <c r="AC203" s="38">
        <v>35890.833333333336</v>
      </c>
      <c r="AD203" s="38">
        <v>35891</v>
      </c>
      <c r="AE203" s="33">
        <v>45413</v>
      </c>
      <c r="AF203" s="33"/>
      <c r="AG203" s="33"/>
      <c r="AH203" s="33">
        <v>45444</v>
      </c>
      <c r="AI203" s="33"/>
      <c r="AJ203" s="42"/>
      <c r="AK203" s="37" t="s">
        <v>2755</v>
      </c>
      <c r="AL203" s="37" t="s">
        <v>2756</v>
      </c>
      <c r="AM203" s="37" t="s">
        <v>2757</v>
      </c>
      <c r="AN203" s="37" t="s">
        <v>50</v>
      </c>
      <c r="AO203" s="43">
        <v>100</v>
      </c>
      <c r="AP203" s="35">
        <v>0</v>
      </c>
      <c r="AQ203" s="35" t="s">
        <v>164</v>
      </c>
      <c r="AR203" s="44">
        <v>6</v>
      </c>
      <c r="AS203" s="37" t="s">
        <v>52</v>
      </c>
    </row>
    <row r="204" spans="1:45" ht="43.5" customHeight="1" x14ac:dyDescent="0.25">
      <c r="A204" s="32" t="s">
        <v>2760</v>
      </c>
      <c r="B204" s="56">
        <v>45355</v>
      </c>
      <c r="C204" s="35" t="s">
        <v>2213</v>
      </c>
      <c r="D204" s="36"/>
      <c r="E204" s="1" t="s">
        <v>2761</v>
      </c>
      <c r="F204" s="33">
        <v>45369</v>
      </c>
      <c r="G204" s="35" t="s">
        <v>2762</v>
      </c>
      <c r="H204" s="37" t="s">
        <v>719</v>
      </c>
      <c r="I204" s="58" t="s">
        <v>2763</v>
      </c>
      <c r="J204" s="57">
        <v>4577910.4800000004</v>
      </c>
      <c r="K204" s="40">
        <v>0</v>
      </c>
      <c r="L204" s="41">
        <v>0</v>
      </c>
      <c r="M204" s="57">
        <v>4577910.4800000004</v>
      </c>
      <c r="N204" s="41">
        <v>0</v>
      </c>
      <c r="O204" s="57">
        <v>4577910.4800000004</v>
      </c>
      <c r="P204" s="27">
        <v>4577910.4800000004</v>
      </c>
      <c r="Q204" s="27">
        <v>4577910.4800000004</v>
      </c>
      <c r="R204" s="27">
        <v>63582.090000000004</v>
      </c>
      <c r="S204" s="38">
        <v>63582.090000000004</v>
      </c>
      <c r="T204" s="38">
        <v>190746.27000000002</v>
      </c>
      <c r="U204" s="38">
        <v>72</v>
      </c>
      <c r="V204" s="38">
        <v>72</v>
      </c>
      <c r="W204" s="38">
        <v>0</v>
      </c>
      <c r="X204" s="38">
        <v>0</v>
      </c>
      <c r="Y204" s="38">
        <v>72</v>
      </c>
      <c r="Z204" s="38">
        <v>4577910.4800000004</v>
      </c>
      <c r="AA204" s="38">
        <v>0</v>
      </c>
      <c r="AB204" s="38">
        <v>0</v>
      </c>
      <c r="AC204" s="38">
        <v>24</v>
      </c>
      <c r="AD204" s="38">
        <v>24</v>
      </c>
      <c r="AE204" s="33">
        <v>45413</v>
      </c>
      <c r="AF204" s="33"/>
      <c r="AG204" s="33"/>
      <c r="AH204" s="33">
        <v>45444</v>
      </c>
      <c r="AI204" s="33"/>
      <c r="AJ204" s="42"/>
      <c r="AK204" s="37" t="s">
        <v>1954</v>
      </c>
      <c r="AL204" s="37" t="s">
        <v>2764</v>
      </c>
      <c r="AM204" s="37" t="s">
        <v>1956</v>
      </c>
      <c r="AN204" s="37" t="s">
        <v>174</v>
      </c>
      <c r="AO204" s="43">
        <v>0</v>
      </c>
      <c r="AP204" s="35">
        <v>100</v>
      </c>
      <c r="AQ204" s="35" t="s">
        <v>164</v>
      </c>
      <c r="AR204" s="44">
        <v>3</v>
      </c>
      <c r="AS204" s="37" t="s">
        <v>52</v>
      </c>
    </row>
    <row r="205" spans="1:45" ht="43.5" customHeight="1" x14ac:dyDescent="0.25">
      <c r="A205" s="32" t="s">
        <v>2765</v>
      </c>
      <c r="B205" s="56">
        <v>45355</v>
      </c>
      <c r="C205" s="35" t="s">
        <v>2213</v>
      </c>
      <c r="D205" s="36"/>
      <c r="E205" s="1" t="s">
        <v>2766</v>
      </c>
      <c r="F205" s="33">
        <v>45369</v>
      </c>
      <c r="G205" s="35" t="s">
        <v>2767</v>
      </c>
      <c r="H205" s="37" t="s">
        <v>719</v>
      </c>
      <c r="I205" s="59" t="s">
        <v>1547</v>
      </c>
      <c r="J205" s="57">
        <v>151357.79999999999</v>
      </c>
      <c r="K205" s="40">
        <v>0</v>
      </c>
      <c r="L205" s="41">
        <v>0</v>
      </c>
      <c r="M205" s="57">
        <v>151357.79999999999</v>
      </c>
      <c r="N205" s="41">
        <v>0</v>
      </c>
      <c r="O205" s="57">
        <v>151357.79999999999</v>
      </c>
      <c r="P205" s="27">
        <v>151357.79999999999</v>
      </c>
      <c r="Q205" s="27">
        <v>151357.79999999999</v>
      </c>
      <c r="R205" s="27">
        <v>132.76999999999998</v>
      </c>
      <c r="S205" s="38">
        <v>132.76999999999998</v>
      </c>
      <c r="T205" s="38">
        <v>7966.1999999999989</v>
      </c>
      <c r="U205" s="38">
        <v>1140</v>
      </c>
      <c r="V205" s="38">
        <v>1140</v>
      </c>
      <c r="W205" s="38">
        <v>0</v>
      </c>
      <c r="X205" s="38">
        <v>0</v>
      </c>
      <c r="Y205" s="38">
        <v>0</v>
      </c>
      <c r="Z205" s="38">
        <v>0</v>
      </c>
      <c r="AA205" s="38">
        <v>1140</v>
      </c>
      <c r="AB205" s="38">
        <v>151357.79999999999</v>
      </c>
      <c r="AC205" s="38">
        <v>19</v>
      </c>
      <c r="AD205" s="38">
        <v>19</v>
      </c>
      <c r="AE205" s="33">
        <v>45413</v>
      </c>
      <c r="AF205" s="33"/>
      <c r="AG205" s="33"/>
      <c r="AH205" s="33">
        <v>45444</v>
      </c>
      <c r="AI205" s="33"/>
      <c r="AJ205" s="42"/>
      <c r="AK205" s="37" t="s">
        <v>2768</v>
      </c>
      <c r="AL205" s="37" t="s">
        <v>2769</v>
      </c>
      <c r="AM205" s="37" t="s">
        <v>2770</v>
      </c>
      <c r="AN205" s="37" t="s">
        <v>50</v>
      </c>
      <c r="AO205" s="43">
        <v>100</v>
      </c>
      <c r="AP205" s="35">
        <v>0</v>
      </c>
      <c r="AQ205" s="35" t="s">
        <v>441</v>
      </c>
      <c r="AR205" s="44">
        <v>60</v>
      </c>
      <c r="AS205" s="37" t="s">
        <v>52</v>
      </c>
    </row>
    <row r="206" spans="1:45" ht="43.5" customHeight="1" x14ac:dyDescent="0.25">
      <c r="A206" s="32" t="s">
        <v>2771</v>
      </c>
      <c r="B206" s="56">
        <v>45355</v>
      </c>
      <c r="C206" s="35">
        <v>1416</v>
      </c>
      <c r="D206" s="35" t="s">
        <v>485</v>
      </c>
      <c r="E206" s="1" t="s">
        <v>2772</v>
      </c>
      <c r="F206" s="35" t="s">
        <v>485</v>
      </c>
      <c r="G206" s="35" t="s">
        <v>485</v>
      </c>
      <c r="H206" s="35" t="s">
        <v>485</v>
      </c>
      <c r="I206" s="58" t="s">
        <v>2773</v>
      </c>
      <c r="J206" s="57">
        <v>319463760</v>
      </c>
      <c r="K206" s="40">
        <v>100</v>
      </c>
      <c r="L206" s="41">
        <v>319463760</v>
      </c>
      <c r="M206" s="38"/>
      <c r="N206" s="41">
        <v>319463760</v>
      </c>
      <c r="O206" s="38">
        <v>0</v>
      </c>
      <c r="P206" s="27">
        <v>0</v>
      </c>
      <c r="Q206" s="27">
        <v>0</v>
      </c>
      <c r="R206" s="27" t="e">
        <v>#DIV/0!</v>
      </c>
      <c r="S206" s="38" t="e">
        <v>#DIV/0!</v>
      </c>
      <c r="T206" s="38" t="e">
        <v>#DIV/0!</v>
      </c>
      <c r="U206" s="38">
        <v>0</v>
      </c>
      <c r="V206" s="38">
        <v>0</v>
      </c>
      <c r="W206" s="38">
        <v>0</v>
      </c>
      <c r="X206" s="38">
        <v>0</v>
      </c>
      <c r="Y206" s="38"/>
      <c r="Z206" s="38" t="e">
        <v>#DIV/0!</v>
      </c>
      <c r="AA206" s="38"/>
      <c r="AB206" s="38" t="e">
        <v>#DIV/0!</v>
      </c>
      <c r="AC206" s="38" t="e">
        <v>#DIV/0!</v>
      </c>
      <c r="AD206" s="38" t="e">
        <v>#DIV/0!</v>
      </c>
      <c r="AE206" s="33">
        <v>45444</v>
      </c>
      <c r="AF206" s="33"/>
      <c r="AG206" s="33"/>
      <c r="AH206" s="33"/>
      <c r="AI206" s="33"/>
      <c r="AJ206" s="42"/>
      <c r="AK206" s="37"/>
      <c r="AL206" s="37"/>
      <c r="AM206" s="37"/>
      <c r="AN206" s="37"/>
      <c r="AO206" s="43"/>
      <c r="AP206" s="35"/>
      <c r="AQ206" s="35"/>
      <c r="AR206" s="44"/>
      <c r="AS206" s="37" t="s">
        <v>485</v>
      </c>
    </row>
    <row r="207" spans="1:45" ht="43.5" customHeight="1" x14ac:dyDescent="0.25">
      <c r="A207" s="32" t="s">
        <v>2777</v>
      </c>
      <c r="B207" s="56">
        <v>45355</v>
      </c>
      <c r="C207" s="35">
        <v>1416</v>
      </c>
      <c r="D207" s="36"/>
      <c r="E207" s="1" t="s">
        <v>2778</v>
      </c>
      <c r="F207" s="33">
        <v>45384</v>
      </c>
      <c r="G207" s="35" t="s">
        <v>2779</v>
      </c>
      <c r="H207" s="37" t="s">
        <v>169</v>
      </c>
      <c r="I207" s="58" t="s">
        <v>1356</v>
      </c>
      <c r="J207" s="57">
        <v>560057594.70000005</v>
      </c>
      <c r="K207" s="40">
        <v>0</v>
      </c>
      <c r="L207" s="41">
        <v>0</v>
      </c>
      <c r="M207" s="57">
        <v>560057594.70000005</v>
      </c>
      <c r="N207" s="41">
        <v>0</v>
      </c>
      <c r="O207" s="57">
        <v>560057594.70000005</v>
      </c>
      <c r="P207" s="27">
        <v>560057594.70000005</v>
      </c>
      <c r="Q207" s="27">
        <v>560057594.70000005</v>
      </c>
      <c r="R207" s="27">
        <v>554512.47000000009</v>
      </c>
      <c r="S207" s="38">
        <v>554512.47000000009</v>
      </c>
      <c r="T207" s="38">
        <v>554512.47000000009</v>
      </c>
      <c r="U207" s="38">
        <v>1010</v>
      </c>
      <c r="V207" s="38">
        <v>1010</v>
      </c>
      <c r="W207" s="38">
        <v>0</v>
      </c>
      <c r="X207" s="38">
        <v>0</v>
      </c>
      <c r="Y207" s="38">
        <v>1010</v>
      </c>
      <c r="Z207" s="38">
        <v>560057594.70000005</v>
      </c>
      <c r="AA207" s="38">
        <v>0</v>
      </c>
      <c r="AB207" s="38">
        <v>0</v>
      </c>
      <c r="AC207" s="38">
        <v>1010</v>
      </c>
      <c r="AD207" s="38">
        <v>1010</v>
      </c>
      <c r="AE207" s="33">
        <v>45413</v>
      </c>
      <c r="AF207" s="33"/>
      <c r="AG207" s="33"/>
      <c r="AH207" s="33">
        <v>45444</v>
      </c>
      <c r="AI207" s="33"/>
      <c r="AJ207" s="42"/>
      <c r="AK207" s="37" t="s">
        <v>2780</v>
      </c>
      <c r="AL207" s="37" t="s">
        <v>2781</v>
      </c>
      <c r="AM207" s="37" t="s">
        <v>2782</v>
      </c>
      <c r="AN207" s="37" t="s">
        <v>352</v>
      </c>
      <c r="AO207" s="43">
        <v>0</v>
      </c>
      <c r="AP207" s="35">
        <v>100</v>
      </c>
      <c r="AQ207" s="35" t="s">
        <v>164</v>
      </c>
      <c r="AR207" s="44">
        <v>1</v>
      </c>
      <c r="AS207" s="37" t="s">
        <v>52</v>
      </c>
    </row>
    <row r="208" spans="1:45" ht="43.5" customHeight="1" x14ac:dyDescent="0.25">
      <c r="A208" s="32" t="s">
        <v>2783</v>
      </c>
      <c r="B208" s="56">
        <v>45355</v>
      </c>
      <c r="C208" s="35">
        <v>1416</v>
      </c>
      <c r="D208" s="36"/>
      <c r="E208" s="1" t="s">
        <v>2784</v>
      </c>
      <c r="F208" s="33"/>
      <c r="G208" s="35"/>
      <c r="H208" s="37"/>
      <c r="I208" s="59" t="s">
        <v>898</v>
      </c>
      <c r="J208" s="57">
        <v>3015008.64</v>
      </c>
      <c r="K208" s="40">
        <v>100</v>
      </c>
      <c r="L208" s="41">
        <v>3015008.64</v>
      </c>
      <c r="M208" s="38"/>
      <c r="N208" s="41">
        <v>3015008.64</v>
      </c>
      <c r="O208" s="38">
        <v>0</v>
      </c>
      <c r="P208" s="27">
        <v>0</v>
      </c>
      <c r="Q208" s="27">
        <v>0</v>
      </c>
      <c r="R208" s="27" t="e">
        <v>#DIV/0!</v>
      </c>
      <c r="S208" s="38" t="e">
        <v>#DIV/0!</v>
      </c>
      <c r="T208" s="38" t="e">
        <v>#DIV/0!</v>
      </c>
      <c r="U208" s="38">
        <v>0</v>
      </c>
      <c r="V208" s="38">
        <v>0</v>
      </c>
      <c r="W208" s="38">
        <v>0</v>
      </c>
      <c r="X208" s="38">
        <v>0</v>
      </c>
      <c r="Y208" s="38"/>
      <c r="Z208" s="38" t="e">
        <v>#DIV/0!</v>
      </c>
      <c r="AA208" s="38"/>
      <c r="AB208" s="38" t="e">
        <v>#DIV/0!</v>
      </c>
      <c r="AC208" s="38" t="e">
        <v>#DIV/0!</v>
      </c>
      <c r="AD208" s="38" t="e">
        <v>#DIV/0!</v>
      </c>
      <c r="AE208" s="33">
        <v>45413</v>
      </c>
      <c r="AF208" s="33"/>
      <c r="AG208" s="33"/>
      <c r="AH208" s="33"/>
      <c r="AI208" s="33"/>
      <c r="AJ208" s="42"/>
      <c r="AK208" s="37"/>
      <c r="AL208" s="37"/>
      <c r="AM208" s="37"/>
      <c r="AN208" s="37"/>
      <c r="AO208" s="43"/>
      <c r="AP208" s="35"/>
      <c r="AQ208" s="35"/>
      <c r="AR208" s="44"/>
      <c r="AS208" s="37"/>
    </row>
    <row r="209" spans="1:45" ht="43.5" customHeight="1" x14ac:dyDescent="0.25">
      <c r="A209" s="32" t="s">
        <v>2795</v>
      </c>
      <c r="B209" s="56">
        <v>45357</v>
      </c>
      <c r="C209" s="35">
        <v>1416</v>
      </c>
      <c r="D209" s="36"/>
      <c r="E209" s="1" t="s">
        <v>2796</v>
      </c>
      <c r="F209" s="33">
        <v>45387</v>
      </c>
      <c r="G209" s="35" t="s">
        <v>2797</v>
      </c>
      <c r="H209" s="37" t="s">
        <v>219</v>
      </c>
      <c r="I209" s="58" t="s">
        <v>1158</v>
      </c>
      <c r="J209" s="57">
        <v>484654854.60000002</v>
      </c>
      <c r="K209" s="40">
        <v>0</v>
      </c>
      <c r="L209" s="41">
        <v>0</v>
      </c>
      <c r="M209" s="57">
        <v>484654854.60000002</v>
      </c>
      <c r="N209" s="41">
        <v>0</v>
      </c>
      <c r="O209" s="57">
        <v>484654854.60000002</v>
      </c>
      <c r="P209" s="27">
        <v>484654854.60000002</v>
      </c>
      <c r="Q209" s="27">
        <v>484654854.60000002</v>
      </c>
      <c r="R209" s="27">
        <v>401.58000000000004</v>
      </c>
      <c r="S209" s="38">
        <v>401.58000000000004</v>
      </c>
      <c r="T209" s="38">
        <v>6023.7000000000007</v>
      </c>
      <c r="U209" s="38">
        <v>1206870</v>
      </c>
      <c r="V209" s="38">
        <v>1206870</v>
      </c>
      <c r="W209" s="38">
        <v>0</v>
      </c>
      <c r="X209" s="38">
        <v>0</v>
      </c>
      <c r="Y209" s="38">
        <v>820515</v>
      </c>
      <c r="Z209" s="38">
        <v>329502413.70000005</v>
      </c>
      <c r="AA209" s="38">
        <v>386355</v>
      </c>
      <c r="AB209" s="38">
        <v>155152440.90000001</v>
      </c>
      <c r="AC209" s="38">
        <v>80458</v>
      </c>
      <c r="AD209" s="38">
        <v>80458</v>
      </c>
      <c r="AE209" s="33">
        <v>45520</v>
      </c>
      <c r="AF209" s="33"/>
      <c r="AG209" s="33"/>
      <c r="AH209" s="33">
        <v>45551</v>
      </c>
      <c r="AI209" s="33"/>
      <c r="AJ209" s="42"/>
      <c r="AK209" s="37" t="s">
        <v>2798</v>
      </c>
      <c r="AL209" s="37" t="s">
        <v>2799</v>
      </c>
      <c r="AM209" s="37" t="s">
        <v>2800</v>
      </c>
      <c r="AN209" s="37" t="s">
        <v>50</v>
      </c>
      <c r="AO209" s="43">
        <v>100</v>
      </c>
      <c r="AP209" s="35">
        <v>0</v>
      </c>
      <c r="AQ209" s="35" t="s">
        <v>164</v>
      </c>
      <c r="AR209" s="44">
        <v>15</v>
      </c>
      <c r="AS209" s="37" t="s">
        <v>52</v>
      </c>
    </row>
    <row r="210" spans="1:45" ht="43.5" customHeight="1" x14ac:dyDescent="0.25">
      <c r="A210" s="32" t="s">
        <v>2801</v>
      </c>
      <c r="B210" s="56">
        <v>45357</v>
      </c>
      <c r="C210" s="35" t="s">
        <v>2213</v>
      </c>
      <c r="D210" s="36"/>
      <c r="E210" s="1" t="s">
        <v>2802</v>
      </c>
      <c r="F210" s="33">
        <v>45370</v>
      </c>
      <c r="G210" s="35" t="s">
        <v>2803</v>
      </c>
      <c r="H210" s="37" t="s">
        <v>2589</v>
      </c>
      <c r="I210" s="58" t="s">
        <v>1971</v>
      </c>
      <c r="J210" s="57">
        <v>35612.5</v>
      </c>
      <c r="K210" s="40">
        <v>1.2987012987012987</v>
      </c>
      <c r="L210" s="41">
        <v>462.5</v>
      </c>
      <c r="M210" s="38">
        <v>35150</v>
      </c>
      <c r="N210" s="41">
        <v>462.5</v>
      </c>
      <c r="O210" s="38">
        <v>35150</v>
      </c>
      <c r="P210" s="27">
        <v>35150</v>
      </c>
      <c r="Q210" s="27">
        <v>35150</v>
      </c>
      <c r="R210" s="27">
        <v>19</v>
      </c>
      <c r="S210" s="38">
        <v>19</v>
      </c>
      <c r="T210" s="38">
        <v>1900</v>
      </c>
      <c r="U210" s="38">
        <v>1850</v>
      </c>
      <c r="V210" s="38">
        <v>1850</v>
      </c>
      <c r="W210" s="38">
        <v>0</v>
      </c>
      <c r="X210" s="38">
        <v>0</v>
      </c>
      <c r="Y210" s="38">
        <v>0</v>
      </c>
      <c r="Z210" s="38">
        <v>0</v>
      </c>
      <c r="AA210" s="38">
        <v>1850</v>
      </c>
      <c r="AB210" s="38">
        <v>35150</v>
      </c>
      <c r="AC210" s="38">
        <v>18.5</v>
      </c>
      <c r="AD210" s="38">
        <v>19</v>
      </c>
      <c r="AE210" s="33">
        <v>45413</v>
      </c>
      <c r="AF210" s="33"/>
      <c r="AG210" s="33"/>
      <c r="AH210" s="33">
        <v>45444</v>
      </c>
      <c r="AI210" s="33"/>
      <c r="AJ210" s="42"/>
      <c r="AK210" s="37" t="s">
        <v>2804</v>
      </c>
      <c r="AL210" s="37" t="s">
        <v>2805</v>
      </c>
      <c r="AM210" s="37" t="s">
        <v>2806</v>
      </c>
      <c r="AN210" s="37" t="s">
        <v>50</v>
      </c>
      <c r="AO210" s="43">
        <v>100</v>
      </c>
      <c r="AP210" s="35">
        <v>0</v>
      </c>
      <c r="AQ210" s="35" t="s">
        <v>441</v>
      </c>
      <c r="AR210" s="44">
        <v>100</v>
      </c>
      <c r="AS210" s="37" t="s">
        <v>52</v>
      </c>
    </row>
    <row r="211" spans="1:45" ht="43.5" customHeight="1" x14ac:dyDescent="0.25">
      <c r="A211" s="32" t="s">
        <v>2807</v>
      </c>
      <c r="B211" s="56">
        <v>45357</v>
      </c>
      <c r="C211" s="35" t="s">
        <v>2213</v>
      </c>
      <c r="D211" s="36"/>
      <c r="E211" s="1" t="s">
        <v>2808</v>
      </c>
      <c r="F211" s="33">
        <v>45370</v>
      </c>
      <c r="G211" s="35" t="s">
        <v>2809</v>
      </c>
      <c r="H211" s="37" t="s">
        <v>1847</v>
      </c>
      <c r="I211" s="58" t="s">
        <v>2810</v>
      </c>
      <c r="J211" s="57">
        <v>2034306.6</v>
      </c>
      <c r="K211" s="40">
        <v>9.1726586346469671E-3</v>
      </c>
      <c r="L211" s="41">
        <v>186.60000000009313</v>
      </c>
      <c r="M211" s="38">
        <v>2034120</v>
      </c>
      <c r="N211" s="41">
        <v>186.60000000009313</v>
      </c>
      <c r="O211" s="38">
        <v>2034120</v>
      </c>
      <c r="P211" s="27">
        <v>2034120</v>
      </c>
      <c r="Q211" s="27">
        <v>2034120</v>
      </c>
      <c r="R211" s="27">
        <v>60.774424858081865</v>
      </c>
      <c r="S211" s="38">
        <v>60.774424858081865</v>
      </c>
      <c r="T211" s="38">
        <v>6077.4424858081866</v>
      </c>
      <c r="U211" s="38">
        <v>33470</v>
      </c>
      <c r="V211" s="38">
        <v>33470</v>
      </c>
      <c r="W211" s="38">
        <v>0</v>
      </c>
      <c r="X211" s="38">
        <v>0</v>
      </c>
      <c r="Y211" s="38">
        <v>0</v>
      </c>
      <c r="Z211" s="38">
        <v>0</v>
      </c>
      <c r="AA211" s="38">
        <v>33470</v>
      </c>
      <c r="AB211" s="38">
        <v>2034120</v>
      </c>
      <c r="AC211" s="38">
        <v>334.7</v>
      </c>
      <c r="AD211" s="38">
        <v>335</v>
      </c>
      <c r="AE211" s="33">
        <v>45413</v>
      </c>
      <c r="AF211" s="33"/>
      <c r="AG211" s="33"/>
      <c r="AH211" s="33">
        <v>45444</v>
      </c>
      <c r="AI211" s="33"/>
      <c r="AJ211" s="42"/>
      <c r="AK211" s="37" t="s">
        <v>2649</v>
      </c>
      <c r="AL211" s="37" t="s">
        <v>2650</v>
      </c>
      <c r="AM211" s="37" t="s">
        <v>2651</v>
      </c>
      <c r="AN211" s="37" t="s">
        <v>50</v>
      </c>
      <c r="AO211" s="43">
        <v>100</v>
      </c>
      <c r="AP211" s="35">
        <v>0</v>
      </c>
      <c r="AQ211" s="35" t="s">
        <v>441</v>
      </c>
      <c r="AR211" s="44">
        <v>100</v>
      </c>
      <c r="AS211" s="37" t="s">
        <v>52</v>
      </c>
    </row>
    <row r="212" spans="1:45" ht="43.5" customHeight="1" x14ac:dyDescent="0.25">
      <c r="A212" s="32" t="s">
        <v>2811</v>
      </c>
      <c r="B212" s="56">
        <v>45357</v>
      </c>
      <c r="C212" s="35" t="s">
        <v>2213</v>
      </c>
      <c r="D212" s="36"/>
      <c r="E212" s="1" t="s">
        <v>2812</v>
      </c>
      <c r="F212" s="33">
        <v>45370</v>
      </c>
      <c r="G212" s="35" t="s">
        <v>2813</v>
      </c>
      <c r="H212" s="37" t="s">
        <v>1847</v>
      </c>
      <c r="I212" s="58" t="s">
        <v>1512</v>
      </c>
      <c r="J212" s="57">
        <v>252945</v>
      </c>
      <c r="K212" s="40">
        <v>0</v>
      </c>
      <c r="L212" s="41">
        <v>0</v>
      </c>
      <c r="M212" s="38">
        <v>252945</v>
      </c>
      <c r="N212" s="41">
        <v>0</v>
      </c>
      <c r="O212" s="38">
        <v>252945</v>
      </c>
      <c r="P212" s="27">
        <v>252945</v>
      </c>
      <c r="Q212" s="27">
        <v>252945</v>
      </c>
      <c r="R212" s="27">
        <v>23.1</v>
      </c>
      <c r="S212" s="38">
        <v>23.1</v>
      </c>
      <c r="T212" s="38">
        <v>1155</v>
      </c>
      <c r="U212" s="38">
        <v>10950</v>
      </c>
      <c r="V212" s="38">
        <v>10950</v>
      </c>
      <c r="W212" s="38">
        <v>0</v>
      </c>
      <c r="X212" s="38">
        <v>0</v>
      </c>
      <c r="Y212" s="38">
        <v>1250</v>
      </c>
      <c r="Z212" s="38">
        <v>28875</v>
      </c>
      <c r="AA212" s="38">
        <v>9700</v>
      </c>
      <c r="AB212" s="38">
        <v>224070</v>
      </c>
      <c r="AC212" s="38">
        <v>219</v>
      </c>
      <c r="AD212" s="38">
        <v>219</v>
      </c>
      <c r="AE212" s="33">
        <v>45413</v>
      </c>
      <c r="AF212" s="33"/>
      <c r="AG212" s="33"/>
      <c r="AH212" s="33">
        <v>45444</v>
      </c>
      <c r="AI212" s="33"/>
      <c r="AJ212" s="42"/>
      <c r="AK212" s="37" t="s">
        <v>918</v>
      </c>
      <c r="AL212" s="37" t="s">
        <v>1513</v>
      </c>
      <c r="AM212" s="37" t="s">
        <v>920</v>
      </c>
      <c r="AN212" s="37" t="s">
        <v>50</v>
      </c>
      <c r="AO212" s="43">
        <v>100</v>
      </c>
      <c r="AP212" s="35">
        <v>0</v>
      </c>
      <c r="AQ212" s="35" t="s">
        <v>441</v>
      </c>
      <c r="AR212" s="44">
        <v>50</v>
      </c>
      <c r="AS212" s="37" t="s">
        <v>52</v>
      </c>
    </row>
    <row r="213" spans="1:45" ht="43.5" customHeight="1" x14ac:dyDescent="0.25">
      <c r="A213" s="32" t="s">
        <v>2814</v>
      </c>
      <c r="B213" s="56">
        <v>45357</v>
      </c>
      <c r="C213" s="35" t="s">
        <v>2213</v>
      </c>
      <c r="D213" s="36"/>
      <c r="E213" s="1" t="s">
        <v>2815</v>
      </c>
      <c r="F213" s="33">
        <v>45370</v>
      </c>
      <c r="G213" s="35" t="s">
        <v>2816</v>
      </c>
      <c r="H213" s="37" t="s">
        <v>719</v>
      </c>
      <c r="I213" s="58" t="s">
        <v>1518</v>
      </c>
      <c r="J213" s="57">
        <v>1731600</v>
      </c>
      <c r="K213" s="40">
        <v>0</v>
      </c>
      <c r="L213" s="41">
        <v>0</v>
      </c>
      <c r="M213" s="38">
        <v>1731600</v>
      </c>
      <c r="N213" s="41">
        <v>0</v>
      </c>
      <c r="O213" s="38">
        <v>1731600</v>
      </c>
      <c r="P213" s="27">
        <v>1731600</v>
      </c>
      <c r="Q213" s="27">
        <v>1731600</v>
      </c>
      <c r="R213" s="27">
        <v>24.05</v>
      </c>
      <c r="S213" s="38">
        <v>24.05</v>
      </c>
      <c r="T213" s="38">
        <v>24050</v>
      </c>
      <c r="U213" s="38">
        <v>72000</v>
      </c>
      <c r="V213" s="38">
        <v>72000</v>
      </c>
      <c r="W213" s="38">
        <v>0</v>
      </c>
      <c r="X213" s="38">
        <v>0</v>
      </c>
      <c r="Y213" s="38">
        <v>72000</v>
      </c>
      <c r="Z213" s="38">
        <v>1731600</v>
      </c>
      <c r="AA213" s="38">
        <v>0</v>
      </c>
      <c r="AB213" s="38">
        <v>0</v>
      </c>
      <c r="AC213" s="38">
        <v>72</v>
      </c>
      <c r="AD213" s="38">
        <v>72</v>
      </c>
      <c r="AE213" s="33">
        <v>45413</v>
      </c>
      <c r="AF213" s="33"/>
      <c r="AG213" s="33"/>
      <c r="AH213" s="33">
        <v>45444</v>
      </c>
      <c r="AI213" s="33"/>
      <c r="AJ213" s="42"/>
      <c r="AK213" s="37" t="s">
        <v>1519</v>
      </c>
      <c r="AL213" s="37" t="s">
        <v>2817</v>
      </c>
      <c r="AM213" s="37" t="s">
        <v>1521</v>
      </c>
      <c r="AN213" s="37" t="s">
        <v>724</v>
      </c>
      <c r="AO213" s="43">
        <v>0</v>
      </c>
      <c r="AP213" s="35">
        <v>100</v>
      </c>
      <c r="AQ213" s="35" t="s">
        <v>175</v>
      </c>
      <c r="AR213" s="44">
        <v>1000</v>
      </c>
      <c r="AS213" s="37" t="s">
        <v>52</v>
      </c>
    </row>
    <row r="214" spans="1:45" ht="43.5" customHeight="1" x14ac:dyDescent="0.25">
      <c r="A214" s="32" t="s">
        <v>2818</v>
      </c>
      <c r="B214" s="56">
        <v>45357</v>
      </c>
      <c r="C214" s="35" t="s">
        <v>2213</v>
      </c>
      <c r="D214" s="36"/>
      <c r="E214" s="1" t="s">
        <v>2819</v>
      </c>
      <c r="F214" s="33">
        <v>45370</v>
      </c>
      <c r="G214" s="35" t="s">
        <v>2820</v>
      </c>
      <c r="H214" s="37" t="s">
        <v>1847</v>
      </c>
      <c r="I214" s="58" t="s">
        <v>2821</v>
      </c>
      <c r="J214" s="57">
        <v>5162483.6100000003</v>
      </c>
      <c r="K214" s="40">
        <v>3.3297926538908241E-4</v>
      </c>
      <c r="L214" s="41">
        <v>17.190000000409782</v>
      </c>
      <c r="M214" s="38">
        <v>5162466.42</v>
      </c>
      <c r="N214" s="41">
        <v>17.190000000409782</v>
      </c>
      <c r="O214" s="38">
        <v>5162466.42</v>
      </c>
      <c r="P214" s="27">
        <v>5162466.42</v>
      </c>
      <c r="Q214" s="27">
        <v>5162466.42</v>
      </c>
      <c r="R214" s="27">
        <v>6006.36</v>
      </c>
      <c r="S214" s="38">
        <v>6006.36</v>
      </c>
      <c r="T214" s="38">
        <v>9009.5399999999991</v>
      </c>
      <c r="U214" s="38">
        <v>859.5</v>
      </c>
      <c r="V214" s="38">
        <v>859.5</v>
      </c>
      <c r="W214" s="38">
        <v>0</v>
      </c>
      <c r="X214" s="38">
        <v>0</v>
      </c>
      <c r="Y214" s="38">
        <v>0</v>
      </c>
      <c r="Z214" s="38">
        <v>0</v>
      </c>
      <c r="AA214" s="38">
        <v>859.5</v>
      </c>
      <c r="AB214" s="38">
        <v>5162466.42</v>
      </c>
      <c r="AC214" s="38">
        <v>573</v>
      </c>
      <c r="AD214" s="38">
        <v>573</v>
      </c>
      <c r="AE214" s="33">
        <v>45413</v>
      </c>
      <c r="AF214" s="33"/>
      <c r="AG214" s="33"/>
      <c r="AH214" s="33">
        <v>45444</v>
      </c>
      <c r="AI214" s="33"/>
      <c r="AJ214" s="42"/>
      <c r="AK214" s="37" t="s">
        <v>212</v>
      </c>
      <c r="AL214" s="37" t="s">
        <v>2822</v>
      </c>
      <c r="AM214" s="37" t="s">
        <v>214</v>
      </c>
      <c r="AN214" s="37" t="s">
        <v>50</v>
      </c>
      <c r="AO214" s="43">
        <v>100</v>
      </c>
      <c r="AP214" s="35">
        <v>0</v>
      </c>
      <c r="AQ214" s="35" t="s">
        <v>164</v>
      </c>
      <c r="AR214" s="49">
        <v>1.5</v>
      </c>
      <c r="AS214" s="37" t="s">
        <v>52</v>
      </c>
    </row>
    <row r="215" spans="1:45" ht="43.5" customHeight="1" x14ac:dyDescent="0.25">
      <c r="A215" s="32" t="s">
        <v>2823</v>
      </c>
      <c r="B215" s="56">
        <v>45357</v>
      </c>
      <c r="C215" s="35">
        <v>1416</v>
      </c>
      <c r="D215" s="36"/>
      <c r="E215" s="1" t="s">
        <v>2824</v>
      </c>
      <c r="F215" s="33">
        <v>45380</v>
      </c>
      <c r="G215" s="35" t="s">
        <v>2825</v>
      </c>
      <c r="H215" s="37" t="s">
        <v>2176</v>
      </c>
      <c r="I215" s="58" t="s">
        <v>2826</v>
      </c>
      <c r="J215" s="57">
        <v>1180416.6399999999</v>
      </c>
      <c r="K215" s="40">
        <v>0</v>
      </c>
      <c r="L215" s="41">
        <v>0</v>
      </c>
      <c r="M215" s="57">
        <v>1180416.6399999999</v>
      </c>
      <c r="N215" s="41">
        <v>0</v>
      </c>
      <c r="O215" s="57">
        <v>1180416.6399999999</v>
      </c>
      <c r="P215" s="27">
        <v>1180416.6399999999</v>
      </c>
      <c r="Q215" s="27">
        <v>1180416.6399999999</v>
      </c>
      <c r="R215" s="27">
        <v>18444.009999999998</v>
      </c>
      <c r="S215" s="38">
        <v>18444.009999999998</v>
      </c>
      <c r="T215" s="38">
        <v>36888.019999999997</v>
      </c>
      <c r="U215" s="38">
        <v>64</v>
      </c>
      <c r="V215" s="38">
        <v>64</v>
      </c>
      <c r="W215" s="38">
        <v>0</v>
      </c>
      <c r="X215" s="38">
        <v>0</v>
      </c>
      <c r="Y215" s="38">
        <v>64</v>
      </c>
      <c r="Z215" s="38">
        <v>1180416.6399999999</v>
      </c>
      <c r="AA215" s="38">
        <v>0</v>
      </c>
      <c r="AB215" s="38">
        <v>0</v>
      </c>
      <c r="AC215" s="38">
        <v>32</v>
      </c>
      <c r="AD215" s="38">
        <v>32</v>
      </c>
      <c r="AE215" s="33">
        <v>45413</v>
      </c>
      <c r="AF215" s="33"/>
      <c r="AG215" s="33"/>
      <c r="AH215" s="33">
        <v>45444</v>
      </c>
      <c r="AI215" s="33"/>
      <c r="AJ215" s="42"/>
      <c r="AK215" s="37" t="s">
        <v>2690</v>
      </c>
      <c r="AL215" s="37" t="s">
        <v>2827</v>
      </c>
      <c r="AM215" s="37" t="s">
        <v>2692</v>
      </c>
      <c r="AN215" s="37" t="s">
        <v>50</v>
      </c>
      <c r="AO215" s="43">
        <v>100</v>
      </c>
      <c r="AP215" s="35">
        <v>0</v>
      </c>
      <c r="AQ215" s="35" t="s">
        <v>441</v>
      </c>
      <c r="AR215" s="44">
        <v>2</v>
      </c>
      <c r="AS215" s="37" t="s">
        <v>52</v>
      </c>
    </row>
    <row r="216" spans="1:45" ht="43.5" customHeight="1" x14ac:dyDescent="0.25">
      <c r="A216" s="32" t="s">
        <v>2828</v>
      </c>
      <c r="B216" s="56">
        <v>45357</v>
      </c>
      <c r="C216" s="35">
        <v>1416</v>
      </c>
      <c r="D216" s="36"/>
      <c r="E216" s="1" t="s">
        <v>2829</v>
      </c>
      <c r="F216" s="33">
        <v>45380</v>
      </c>
      <c r="G216" s="35" t="s">
        <v>2830</v>
      </c>
      <c r="H216" s="37" t="s">
        <v>314</v>
      </c>
      <c r="I216" s="58" t="s">
        <v>2831</v>
      </c>
      <c r="J216" s="57">
        <v>4763072.16</v>
      </c>
      <c r="K216" s="40">
        <v>0</v>
      </c>
      <c r="L216" s="41">
        <v>0</v>
      </c>
      <c r="M216" s="57">
        <v>4763072.16</v>
      </c>
      <c r="N216" s="41">
        <v>0</v>
      </c>
      <c r="O216" s="57">
        <v>4763072.16</v>
      </c>
      <c r="P216" s="27">
        <v>4763072.16</v>
      </c>
      <c r="Q216" s="27">
        <v>4763072.16</v>
      </c>
      <c r="R216" s="27">
        <v>3065.04</v>
      </c>
      <c r="S216" s="38">
        <v>3065.04</v>
      </c>
      <c r="T216" s="38">
        <v>4597.5599999999995</v>
      </c>
      <c r="U216" s="38">
        <v>1554</v>
      </c>
      <c r="V216" s="38">
        <v>1554</v>
      </c>
      <c r="W216" s="38">
        <v>0</v>
      </c>
      <c r="X216" s="38">
        <v>0</v>
      </c>
      <c r="Y216" s="38">
        <v>1554</v>
      </c>
      <c r="Z216" s="38">
        <v>4763072.16</v>
      </c>
      <c r="AA216" s="38">
        <v>0</v>
      </c>
      <c r="AB216" s="38">
        <v>0</v>
      </c>
      <c r="AC216" s="38">
        <v>1036</v>
      </c>
      <c r="AD216" s="38">
        <v>1036</v>
      </c>
      <c r="AE216" s="33">
        <v>45413</v>
      </c>
      <c r="AF216" s="33"/>
      <c r="AG216" s="33"/>
      <c r="AH216" s="33">
        <v>45444</v>
      </c>
      <c r="AI216" s="33"/>
      <c r="AJ216" s="42"/>
      <c r="AK216" s="37" t="s">
        <v>2832</v>
      </c>
      <c r="AL216" s="37" t="s">
        <v>2833</v>
      </c>
      <c r="AM216" s="37" t="s">
        <v>2834</v>
      </c>
      <c r="AN216" s="37" t="s">
        <v>50</v>
      </c>
      <c r="AO216" s="43">
        <v>100</v>
      </c>
      <c r="AP216" s="35">
        <v>0</v>
      </c>
      <c r="AQ216" s="35" t="s">
        <v>164</v>
      </c>
      <c r="AR216" s="49">
        <v>1.5</v>
      </c>
      <c r="AS216" s="37" t="s">
        <v>52</v>
      </c>
    </row>
    <row r="217" spans="1:45" ht="43.5" customHeight="1" x14ac:dyDescent="0.25">
      <c r="A217" s="32" t="s">
        <v>2835</v>
      </c>
      <c r="B217" s="56">
        <v>45357</v>
      </c>
      <c r="C217" s="35">
        <v>1416</v>
      </c>
      <c r="D217" s="36"/>
      <c r="E217" s="1" t="s">
        <v>2836</v>
      </c>
      <c r="F217" s="33">
        <v>45383</v>
      </c>
      <c r="G217" s="35" t="s">
        <v>2837</v>
      </c>
      <c r="H217" s="37" t="s">
        <v>169</v>
      </c>
      <c r="I217" s="58" t="s">
        <v>824</v>
      </c>
      <c r="J217" s="57">
        <v>109606640</v>
      </c>
      <c r="K217" s="40">
        <v>0</v>
      </c>
      <c r="L217" s="41">
        <v>0</v>
      </c>
      <c r="M217" s="57">
        <v>109606640</v>
      </c>
      <c r="N217" s="41">
        <v>0</v>
      </c>
      <c r="O217" s="57">
        <v>109606640</v>
      </c>
      <c r="P217" s="27">
        <v>109606640</v>
      </c>
      <c r="Q217" s="27">
        <v>109606640</v>
      </c>
      <c r="R217" s="27">
        <v>29.48</v>
      </c>
      <c r="S217" s="38">
        <v>29.48</v>
      </c>
      <c r="T217" s="38">
        <v>11792</v>
      </c>
      <c r="U217" s="38">
        <v>3718000</v>
      </c>
      <c r="V217" s="38">
        <v>3718000</v>
      </c>
      <c r="W217" s="38">
        <v>0</v>
      </c>
      <c r="X217" s="38">
        <v>0</v>
      </c>
      <c r="Y217" s="38">
        <v>3718000</v>
      </c>
      <c r="Z217" s="38">
        <v>109606640</v>
      </c>
      <c r="AA217" s="38">
        <v>0</v>
      </c>
      <c r="AB217" s="38">
        <v>0</v>
      </c>
      <c r="AC217" s="38">
        <v>9295</v>
      </c>
      <c r="AD217" s="38">
        <v>9295</v>
      </c>
      <c r="AE217" s="33">
        <v>45474</v>
      </c>
      <c r="AF217" s="33"/>
      <c r="AG217" s="33"/>
      <c r="AH217" s="33">
        <v>45505</v>
      </c>
      <c r="AI217" s="33"/>
      <c r="AJ217" s="42"/>
      <c r="AK217" s="37" t="s">
        <v>2838</v>
      </c>
      <c r="AL217" s="37" t="s">
        <v>2839</v>
      </c>
      <c r="AM217" s="37" t="s">
        <v>1949</v>
      </c>
      <c r="AN217" s="37" t="s">
        <v>828</v>
      </c>
      <c r="AO217" s="43">
        <v>0</v>
      </c>
      <c r="AP217" s="35">
        <v>100</v>
      </c>
      <c r="AQ217" s="35" t="s">
        <v>175</v>
      </c>
      <c r="AR217" s="44">
        <v>400</v>
      </c>
      <c r="AS217" s="37" t="s">
        <v>52</v>
      </c>
    </row>
    <row r="218" spans="1:45" ht="43.5" customHeight="1" x14ac:dyDescent="0.25">
      <c r="A218" s="32" t="s">
        <v>2840</v>
      </c>
      <c r="B218" s="56">
        <v>45357</v>
      </c>
      <c r="C218" s="35">
        <v>1416</v>
      </c>
      <c r="D218" s="36"/>
      <c r="E218" s="1" t="s">
        <v>2841</v>
      </c>
      <c r="F218" s="33">
        <v>45380</v>
      </c>
      <c r="G218" s="35" t="s">
        <v>2842</v>
      </c>
      <c r="H218" s="37" t="s">
        <v>314</v>
      </c>
      <c r="I218" s="58" t="s">
        <v>2821</v>
      </c>
      <c r="J218" s="57">
        <v>45327146.670000002</v>
      </c>
      <c r="K218" s="40">
        <v>0</v>
      </c>
      <c r="L218" s="41">
        <v>0</v>
      </c>
      <c r="M218" s="57">
        <v>45327146.670000002</v>
      </c>
      <c r="N218" s="41">
        <v>0</v>
      </c>
      <c r="O218" s="57">
        <v>45327146.670000002</v>
      </c>
      <c r="P218" s="27">
        <v>45327146.670000002</v>
      </c>
      <c r="Q218" s="27">
        <v>45327146.670000002</v>
      </c>
      <c r="R218" s="27">
        <v>6006.38</v>
      </c>
      <c r="S218" s="38">
        <v>6006.38</v>
      </c>
      <c r="T218" s="38">
        <v>9009.57</v>
      </c>
      <c r="U218" s="38">
        <v>7546.5</v>
      </c>
      <c r="V218" s="38">
        <v>7546.5</v>
      </c>
      <c r="W218" s="38">
        <v>0</v>
      </c>
      <c r="X218" s="38">
        <v>0</v>
      </c>
      <c r="Y218" s="38">
        <v>7546.5</v>
      </c>
      <c r="Z218" s="38">
        <v>45327146.670000002</v>
      </c>
      <c r="AA218" s="38">
        <v>0</v>
      </c>
      <c r="AB218" s="38">
        <v>0</v>
      </c>
      <c r="AC218" s="38">
        <v>5031</v>
      </c>
      <c r="AD218" s="38">
        <v>5031</v>
      </c>
      <c r="AE218" s="33">
        <v>45413</v>
      </c>
      <c r="AF218" s="33"/>
      <c r="AG218" s="33"/>
      <c r="AH218" s="33">
        <v>45413</v>
      </c>
      <c r="AI218" s="33"/>
      <c r="AJ218" s="42"/>
      <c r="AK218" s="37" t="s">
        <v>2832</v>
      </c>
      <c r="AL218" s="37" t="s">
        <v>2832</v>
      </c>
      <c r="AM218" s="37" t="s">
        <v>2834</v>
      </c>
      <c r="AN218" s="37" t="s">
        <v>50</v>
      </c>
      <c r="AO218" s="43">
        <v>100</v>
      </c>
      <c r="AP218" s="35">
        <v>0</v>
      </c>
      <c r="AQ218" s="35" t="s">
        <v>164</v>
      </c>
      <c r="AR218" s="49">
        <v>1.5</v>
      </c>
      <c r="AS218" s="37" t="s">
        <v>52</v>
      </c>
    </row>
    <row r="219" spans="1:45" ht="58.5" customHeight="1" x14ac:dyDescent="0.25">
      <c r="A219" s="32" t="s">
        <v>2843</v>
      </c>
      <c r="B219" s="56">
        <v>45358</v>
      </c>
      <c r="C219" s="35" t="s">
        <v>2213</v>
      </c>
      <c r="D219" s="36"/>
      <c r="E219" s="1" t="s">
        <v>2844</v>
      </c>
      <c r="F219" s="33">
        <v>45372</v>
      </c>
      <c r="G219" s="35" t="s">
        <v>2845</v>
      </c>
      <c r="H219" s="37" t="s">
        <v>2846</v>
      </c>
      <c r="I219" s="58" t="s">
        <v>2847</v>
      </c>
      <c r="J219" s="57">
        <v>5410926.4000000004</v>
      </c>
      <c r="K219" s="40">
        <v>0.5005871083369452</v>
      </c>
      <c r="L219" s="41">
        <v>27086.400000000373</v>
      </c>
      <c r="M219" s="38">
        <v>5383840</v>
      </c>
      <c r="N219" s="41">
        <v>27086.400000000373</v>
      </c>
      <c r="O219" s="38">
        <v>5383840</v>
      </c>
      <c r="P219" s="27">
        <v>5383840</v>
      </c>
      <c r="Q219" s="27">
        <v>5383840</v>
      </c>
      <c r="R219" s="27">
        <v>3542</v>
      </c>
      <c r="S219" s="38">
        <v>3542</v>
      </c>
      <c r="T219" s="38">
        <v>70840</v>
      </c>
      <c r="U219" s="38">
        <v>1520</v>
      </c>
      <c r="V219" s="38">
        <v>1520</v>
      </c>
      <c r="W219" s="38">
        <v>0</v>
      </c>
      <c r="X219" s="38">
        <v>0</v>
      </c>
      <c r="Y219" s="38">
        <v>0</v>
      </c>
      <c r="Z219" s="38">
        <v>0</v>
      </c>
      <c r="AA219" s="38">
        <v>1520</v>
      </c>
      <c r="AB219" s="38">
        <v>5383840</v>
      </c>
      <c r="AC219" s="38">
        <v>76</v>
      </c>
      <c r="AD219" s="38">
        <v>76</v>
      </c>
      <c r="AE219" s="33">
        <v>45412</v>
      </c>
      <c r="AF219" s="33"/>
      <c r="AG219" s="33"/>
      <c r="AH219" s="33">
        <v>45444</v>
      </c>
      <c r="AI219" s="33"/>
      <c r="AJ219" s="42"/>
      <c r="AK219" s="37" t="s">
        <v>2848</v>
      </c>
      <c r="AL219" s="37" t="s">
        <v>2849</v>
      </c>
      <c r="AM219" s="37" t="s">
        <v>2850</v>
      </c>
      <c r="AN219" s="37" t="s">
        <v>352</v>
      </c>
      <c r="AO219" s="43">
        <v>0</v>
      </c>
      <c r="AP219" s="35">
        <v>100</v>
      </c>
      <c r="AQ219" s="35" t="s">
        <v>164</v>
      </c>
      <c r="AR219" s="44">
        <v>20</v>
      </c>
      <c r="AS219" s="37" t="s">
        <v>52</v>
      </c>
    </row>
    <row r="220" spans="1:45" ht="45.75" customHeight="1" x14ac:dyDescent="0.25">
      <c r="A220" s="32" t="s">
        <v>2851</v>
      </c>
      <c r="B220" s="56">
        <v>45358</v>
      </c>
      <c r="C220" s="35">
        <v>1416</v>
      </c>
      <c r="D220" s="36"/>
      <c r="E220" s="1" t="s">
        <v>2852</v>
      </c>
      <c r="F220" s="33">
        <v>45380</v>
      </c>
      <c r="G220" s="35" t="s">
        <v>2853</v>
      </c>
      <c r="H220" s="37" t="s">
        <v>314</v>
      </c>
      <c r="I220" s="59" t="s">
        <v>953</v>
      </c>
      <c r="J220" s="57">
        <v>2621621.31</v>
      </c>
      <c r="K220" s="40">
        <v>75.502143366388793</v>
      </c>
      <c r="L220" s="41">
        <v>1979380.28</v>
      </c>
      <c r="M220" s="38">
        <v>642241.03</v>
      </c>
      <c r="N220" s="41">
        <v>1979380.28</v>
      </c>
      <c r="O220" s="38">
        <v>642241.03</v>
      </c>
      <c r="P220" s="27">
        <v>642221.57999999996</v>
      </c>
      <c r="Q220" s="27">
        <v>642221.57999999996</v>
      </c>
      <c r="R220" s="27">
        <v>75.14</v>
      </c>
      <c r="S220" s="38">
        <v>75.14</v>
      </c>
      <c r="T220" s="38">
        <v>1577.94</v>
      </c>
      <c r="U220" s="38">
        <v>8547</v>
      </c>
      <c r="V220" s="38">
        <v>8547</v>
      </c>
      <c r="W220" s="38">
        <v>0</v>
      </c>
      <c r="X220" s="38">
        <v>0</v>
      </c>
      <c r="Y220" s="38">
        <v>0</v>
      </c>
      <c r="Z220" s="38">
        <v>0</v>
      </c>
      <c r="AA220" s="38">
        <v>8547</v>
      </c>
      <c r="AB220" s="38">
        <v>642221.57999999996</v>
      </c>
      <c r="AC220" s="38">
        <v>407</v>
      </c>
      <c r="AD220" s="38">
        <v>407</v>
      </c>
      <c r="AE220" s="33">
        <v>45413</v>
      </c>
      <c r="AF220" s="33"/>
      <c r="AG220" s="33"/>
      <c r="AH220" s="33">
        <v>45444</v>
      </c>
      <c r="AI220" s="33"/>
      <c r="AJ220" s="42"/>
      <c r="AK220" s="37" t="s">
        <v>2854</v>
      </c>
      <c r="AL220" s="37" t="s">
        <v>2855</v>
      </c>
      <c r="AM220" s="37" t="s">
        <v>2856</v>
      </c>
      <c r="AN220" s="37" t="s">
        <v>50</v>
      </c>
      <c r="AO220" s="43">
        <v>100</v>
      </c>
      <c r="AP220" s="35">
        <v>0</v>
      </c>
      <c r="AQ220" s="35" t="s">
        <v>441</v>
      </c>
      <c r="AR220" s="44">
        <v>21</v>
      </c>
      <c r="AS220" s="37" t="s">
        <v>52</v>
      </c>
    </row>
    <row r="221" spans="1:45" ht="45.75" customHeight="1" x14ac:dyDescent="0.25">
      <c r="A221" s="32" t="s">
        <v>2857</v>
      </c>
      <c r="B221" s="56">
        <v>45358</v>
      </c>
      <c r="C221" s="35">
        <v>1416</v>
      </c>
      <c r="D221" s="36"/>
      <c r="E221" s="1" t="s">
        <v>2858</v>
      </c>
      <c r="F221" s="33">
        <v>45387</v>
      </c>
      <c r="G221" s="35" t="s">
        <v>2859</v>
      </c>
      <c r="H221" s="37" t="s">
        <v>364</v>
      </c>
      <c r="I221" s="58" t="s">
        <v>2847</v>
      </c>
      <c r="J221" s="57">
        <v>3312554902.8000002</v>
      </c>
      <c r="K221" s="40">
        <v>0</v>
      </c>
      <c r="L221" s="41">
        <v>0</v>
      </c>
      <c r="M221" s="57">
        <v>3312554902.8000002</v>
      </c>
      <c r="N221" s="41">
        <v>0</v>
      </c>
      <c r="O221" s="57">
        <v>3312554902.8000002</v>
      </c>
      <c r="P221" s="27">
        <v>3312554902.8000002</v>
      </c>
      <c r="Q221" s="27">
        <v>3312554902.8000002</v>
      </c>
      <c r="R221" s="27">
        <v>3559.82</v>
      </c>
      <c r="S221" s="38">
        <v>3559.82</v>
      </c>
      <c r="T221" s="38">
        <v>71196.400000000009</v>
      </c>
      <c r="U221" s="38">
        <v>930540</v>
      </c>
      <c r="V221" s="38">
        <v>930540</v>
      </c>
      <c r="W221" s="38">
        <v>0</v>
      </c>
      <c r="X221" s="38">
        <v>0</v>
      </c>
      <c r="Y221" s="38">
        <v>0</v>
      </c>
      <c r="Z221" s="38">
        <v>0</v>
      </c>
      <c r="AA221" s="38">
        <v>930540</v>
      </c>
      <c r="AB221" s="38">
        <v>3312554902.8000002</v>
      </c>
      <c r="AC221" s="38">
        <v>46527</v>
      </c>
      <c r="AD221" s="38">
        <v>46527</v>
      </c>
      <c r="AE221" s="33">
        <v>45427</v>
      </c>
      <c r="AF221" s="33"/>
      <c r="AG221" s="33"/>
      <c r="AH221" s="33">
        <v>45458</v>
      </c>
      <c r="AI221" s="33"/>
      <c r="AJ221" s="42"/>
      <c r="AK221" s="37" t="s">
        <v>2848</v>
      </c>
      <c r="AL221" s="37" t="s">
        <v>2860</v>
      </c>
      <c r="AM221" s="37" t="s">
        <v>2861</v>
      </c>
      <c r="AN221" s="37" t="s">
        <v>352</v>
      </c>
      <c r="AO221" s="43">
        <v>0</v>
      </c>
      <c r="AP221" s="35">
        <v>100</v>
      </c>
      <c r="AQ221" s="35" t="s">
        <v>164</v>
      </c>
      <c r="AR221" s="44">
        <v>20</v>
      </c>
      <c r="AS221" s="37" t="s">
        <v>52</v>
      </c>
    </row>
    <row r="222" spans="1:45" ht="58.5" customHeight="1" x14ac:dyDescent="0.25">
      <c r="A222" s="32" t="s">
        <v>2885</v>
      </c>
      <c r="B222" s="56">
        <v>45362</v>
      </c>
      <c r="C222" s="35" t="s">
        <v>2213</v>
      </c>
      <c r="D222" s="36"/>
      <c r="E222" s="1" t="s">
        <v>2886</v>
      </c>
      <c r="F222" s="33">
        <v>45373</v>
      </c>
      <c r="G222" s="35" t="s">
        <v>2887</v>
      </c>
      <c r="H222" s="37" t="s">
        <v>2846</v>
      </c>
      <c r="I222" s="58" t="s">
        <v>2013</v>
      </c>
      <c r="J222" s="57">
        <v>605169.4</v>
      </c>
      <c r="K222" s="40">
        <v>0.5005871083369422</v>
      </c>
      <c r="L222" s="41">
        <v>3029.4000000000233</v>
      </c>
      <c r="M222" s="38">
        <v>602140</v>
      </c>
      <c r="N222" s="41">
        <v>3029.4000000000233</v>
      </c>
      <c r="O222" s="38">
        <v>602140</v>
      </c>
      <c r="P222" s="27">
        <v>602140</v>
      </c>
      <c r="Q222" s="27">
        <v>602140</v>
      </c>
      <c r="R222" s="27">
        <v>3542</v>
      </c>
      <c r="S222" s="38">
        <v>3542</v>
      </c>
      <c r="T222" s="38">
        <v>17710</v>
      </c>
      <c r="U222" s="38">
        <v>170</v>
      </c>
      <c r="V222" s="38">
        <v>55</v>
      </c>
      <c r="W222" s="38">
        <v>115</v>
      </c>
      <c r="X222" s="38">
        <v>0</v>
      </c>
      <c r="Y222" s="38">
        <v>0</v>
      </c>
      <c r="Z222" s="38">
        <v>0</v>
      </c>
      <c r="AA222" s="38">
        <v>170</v>
      </c>
      <c r="AB222" s="38">
        <v>602140</v>
      </c>
      <c r="AC222" s="38">
        <v>34</v>
      </c>
      <c r="AD222" s="38">
        <v>34</v>
      </c>
      <c r="AE222" s="33">
        <v>45427</v>
      </c>
      <c r="AF222" s="33">
        <v>45474</v>
      </c>
      <c r="AG222" s="33"/>
      <c r="AH222" s="33">
        <v>45458</v>
      </c>
      <c r="AI222" s="33">
        <v>45505</v>
      </c>
      <c r="AJ222" s="42"/>
      <c r="AK222" s="37" t="s">
        <v>2848</v>
      </c>
      <c r="AL222" s="37" t="s">
        <v>2888</v>
      </c>
      <c r="AM222" s="37" t="s">
        <v>2850</v>
      </c>
      <c r="AN222" s="37" t="s">
        <v>352</v>
      </c>
      <c r="AO222" s="43">
        <v>0</v>
      </c>
      <c r="AP222" s="35">
        <v>100</v>
      </c>
      <c r="AQ222" s="35" t="s">
        <v>164</v>
      </c>
      <c r="AR222" s="44">
        <v>5</v>
      </c>
      <c r="AS222" s="37" t="s">
        <v>52</v>
      </c>
    </row>
    <row r="223" spans="1:45" ht="58.5" customHeight="1" x14ac:dyDescent="0.25">
      <c r="A223" s="32" t="s">
        <v>2889</v>
      </c>
      <c r="B223" s="56">
        <v>45362</v>
      </c>
      <c r="C223" s="35" t="s">
        <v>2213</v>
      </c>
      <c r="D223" s="36"/>
      <c r="E223" s="1" t="s">
        <v>2890</v>
      </c>
      <c r="F223" s="33">
        <v>45373</v>
      </c>
      <c r="G223" s="35" t="s">
        <v>2891</v>
      </c>
      <c r="H223" s="37" t="s">
        <v>411</v>
      </c>
      <c r="I223" s="58" t="s">
        <v>785</v>
      </c>
      <c r="J223" s="57">
        <v>9498341.1600000001</v>
      </c>
      <c r="K223" s="40">
        <v>0</v>
      </c>
      <c r="L223" s="41">
        <v>0</v>
      </c>
      <c r="M223" s="57">
        <v>9498341.1600000001</v>
      </c>
      <c r="N223" s="41">
        <v>0</v>
      </c>
      <c r="O223" s="57">
        <v>9498341.1600000001</v>
      </c>
      <c r="P223" s="27">
        <v>9498341.1600000001</v>
      </c>
      <c r="Q223" s="27">
        <v>9498341.1600000001</v>
      </c>
      <c r="R223" s="27">
        <v>263842.81</v>
      </c>
      <c r="S223" s="38">
        <v>263842.81</v>
      </c>
      <c r="T223" s="38">
        <v>263842.81</v>
      </c>
      <c r="U223" s="38">
        <v>36</v>
      </c>
      <c r="V223" s="38">
        <v>36</v>
      </c>
      <c r="W223" s="38">
        <v>0</v>
      </c>
      <c r="X223" s="38">
        <v>0</v>
      </c>
      <c r="Y223" s="38">
        <v>26</v>
      </c>
      <c r="Z223" s="38">
        <v>6859913.0599999996</v>
      </c>
      <c r="AA223" s="38">
        <v>10</v>
      </c>
      <c r="AB223" s="38">
        <v>2638428.1</v>
      </c>
      <c r="AC223" s="38">
        <v>36</v>
      </c>
      <c r="AD223" s="38">
        <v>36</v>
      </c>
      <c r="AE223" s="33">
        <v>45474</v>
      </c>
      <c r="AF223" s="33"/>
      <c r="AG223" s="33"/>
      <c r="AH223" s="33">
        <v>45505</v>
      </c>
      <c r="AI223" s="33"/>
      <c r="AJ223" s="42"/>
      <c r="AK223" s="37" t="s">
        <v>786</v>
      </c>
      <c r="AL223" s="37" t="s">
        <v>787</v>
      </c>
      <c r="AM223" s="37" t="s">
        <v>788</v>
      </c>
      <c r="AN223" s="37" t="s">
        <v>326</v>
      </c>
      <c r="AO223" s="43">
        <v>0</v>
      </c>
      <c r="AP223" s="35">
        <v>100</v>
      </c>
      <c r="AQ223" s="35" t="s">
        <v>164</v>
      </c>
      <c r="AR223" s="44">
        <v>1</v>
      </c>
      <c r="AS223" s="37" t="s">
        <v>52</v>
      </c>
    </row>
    <row r="224" spans="1:45" ht="58.5" customHeight="1" x14ac:dyDescent="0.25">
      <c r="A224" s="32" t="s">
        <v>2892</v>
      </c>
      <c r="B224" s="56">
        <v>45362</v>
      </c>
      <c r="C224" s="35" t="s">
        <v>2213</v>
      </c>
      <c r="D224" s="36"/>
      <c r="E224" s="1" t="s">
        <v>2893</v>
      </c>
      <c r="F224" s="33">
        <v>45373</v>
      </c>
      <c r="G224" s="35" t="s">
        <v>2894</v>
      </c>
      <c r="H224" s="37" t="s">
        <v>2176</v>
      </c>
      <c r="I224" s="58" t="s">
        <v>1158</v>
      </c>
      <c r="J224" s="57">
        <v>8252469</v>
      </c>
      <c r="K224" s="40">
        <v>0</v>
      </c>
      <c r="L224" s="41">
        <v>0</v>
      </c>
      <c r="M224" s="57">
        <v>8252469</v>
      </c>
      <c r="N224" s="41">
        <v>0</v>
      </c>
      <c r="O224" s="57">
        <v>8252469</v>
      </c>
      <c r="P224" s="27">
        <v>8252469</v>
      </c>
      <c r="Q224" s="27">
        <v>8252469</v>
      </c>
      <c r="R224" s="27">
        <v>401.58</v>
      </c>
      <c r="S224" s="38">
        <v>401.58</v>
      </c>
      <c r="T224" s="38">
        <v>6023.7</v>
      </c>
      <c r="U224" s="38">
        <v>20550</v>
      </c>
      <c r="V224" s="38">
        <v>20550</v>
      </c>
      <c r="W224" s="38">
        <v>0</v>
      </c>
      <c r="X224" s="38">
        <v>0</v>
      </c>
      <c r="Y224" s="38">
        <v>20550</v>
      </c>
      <c r="Z224" s="38">
        <v>8252469</v>
      </c>
      <c r="AA224" s="38">
        <v>0</v>
      </c>
      <c r="AB224" s="38">
        <v>0</v>
      </c>
      <c r="AC224" s="38">
        <v>1370</v>
      </c>
      <c r="AD224" s="38">
        <v>1370</v>
      </c>
      <c r="AE224" s="33">
        <v>45505</v>
      </c>
      <c r="AF224" s="33"/>
      <c r="AG224" s="33"/>
      <c r="AH224" s="33">
        <v>45536</v>
      </c>
      <c r="AI224" s="33"/>
      <c r="AJ224" s="42"/>
      <c r="AK224" s="37" t="s">
        <v>2798</v>
      </c>
      <c r="AL224" s="37" t="s">
        <v>2895</v>
      </c>
      <c r="AM224" s="37" t="s">
        <v>2800</v>
      </c>
      <c r="AN224" s="37" t="s">
        <v>50</v>
      </c>
      <c r="AO224" s="43">
        <v>100</v>
      </c>
      <c r="AP224" s="35">
        <v>0</v>
      </c>
      <c r="AQ224" s="35" t="s">
        <v>164</v>
      </c>
      <c r="AR224" s="44">
        <v>15</v>
      </c>
      <c r="AS224" s="37" t="s">
        <v>52</v>
      </c>
    </row>
    <row r="225" spans="1:45" ht="45.75" customHeight="1" x14ac:dyDescent="0.25">
      <c r="A225" s="32" t="s">
        <v>2918</v>
      </c>
      <c r="B225" s="56">
        <v>45362</v>
      </c>
      <c r="C225" s="35">
        <v>1416</v>
      </c>
      <c r="D225" s="36"/>
      <c r="E225" s="1" t="s">
        <v>2919</v>
      </c>
      <c r="F225" s="33">
        <v>45383</v>
      </c>
      <c r="G225" s="35" t="s">
        <v>2920</v>
      </c>
      <c r="H225" s="37" t="s">
        <v>364</v>
      </c>
      <c r="I225" s="58" t="s">
        <v>2013</v>
      </c>
      <c r="J225" s="57">
        <v>187050741.90000001</v>
      </c>
      <c r="K225" s="40">
        <v>0</v>
      </c>
      <c r="L225" s="41">
        <v>0</v>
      </c>
      <c r="M225" s="57">
        <v>187050741.90000001</v>
      </c>
      <c r="N225" s="41">
        <v>0</v>
      </c>
      <c r="O225" s="57">
        <v>187050741.90000001</v>
      </c>
      <c r="P225" s="27">
        <v>187050741.90000001</v>
      </c>
      <c r="Q225" s="27">
        <v>187050741.90000001</v>
      </c>
      <c r="R225" s="27">
        <v>3559.82</v>
      </c>
      <c r="S225" s="38">
        <v>3559.82</v>
      </c>
      <c r="T225" s="38">
        <v>17799.100000000002</v>
      </c>
      <c r="U225" s="38">
        <v>52545</v>
      </c>
      <c r="V225" s="38">
        <v>52545</v>
      </c>
      <c r="W225" s="38">
        <v>0</v>
      </c>
      <c r="X225" s="38">
        <v>0</v>
      </c>
      <c r="Y225" s="38">
        <v>0</v>
      </c>
      <c r="Z225" s="38">
        <v>0</v>
      </c>
      <c r="AA225" s="38">
        <v>52545</v>
      </c>
      <c r="AB225" s="38">
        <v>187050741.90000001</v>
      </c>
      <c r="AC225" s="38">
        <v>10509</v>
      </c>
      <c r="AD225" s="38">
        <v>10509</v>
      </c>
      <c r="AE225" s="33">
        <v>45444</v>
      </c>
      <c r="AF225" s="33"/>
      <c r="AG225" s="33"/>
      <c r="AH225" s="33">
        <v>45474</v>
      </c>
      <c r="AI225" s="33"/>
      <c r="AJ225" s="42"/>
      <c r="AK225" s="37" t="s">
        <v>2921</v>
      </c>
      <c r="AL225" s="37" t="s">
        <v>2922</v>
      </c>
      <c r="AM225" s="37" t="s">
        <v>2923</v>
      </c>
      <c r="AN225" s="37" t="s">
        <v>352</v>
      </c>
      <c r="AO225" s="43">
        <v>0</v>
      </c>
      <c r="AP225" s="35">
        <v>100</v>
      </c>
      <c r="AQ225" s="35" t="s">
        <v>164</v>
      </c>
      <c r="AR225" s="44">
        <v>5</v>
      </c>
      <c r="AS225" s="37" t="s">
        <v>52</v>
      </c>
    </row>
    <row r="226" spans="1:45" ht="56.25" customHeight="1" x14ac:dyDescent="0.25">
      <c r="A226" s="32" t="s">
        <v>2978</v>
      </c>
      <c r="B226" s="33">
        <v>45369</v>
      </c>
      <c r="C226" s="35">
        <v>1416</v>
      </c>
      <c r="D226" s="36"/>
      <c r="E226" s="1" t="s">
        <v>2979</v>
      </c>
      <c r="F226" s="33">
        <v>45397</v>
      </c>
      <c r="G226" s="35" t="s">
        <v>2980</v>
      </c>
      <c r="H226" s="37" t="s">
        <v>411</v>
      </c>
      <c r="I226" s="37" t="s">
        <v>785</v>
      </c>
      <c r="J226" s="38">
        <v>696281175.59000003</v>
      </c>
      <c r="K226" s="40">
        <v>0</v>
      </c>
      <c r="L226" s="41">
        <v>0</v>
      </c>
      <c r="M226" s="38">
        <v>696281175.59000003</v>
      </c>
      <c r="N226" s="41">
        <v>0</v>
      </c>
      <c r="O226" s="38">
        <v>696281175.59000003</v>
      </c>
      <c r="P226" s="27">
        <v>696281175.59000003</v>
      </c>
      <c r="Q226" s="27">
        <v>696281175.59000003</v>
      </c>
      <c r="R226" s="27">
        <v>263842.81</v>
      </c>
      <c r="S226" s="38">
        <v>263842.81</v>
      </c>
      <c r="T226" s="38">
        <v>263842.81</v>
      </c>
      <c r="U226" s="38">
        <v>2639</v>
      </c>
      <c r="V226" s="38">
        <v>2639</v>
      </c>
      <c r="W226" s="38">
        <v>0</v>
      </c>
      <c r="X226" s="38">
        <v>0</v>
      </c>
      <c r="Y226" s="38">
        <v>1449</v>
      </c>
      <c r="Z226" s="38">
        <v>382308231.69</v>
      </c>
      <c r="AA226" s="38">
        <v>1190</v>
      </c>
      <c r="AB226" s="38">
        <v>313972943.89999998</v>
      </c>
      <c r="AC226" s="38">
        <v>2639</v>
      </c>
      <c r="AD226" s="38">
        <v>2639</v>
      </c>
      <c r="AE226" s="33">
        <v>45474</v>
      </c>
      <c r="AF226" s="33"/>
      <c r="AG226" s="33"/>
      <c r="AH226" s="33">
        <v>45505</v>
      </c>
      <c r="AI226" s="33"/>
      <c r="AJ226" s="42"/>
      <c r="AK226" s="37" t="s">
        <v>786</v>
      </c>
      <c r="AL226" s="37" t="s">
        <v>787</v>
      </c>
      <c r="AM226" s="37" t="s">
        <v>788</v>
      </c>
      <c r="AN226" s="37" t="s">
        <v>326</v>
      </c>
      <c r="AO226" s="43">
        <v>0</v>
      </c>
      <c r="AP226" s="35">
        <v>100</v>
      </c>
      <c r="AQ226" s="35" t="s">
        <v>164</v>
      </c>
      <c r="AR226" s="44">
        <v>1</v>
      </c>
      <c r="AS226" s="37" t="s">
        <v>52</v>
      </c>
    </row>
    <row r="227" spans="1:45" ht="56.25" customHeight="1" x14ac:dyDescent="0.25">
      <c r="A227" s="32" t="s">
        <v>2989</v>
      </c>
      <c r="B227" s="33">
        <v>45369</v>
      </c>
      <c r="C227" s="35" t="s">
        <v>2213</v>
      </c>
      <c r="D227" s="36"/>
      <c r="E227" s="1" t="s">
        <v>2990</v>
      </c>
      <c r="F227" s="33">
        <v>45379</v>
      </c>
      <c r="G227" s="35" t="s">
        <v>2991</v>
      </c>
      <c r="H227" s="37" t="s">
        <v>1847</v>
      </c>
      <c r="I227" s="37" t="s">
        <v>2992</v>
      </c>
      <c r="J227" s="38">
        <v>534394.07999999996</v>
      </c>
      <c r="K227" s="40">
        <v>4.491067715246524E-5</v>
      </c>
      <c r="L227" s="41">
        <v>0.23999999999068677</v>
      </c>
      <c r="M227" s="38">
        <v>534393.84</v>
      </c>
      <c r="N227" s="41">
        <v>0.23999999999068677</v>
      </c>
      <c r="O227" s="38">
        <v>534393.84</v>
      </c>
      <c r="P227" s="27">
        <v>534393.84</v>
      </c>
      <c r="Q227" s="27">
        <v>534393.84</v>
      </c>
      <c r="R227" s="27">
        <v>222664.1</v>
      </c>
      <c r="S227" s="38">
        <v>222664.1</v>
      </c>
      <c r="T227" s="38" t="e">
        <v>#VALUE!</v>
      </c>
      <c r="U227" s="38">
        <v>2.4</v>
      </c>
      <c r="V227" s="38">
        <v>2.4</v>
      </c>
      <c r="W227" s="38">
        <v>0</v>
      </c>
      <c r="X227" s="38">
        <v>0</v>
      </c>
      <c r="Y227" s="38">
        <v>0</v>
      </c>
      <c r="Z227" s="38">
        <v>0</v>
      </c>
      <c r="AA227" s="38">
        <v>2.4</v>
      </c>
      <c r="AB227" s="38">
        <v>534393.84</v>
      </c>
      <c r="AC227" s="38" t="e">
        <v>#VALUE!</v>
      </c>
      <c r="AD227" s="38" t="e">
        <v>#VALUE!</v>
      </c>
      <c r="AE227" s="33">
        <v>45444</v>
      </c>
      <c r="AF227" s="33"/>
      <c r="AG227" s="33"/>
      <c r="AH227" s="33">
        <v>45474</v>
      </c>
      <c r="AI227" s="33"/>
      <c r="AJ227" s="42"/>
      <c r="AK227" s="37" t="s">
        <v>794</v>
      </c>
      <c r="AL227" s="37" t="s">
        <v>2993</v>
      </c>
      <c r="AM227" s="37" t="s">
        <v>2994</v>
      </c>
      <c r="AN227" s="37" t="s">
        <v>174</v>
      </c>
      <c r="AO227" s="43">
        <v>0</v>
      </c>
      <c r="AP227" s="35">
        <v>100</v>
      </c>
      <c r="AQ227" s="35" t="s">
        <v>164</v>
      </c>
      <c r="AR227" s="48" t="s">
        <v>2995</v>
      </c>
      <c r="AS227" s="37" t="s">
        <v>52</v>
      </c>
    </row>
    <row r="228" spans="1:45" ht="56.25" customHeight="1" x14ac:dyDescent="0.25">
      <c r="A228" s="32" t="s">
        <v>3020</v>
      </c>
      <c r="B228" s="56">
        <v>45369</v>
      </c>
      <c r="C228" s="35">
        <v>1416</v>
      </c>
      <c r="D228" s="36"/>
      <c r="E228" s="1" t="s">
        <v>3021</v>
      </c>
      <c r="F228" s="33">
        <v>45390</v>
      </c>
      <c r="G228" s="35" t="s">
        <v>3022</v>
      </c>
      <c r="H228" s="37" t="s">
        <v>364</v>
      </c>
      <c r="I228" s="58" t="s">
        <v>2992</v>
      </c>
      <c r="J228" s="57">
        <v>63325698.479999997</v>
      </c>
      <c r="K228" s="40">
        <v>0</v>
      </c>
      <c r="L228" s="41">
        <v>0</v>
      </c>
      <c r="M228" s="57">
        <v>63325698.479999997</v>
      </c>
      <c r="N228" s="41">
        <v>0</v>
      </c>
      <c r="O228" s="57">
        <v>63325698.479999997</v>
      </c>
      <c r="P228" s="27">
        <v>63325698.479999997</v>
      </c>
      <c r="Q228" s="27">
        <v>63325698.479999997</v>
      </c>
      <c r="R228" s="27">
        <v>222664.2</v>
      </c>
      <c r="S228" s="38">
        <v>222664.2</v>
      </c>
      <c r="T228" s="38">
        <v>267197.03999999998</v>
      </c>
      <c r="U228" s="38">
        <v>284.39999999999998</v>
      </c>
      <c r="V228" s="38">
        <v>284.39999999999998</v>
      </c>
      <c r="W228" s="38">
        <v>0</v>
      </c>
      <c r="X228" s="38">
        <v>0</v>
      </c>
      <c r="Y228" s="38">
        <v>0</v>
      </c>
      <c r="Z228" s="38">
        <v>0</v>
      </c>
      <c r="AA228" s="38">
        <v>284.39999999999998</v>
      </c>
      <c r="AB228" s="38">
        <v>63325698.479999997</v>
      </c>
      <c r="AC228" s="38">
        <v>237</v>
      </c>
      <c r="AD228" s="38">
        <v>237</v>
      </c>
      <c r="AE228" s="33">
        <v>45444</v>
      </c>
      <c r="AF228" s="33"/>
      <c r="AG228" s="33"/>
      <c r="AH228" s="33">
        <v>45474</v>
      </c>
      <c r="AI228" s="33"/>
      <c r="AJ228" s="42"/>
      <c r="AK228" s="37" t="s">
        <v>794</v>
      </c>
      <c r="AL228" s="37" t="s">
        <v>3023</v>
      </c>
      <c r="AM228" s="37" t="s">
        <v>3023</v>
      </c>
      <c r="AN228" s="37" t="s">
        <v>174</v>
      </c>
      <c r="AO228" s="43">
        <v>0</v>
      </c>
      <c r="AP228" s="35">
        <v>100</v>
      </c>
      <c r="AQ228" s="35" t="s">
        <v>164</v>
      </c>
      <c r="AR228" s="49">
        <v>1.2</v>
      </c>
      <c r="AS228" s="37" t="s">
        <v>52</v>
      </c>
    </row>
    <row r="229" spans="1:45" ht="56.25" customHeight="1" x14ac:dyDescent="0.25">
      <c r="A229" s="32" t="s">
        <v>3026</v>
      </c>
      <c r="B229" s="56">
        <v>45370</v>
      </c>
      <c r="C229" s="35" t="s">
        <v>2213</v>
      </c>
      <c r="D229" s="36"/>
      <c r="E229" s="1" t="s">
        <v>3027</v>
      </c>
      <c r="F229" s="33"/>
      <c r="G229" s="35"/>
      <c r="H229" s="37"/>
      <c r="I229" s="64" t="s">
        <v>1191</v>
      </c>
      <c r="J229" s="57">
        <v>2041600</v>
      </c>
      <c r="K229" s="40">
        <v>100</v>
      </c>
      <c r="L229" s="41">
        <v>2041600</v>
      </c>
      <c r="M229" s="38"/>
      <c r="N229" s="41">
        <v>2041600</v>
      </c>
      <c r="O229" s="38">
        <v>0</v>
      </c>
      <c r="P229" s="27">
        <v>0</v>
      </c>
      <c r="Q229" s="27">
        <v>0</v>
      </c>
      <c r="R229" s="27" t="e">
        <v>#DIV/0!</v>
      </c>
      <c r="S229" s="38" t="e">
        <v>#DIV/0!</v>
      </c>
      <c r="T229" s="38" t="e">
        <v>#DIV/0!</v>
      </c>
      <c r="U229" s="38">
        <v>0</v>
      </c>
      <c r="V229" s="38">
        <v>0</v>
      </c>
      <c r="W229" s="38">
        <v>0</v>
      </c>
      <c r="X229" s="38">
        <v>0</v>
      </c>
      <c r="Y229" s="38"/>
      <c r="Z229" s="38" t="e">
        <v>#DIV/0!</v>
      </c>
      <c r="AA229" s="38"/>
      <c r="AB229" s="38" t="e">
        <v>#DIV/0!</v>
      </c>
      <c r="AC229" s="38" t="e">
        <v>#DIV/0!</v>
      </c>
      <c r="AD229" s="38" t="e">
        <v>#DIV/0!</v>
      </c>
      <c r="AE229" s="33">
        <v>45458</v>
      </c>
      <c r="AF229" s="33"/>
      <c r="AG229" s="33"/>
      <c r="AH229" s="33"/>
      <c r="AI229" s="33"/>
      <c r="AJ229" s="42"/>
      <c r="AK229" s="37"/>
      <c r="AL229" s="37"/>
      <c r="AM229" s="37"/>
      <c r="AN229" s="37"/>
      <c r="AO229" s="43"/>
      <c r="AP229" s="35"/>
      <c r="AQ229" s="35"/>
      <c r="AR229" s="44"/>
      <c r="AS229" s="37"/>
    </row>
    <row r="230" spans="1:45" ht="60" customHeight="1" x14ac:dyDescent="0.25">
      <c r="A230" s="32" t="s">
        <v>3154</v>
      </c>
      <c r="B230" s="56">
        <v>45373</v>
      </c>
      <c r="C230" s="35" t="s">
        <v>2213</v>
      </c>
      <c r="D230" s="36"/>
      <c r="E230" s="1" t="s">
        <v>3155</v>
      </c>
      <c r="F230" s="33">
        <v>45387</v>
      </c>
      <c r="G230" s="32" t="s">
        <v>3156</v>
      </c>
      <c r="H230" s="37" t="s">
        <v>1847</v>
      </c>
      <c r="I230" s="58" t="s">
        <v>306</v>
      </c>
      <c r="J230" s="57">
        <v>367037.44</v>
      </c>
      <c r="K230" s="40">
        <v>15.000213602187292</v>
      </c>
      <c r="L230" s="41">
        <v>55056.400000000023</v>
      </c>
      <c r="M230" s="38">
        <v>311981.03999999998</v>
      </c>
      <c r="N230" s="41">
        <v>55056.400000000023</v>
      </c>
      <c r="O230" s="38">
        <v>311981.03999999998</v>
      </c>
      <c r="P230" s="27">
        <v>311981.03999999998</v>
      </c>
      <c r="Q230" s="27">
        <v>311981.03999999998</v>
      </c>
      <c r="R230" s="27">
        <v>795.86999999999989</v>
      </c>
      <c r="S230" s="38">
        <v>795.86999999999989</v>
      </c>
      <c r="T230" s="38">
        <v>22284.359999999997</v>
      </c>
      <c r="U230" s="38">
        <v>392</v>
      </c>
      <c r="V230" s="38">
        <v>392</v>
      </c>
      <c r="W230" s="38">
        <v>0</v>
      </c>
      <c r="X230" s="38">
        <v>0</v>
      </c>
      <c r="Y230" s="38">
        <v>224</v>
      </c>
      <c r="Z230" s="38">
        <v>178274.87999999998</v>
      </c>
      <c r="AA230" s="38">
        <v>168</v>
      </c>
      <c r="AB230" s="38">
        <v>133706.15999999997</v>
      </c>
      <c r="AC230" s="38">
        <v>14</v>
      </c>
      <c r="AD230" s="38">
        <v>14</v>
      </c>
      <c r="AE230" s="33">
        <v>45444</v>
      </c>
      <c r="AF230" s="33"/>
      <c r="AG230" s="33"/>
      <c r="AH230" s="33">
        <v>45474</v>
      </c>
      <c r="AI230" s="33"/>
      <c r="AJ230" s="42"/>
      <c r="AK230" s="37" t="s">
        <v>307</v>
      </c>
      <c r="AL230" s="37" t="s">
        <v>308</v>
      </c>
      <c r="AM230" s="37" t="s">
        <v>309</v>
      </c>
      <c r="AN230" s="37" t="s">
        <v>50</v>
      </c>
      <c r="AO230" s="43">
        <v>100</v>
      </c>
      <c r="AP230" s="35">
        <v>0</v>
      </c>
      <c r="AQ230" s="35" t="s">
        <v>441</v>
      </c>
      <c r="AR230" s="44">
        <v>28</v>
      </c>
      <c r="AS230" s="37" t="s">
        <v>52</v>
      </c>
    </row>
    <row r="231" spans="1:45" ht="60" customHeight="1" x14ac:dyDescent="0.25">
      <c r="A231" s="32" t="s">
        <v>3168</v>
      </c>
      <c r="B231" s="56">
        <v>45373</v>
      </c>
      <c r="C231" s="35">
        <v>1416</v>
      </c>
      <c r="D231" s="36"/>
      <c r="E231" s="1" t="s">
        <v>3169</v>
      </c>
      <c r="F231" s="33">
        <v>45397</v>
      </c>
      <c r="G231" s="35" t="s">
        <v>3170</v>
      </c>
      <c r="H231" s="37" t="s">
        <v>291</v>
      </c>
      <c r="I231" s="58" t="s">
        <v>306</v>
      </c>
      <c r="J231" s="57">
        <v>269756948.72000003</v>
      </c>
      <c r="K231" s="40">
        <v>94.513053950886928</v>
      </c>
      <c r="L231" s="41">
        <v>254955530.48000002</v>
      </c>
      <c r="M231" s="38">
        <v>14801418.24</v>
      </c>
      <c r="N231" s="41">
        <v>254955530.48000002</v>
      </c>
      <c r="O231" s="38">
        <v>14801418.24</v>
      </c>
      <c r="P231" s="27">
        <v>14801418.24</v>
      </c>
      <c r="Q231" s="27">
        <v>14801418.24</v>
      </c>
      <c r="R231" s="27">
        <v>53.76</v>
      </c>
      <c r="S231" s="38">
        <v>53.76</v>
      </c>
      <c r="T231" s="38">
        <v>1505.28</v>
      </c>
      <c r="U231" s="38">
        <v>275324</v>
      </c>
      <c r="V231" s="38">
        <v>275324</v>
      </c>
      <c r="W231" s="38">
        <v>0</v>
      </c>
      <c r="X231" s="38">
        <v>0</v>
      </c>
      <c r="Y231" s="38">
        <v>3220</v>
      </c>
      <c r="Z231" s="38">
        <v>173107.19999999998</v>
      </c>
      <c r="AA231" s="38">
        <v>272104</v>
      </c>
      <c r="AB231" s="38">
        <v>14628311.039999999</v>
      </c>
      <c r="AC231" s="38">
        <v>9833</v>
      </c>
      <c r="AD231" s="38">
        <v>9833</v>
      </c>
      <c r="AE231" s="33">
        <v>45444</v>
      </c>
      <c r="AF231" s="33"/>
      <c r="AG231" s="33"/>
      <c r="AH231" s="33">
        <v>45474</v>
      </c>
      <c r="AI231" s="33"/>
      <c r="AJ231" s="42"/>
      <c r="AK231" s="37" t="s">
        <v>3171</v>
      </c>
      <c r="AL231" s="37" t="s">
        <v>3172</v>
      </c>
      <c r="AM231" s="37" t="s">
        <v>3173</v>
      </c>
      <c r="AN231" s="37" t="s">
        <v>50</v>
      </c>
      <c r="AO231" s="43">
        <v>100</v>
      </c>
      <c r="AP231" s="35">
        <v>0</v>
      </c>
      <c r="AQ231" s="35" t="s">
        <v>441</v>
      </c>
      <c r="AR231" s="44">
        <v>28</v>
      </c>
      <c r="AS231" s="37" t="s">
        <v>52</v>
      </c>
    </row>
    <row r="232" spans="1:45" ht="60" customHeight="1" x14ac:dyDescent="0.25">
      <c r="A232" s="32" t="s">
        <v>3174</v>
      </c>
      <c r="B232" s="56">
        <v>45373</v>
      </c>
      <c r="C232" s="35">
        <v>1416</v>
      </c>
      <c r="D232" s="36"/>
      <c r="E232" s="1" t="s">
        <v>3175</v>
      </c>
      <c r="F232" s="33">
        <v>45397</v>
      </c>
      <c r="G232" s="35" t="s">
        <v>3176</v>
      </c>
      <c r="H232" s="37" t="s">
        <v>291</v>
      </c>
      <c r="I232" s="59" t="s">
        <v>3177</v>
      </c>
      <c r="J232" s="57">
        <v>2412345</v>
      </c>
      <c r="K232" s="40">
        <v>0</v>
      </c>
      <c r="L232" s="41">
        <v>0</v>
      </c>
      <c r="M232" s="57">
        <v>2412345</v>
      </c>
      <c r="N232" s="41">
        <v>0</v>
      </c>
      <c r="O232" s="57">
        <v>2412345</v>
      </c>
      <c r="P232" s="27">
        <v>2412345</v>
      </c>
      <c r="Q232" s="27">
        <v>2412345</v>
      </c>
      <c r="R232" s="27">
        <v>23.14</v>
      </c>
      <c r="S232" s="38">
        <v>23.14</v>
      </c>
      <c r="T232" s="38" t="e">
        <v>#VALUE!</v>
      </c>
      <c r="U232" s="38">
        <v>104250</v>
      </c>
      <c r="V232" s="38">
        <v>104250</v>
      </c>
      <c r="W232" s="38">
        <v>0</v>
      </c>
      <c r="X232" s="38">
        <v>0</v>
      </c>
      <c r="Y232" s="38">
        <v>0</v>
      </c>
      <c r="Z232" s="38">
        <v>0</v>
      </c>
      <c r="AA232" s="38">
        <v>104250</v>
      </c>
      <c r="AB232" s="38">
        <v>2412345</v>
      </c>
      <c r="AC232" s="38" t="e">
        <v>#VALUE!</v>
      </c>
      <c r="AD232" s="38" t="e">
        <v>#VALUE!</v>
      </c>
      <c r="AE232" s="33">
        <v>45505</v>
      </c>
      <c r="AF232" s="33"/>
      <c r="AG232" s="33"/>
      <c r="AH232" s="33">
        <v>45536</v>
      </c>
      <c r="AI232" s="33"/>
      <c r="AJ232" s="42"/>
      <c r="AK232" s="37" t="s">
        <v>3178</v>
      </c>
      <c r="AL232" s="37" t="s">
        <v>3179</v>
      </c>
      <c r="AM232" s="37" t="s">
        <v>3180</v>
      </c>
      <c r="AN232" s="37" t="s">
        <v>50</v>
      </c>
      <c r="AO232" s="43">
        <v>100</v>
      </c>
      <c r="AP232" s="35">
        <v>0</v>
      </c>
      <c r="AQ232" s="35" t="s">
        <v>441</v>
      </c>
      <c r="AR232" s="48" t="s">
        <v>3181</v>
      </c>
      <c r="AS232" s="37" t="s">
        <v>52</v>
      </c>
    </row>
    <row r="233" spans="1:45" ht="59.25" customHeight="1" x14ac:dyDescent="0.25">
      <c r="A233" s="32" t="s">
        <v>3200</v>
      </c>
      <c r="B233" s="56">
        <v>45376</v>
      </c>
      <c r="C233" s="35" t="s">
        <v>2213</v>
      </c>
      <c r="D233" s="36"/>
      <c r="E233" s="1" t="s">
        <v>3201</v>
      </c>
      <c r="F233" s="33">
        <v>45387</v>
      </c>
      <c r="G233" s="35" t="s">
        <v>3202</v>
      </c>
      <c r="H233" s="37" t="s">
        <v>719</v>
      </c>
      <c r="I233" s="58" t="s">
        <v>1114</v>
      </c>
      <c r="J233" s="57">
        <v>2419032</v>
      </c>
      <c r="K233" s="40">
        <v>0</v>
      </c>
      <c r="L233" s="41">
        <v>0</v>
      </c>
      <c r="M233" s="57">
        <v>2419032</v>
      </c>
      <c r="N233" s="41">
        <v>0</v>
      </c>
      <c r="O233" s="57">
        <v>2419032</v>
      </c>
      <c r="P233" s="27">
        <v>2419032</v>
      </c>
      <c r="Q233" s="27">
        <v>2419032</v>
      </c>
      <c r="R233" s="27">
        <v>183.26</v>
      </c>
      <c r="S233" s="38">
        <v>183.26</v>
      </c>
      <c r="T233" s="38">
        <v>73304</v>
      </c>
      <c r="U233" s="38">
        <v>13200</v>
      </c>
      <c r="V233" s="38">
        <v>13200</v>
      </c>
      <c r="W233" s="38">
        <v>0</v>
      </c>
      <c r="X233" s="38">
        <v>0</v>
      </c>
      <c r="Y233" s="38">
        <v>0</v>
      </c>
      <c r="Z233" s="38">
        <v>0</v>
      </c>
      <c r="AA233" s="38">
        <v>13200</v>
      </c>
      <c r="AB233" s="38">
        <v>2419032</v>
      </c>
      <c r="AC233" s="38">
        <v>33</v>
      </c>
      <c r="AD233" s="38">
        <v>33</v>
      </c>
      <c r="AE233" s="33">
        <v>45444</v>
      </c>
      <c r="AF233" s="33"/>
      <c r="AG233" s="33"/>
      <c r="AH233" s="33">
        <v>45474</v>
      </c>
      <c r="AI233" s="33"/>
      <c r="AJ233" s="42"/>
      <c r="AK233" s="37" t="s">
        <v>1115</v>
      </c>
      <c r="AL233" s="37" t="s">
        <v>1116</v>
      </c>
      <c r="AM233" s="37" t="s">
        <v>3203</v>
      </c>
      <c r="AN233" s="37" t="s">
        <v>174</v>
      </c>
      <c r="AO233" s="43">
        <v>0</v>
      </c>
      <c r="AP233" s="35">
        <v>100</v>
      </c>
      <c r="AQ233" s="35" t="s">
        <v>1118</v>
      </c>
      <c r="AR233" s="44">
        <v>400</v>
      </c>
      <c r="AS233" s="37" t="s">
        <v>52</v>
      </c>
    </row>
    <row r="234" spans="1:45" ht="59.25" customHeight="1" x14ac:dyDescent="0.25">
      <c r="A234" s="32" t="s">
        <v>3204</v>
      </c>
      <c r="B234" s="56">
        <v>45376</v>
      </c>
      <c r="C234" s="35">
        <v>1416</v>
      </c>
      <c r="D234" s="36"/>
      <c r="E234" s="1" t="s">
        <v>3205</v>
      </c>
      <c r="F234" s="33">
        <v>45397</v>
      </c>
      <c r="G234" s="35" t="s">
        <v>3206</v>
      </c>
      <c r="H234" s="37" t="s">
        <v>169</v>
      </c>
      <c r="I234" s="58" t="s">
        <v>1114</v>
      </c>
      <c r="J234" s="57">
        <v>129894688</v>
      </c>
      <c r="K234" s="40">
        <v>0</v>
      </c>
      <c r="L234" s="41">
        <v>0</v>
      </c>
      <c r="M234" s="57">
        <v>129894688</v>
      </c>
      <c r="N234" s="41">
        <v>0</v>
      </c>
      <c r="O234" s="57">
        <v>129894688</v>
      </c>
      <c r="P234" s="27">
        <v>129894688</v>
      </c>
      <c r="Q234" s="27">
        <v>129894688</v>
      </c>
      <c r="R234" s="27">
        <v>183.26</v>
      </c>
      <c r="S234" s="38">
        <v>183.26</v>
      </c>
      <c r="T234" s="38">
        <v>73304</v>
      </c>
      <c r="U234" s="38">
        <v>708800</v>
      </c>
      <c r="V234" s="38">
        <v>708800</v>
      </c>
      <c r="W234" s="38">
        <v>0</v>
      </c>
      <c r="X234" s="38">
        <v>0</v>
      </c>
      <c r="Y234" s="38">
        <v>0</v>
      </c>
      <c r="Z234" s="38">
        <v>0</v>
      </c>
      <c r="AA234" s="38">
        <v>708800</v>
      </c>
      <c r="AB234" s="38">
        <v>129894688</v>
      </c>
      <c r="AC234" s="38">
        <v>1772</v>
      </c>
      <c r="AD234" s="38">
        <v>1772</v>
      </c>
      <c r="AE234" s="33">
        <v>45444</v>
      </c>
      <c r="AF234" s="33"/>
      <c r="AG234" s="33"/>
      <c r="AH234" s="33">
        <v>45474</v>
      </c>
      <c r="AI234" s="33"/>
      <c r="AJ234" s="42"/>
      <c r="AK234" s="37" t="s">
        <v>3207</v>
      </c>
      <c r="AL234" s="37" t="s">
        <v>3208</v>
      </c>
      <c r="AM234" s="37" t="s">
        <v>3209</v>
      </c>
      <c r="AN234" s="37" t="s">
        <v>174</v>
      </c>
      <c r="AO234" s="43">
        <v>0</v>
      </c>
      <c r="AP234" s="35">
        <v>100</v>
      </c>
      <c r="AQ234" s="35" t="s">
        <v>1118</v>
      </c>
      <c r="AR234" s="44">
        <v>400</v>
      </c>
      <c r="AS234" s="37" t="s">
        <v>52</v>
      </c>
    </row>
    <row r="235" spans="1:45" ht="48" customHeight="1" x14ac:dyDescent="0.25">
      <c r="A235" s="32" t="s">
        <v>3305</v>
      </c>
      <c r="B235" s="56">
        <v>45392</v>
      </c>
      <c r="C235" s="35">
        <v>1416</v>
      </c>
      <c r="D235" s="36"/>
      <c r="E235" s="37"/>
      <c r="F235" s="33"/>
      <c r="G235" s="35"/>
      <c r="H235" s="37"/>
      <c r="I235" s="59" t="s">
        <v>3306</v>
      </c>
      <c r="J235" s="57">
        <v>28214993.25</v>
      </c>
      <c r="K235" s="40">
        <v>100</v>
      </c>
      <c r="L235" s="41">
        <v>28214993.25</v>
      </c>
      <c r="M235" s="38"/>
      <c r="N235" s="41">
        <v>28214993.25</v>
      </c>
      <c r="O235" s="38">
        <v>0</v>
      </c>
      <c r="P235" s="27">
        <v>0</v>
      </c>
      <c r="Q235" s="27">
        <v>0</v>
      </c>
      <c r="R235" s="27" t="e">
        <v>#DIV/0!</v>
      </c>
      <c r="S235" s="38" t="e">
        <v>#DIV/0!</v>
      </c>
      <c r="T235" s="38" t="e">
        <v>#DIV/0!</v>
      </c>
      <c r="U235" s="38">
        <v>0</v>
      </c>
      <c r="V235" s="38">
        <v>0</v>
      </c>
      <c r="W235" s="38">
        <v>0</v>
      </c>
      <c r="X235" s="38">
        <v>0</v>
      </c>
      <c r="Y235" s="38"/>
      <c r="Z235" s="38" t="e">
        <v>#DIV/0!</v>
      </c>
      <c r="AA235" s="38"/>
      <c r="AB235" s="38" t="e">
        <v>#DIV/0!</v>
      </c>
      <c r="AC235" s="38" t="e">
        <v>#DIV/0!</v>
      </c>
      <c r="AD235" s="38" t="e">
        <v>#DIV/0!</v>
      </c>
      <c r="AE235" s="33">
        <v>45488</v>
      </c>
      <c r="AF235" s="33"/>
      <c r="AG235" s="33"/>
      <c r="AH235" s="33"/>
      <c r="AI235" s="33"/>
      <c r="AJ235" s="42"/>
      <c r="AK235" s="37"/>
      <c r="AL235" s="37"/>
      <c r="AM235" s="37"/>
      <c r="AN235" s="37"/>
      <c r="AO235" s="43"/>
      <c r="AP235" s="35"/>
      <c r="AQ235" s="35"/>
      <c r="AR235" s="44"/>
      <c r="AS235" s="37"/>
    </row>
    <row r="236" spans="1:45" ht="48" customHeight="1" x14ac:dyDescent="0.25">
      <c r="A236" s="32" t="s">
        <v>3308</v>
      </c>
      <c r="B236" s="56">
        <v>45392</v>
      </c>
      <c r="C236" s="35">
        <v>1416</v>
      </c>
      <c r="D236" s="36"/>
      <c r="E236" s="37"/>
      <c r="F236" s="33"/>
      <c r="G236" s="35"/>
      <c r="H236" s="37"/>
      <c r="I236" s="58" t="s">
        <v>3309</v>
      </c>
      <c r="J236" s="57">
        <v>26765560</v>
      </c>
      <c r="K236" s="40">
        <v>100</v>
      </c>
      <c r="L236" s="41">
        <v>26765560</v>
      </c>
      <c r="M236" s="38"/>
      <c r="N236" s="41">
        <v>26765560</v>
      </c>
      <c r="O236" s="38">
        <v>0</v>
      </c>
      <c r="P236" s="27">
        <v>0</v>
      </c>
      <c r="Q236" s="27">
        <v>0</v>
      </c>
      <c r="R236" s="27" t="e">
        <v>#DIV/0!</v>
      </c>
      <c r="S236" s="38" t="e">
        <v>#DIV/0!</v>
      </c>
      <c r="T236" s="38" t="e">
        <v>#DIV/0!</v>
      </c>
      <c r="U236" s="38">
        <v>0</v>
      </c>
      <c r="V236" s="38">
        <v>0</v>
      </c>
      <c r="W236" s="38">
        <v>0</v>
      </c>
      <c r="X236" s="38">
        <v>0</v>
      </c>
      <c r="Y236" s="38"/>
      <c r="Z236" s="38" t="e">
        <v>#DIV/0!</v>
      </c>
      <c r="AA236" s="38"/>
      <c r="AB236" s="38" t="e">
        <v>#DIV/0!</v>
      </c>
      <c r="AC236" s="38" t="e">
        <v>#DIV/0!</v>
      </c>
      <c r="AD236" s="38" t="e">
        <v>#DIV/0!</v>
      </c>
      <c r="AE236" s="33">
        <v>45474</v>
      </c>
      <c r="AF236" s="33"/>
      <c r="AG236" s="33"/>
      <c r="AH236" s="33"/>
      <c r="AI236" s="33"/>
      <c r="AJ236" s="42"/>
      <c r="AK236" s="37"/>
      <c r="AL236" s="37"/>
      <c r="AM236" s="37"/>
      <c r="AN236" s="37"/>
      <c r="AO236" s="43"/>
      <c r="AP236" s="35"/>
      <c r="AQ236" s="35"/>
      <c r="AR236" s="44"/>
      <c r="AS236" s="37"/>
    </row>
    <row r="237" spans="1:45" ht="48" customHeight="1" x14ac:dyDescent="0.25">
      <c r="A237" s="32" t="s">
        <v>3310</v>
      </c>
      <c r="B237" s="56">
        <v>45392</v>
      </c>
      <c r="C237" s="35">
        <v>1416</v>
      </c>
      <c r="D237" s="36"/>
      <c r="E237" s="37"/>
      <c r="F237" s="33"/>
      <c r="G237" s="35"/>
      <c r="H237" s="37"/>
      <c r="I237" s="58" t="s">
        <v>3309</v>
      </c>
      <c r="J237" s="57">
        <v>478647940</v>
      </c>
      <c r="K237" s="40">
        <v>100</v>
      </c>
      <c r="L237" s="41">
        <v>478647940</v>
      </c>
      <c r="M237" s="38"/>
      <c r="N237" s="41">
        <v>478647940</v>
      </c>
      <c r="O237" s="38">
        <v>0</v>
      </c>
      <c r="P237" s="27">
        <v>0</v>
      </c>
      <c r="Q237" s="27">
        <v>0</v>
      </c>
      <c r="R237" s="27" t="e">
        <v>#DIV/0!</v>
      </c>
      <c r="S237" s="38" t="e">
        <v>#DIV/0!</v>
      </c>
      <c r="T237" s="38" t="e">
        <v>#DIV/0!</v>
      </c>
      <c r="U237" s="38">
        <v>0</v>
      </c>
      <c r="V237" s="38">
        <v>0</v>
      </c>
      <c r="W237" s="38">
        <v>0</v>
      </c>
      <c r="X237" s="38">
        <v>0</v>
      </c>
      <c r="Y237" s="38"/>
      <c r="Z237" s="38" t="e">
        <v>#DIV/0!</v>
      </c>
      <c r="AA237" s="38"/>
      <c r="AB237" s="38" t="e">
        <v>#DIV/0!</v>
      </c>
      <c r="AC237" s="38" t="e">
        <v>#DIV/0!</v>
      </c>
      <c r="AD237" s="38" t="e">
        <v>#DIV/0!</v>
      </c>
      <c r="AE237" s="33">
        <v>45566</v>
      </c>
      <c r="AF237" s="33"/>
      <c r="AG237" s="33"/>
      <c r="AH237" s="33"/>
      <c r="AI237" s="33"/>
      <c r="AJ237" s="42"/>
      <c r="AK237" s="37"/>
      <c r="AL237" s="37"/>
      <c r="AM237" s="37"/>
      <c r="AN237" s="37"/>
      <c r="AO237" s="43"/>
      <c r="AP237" s="35"/>
      <c r="AQ237" s="35"/>
      <c r="AR237" s="44"/>
      <c r="AS237" s="37"/>
    </row>
    <row r="238" spans="1:45" ht="48" customHeight="1" x14ac:dyDescent="0.25">
      <c r="A238" s="32" t="s">
        <v>3316</v>
      </c>
      <c r="B238" s="56">
        <v>45392</v>
      </c>
      <c r="C238" s="35">
        <v>1416</v>
      </c>
      <c r="D238" s="36"/>
      <c r="E238" s="37"/>
      <c r="F238" s="33"/>
      <c r="G238" s="35"/>
      <c r="H238" s="37"/>
      <c r="I238" s="59" t="s">
        <v>1338</v>
      </c>
      <c r="J238" s="57">
        <v>737560823.54999995</v>
      </c>
      <c r="K238" s="40">
        <v>100</v>
      </c>
      <c r="L238" s="41">
        <v>737560823.54999995</v>
      </c>
      <c r="M238" s="38"/>
      <c r="N238" s="41">
        <v>737560823.54999995</v>
      </c>
      <c r="O238" s="38">
        <v>0</v>
      </c>
      <c r="P238" s="27">
        <v>0</v>
      </c>
      <c r="Q238" s="27">
        <v>0</v>
      </c>
      <c r="R238" s="27" t="e">
        <v>#DIV/0!</v>
      </c>
      <c r="S238" s="38" t="e">
        <v>#DIV/0!</v>
      </c>
      <c r="T238" s="38" t="e">
        <v>#DIV/0!</v>
      </c>
      <c r="U238" s="38">
        <v>0</v>
      </c>
      <c r="V238" s="38">
        <v>0</v>
      </c>
      <c r="W238" s="38">
        <v>0</v>
      </c>
      <c r="X238" s="38">
        <v>0</v>
      </c>
      <c r="Y238" s="38"/>
      <c r="Z238" s="38" t="e">
        <v>#DIV/0!</v>
      </c>
      <c r="AA238" s="38"/>
      <c r="AB238" s="38" t="e">
        <v>#DIV/0!</v>
      </c>
      <c r="AC238" s="38" t="e">
        <v>#DIV/0!</v>
      </c>
      <c r="AD238" s="38" t="e">
        <v>#DIV/0!</v>
      </c>
      <c r="AE238" s="33">
        <v>45550</v>
      </c>
      <c r="AF238" s="33"/>
      <c r="AG238" s="33"/>
      <c r="AH238" s="33"/>
      <c r="AI238" s="33"/>
      <c r="AJ238" s="42"/>
      <c r="AK238" s="37"/>
      <c r="AL238" s="37"/>
      <c r="AM238" s="37"/>
      <c r="AN238" s="37"/>
      <c r="AO238" s="43"/>
      <c r="AP238" s="35"/>
      <c r="AQ238" s="35"/>
      <c r="AR238" s="44"/>
      <c r="AS238" s="37"/>
    </row>
    <row r="239" spans="1:45" ht="48" customHeight="1" x14ac:dyDescent="0.25">
      <c r="A239" s="32" t="s">
        <v>3323</v>
      </c>
      <c r="B239" s="56">
        <v>45394</v>
      </c>
      <c r="C239" s="35">
        <v>1416</v>
      </c>
      <c r="D239" s="36"/>
      <c r="E239" s="37"/>
      <c r="F239" s="33"/>
      <c r="G239" s="35"/>
      <c r="H239" s="37"/>
      <c r="I239" s="59" t="s">
        <v>858</v>
      </c>
      <c r="J239" s="57">
        <v>346387213.82999998</v>
      </c>
      <c r="K239" s="40">
        <v>100</v>
      </c>
      <c r="L239" s="41">
        <v>346387213.82999998</v>
      </c>
      <c r="M239" s="38"/>
      <c r="N239" s="41">
        <v>346387213.82999998</v>
      </c>
      <c r="O239" s="38">
        <v>0</v>
      </c>
      <c r="P239" s="27">
        <v>0</v>
      </c>
      <c r="Q239" s="27">
        <v>0</v>
      </c>
      <c r="R239" s="27" t="e">
        <v>#DIV/0!</v>
      </c>
      <c r="S239" s="38" t="e">
        <v>#DIV/0!</v>
      </c>
      <c r="T239" s="38" t="e">
        <v>#DIV/0!</v>
      </c>
      <c r="U239" s="38">
        <v>0</v>
      </c>
      <c r="V239" s="38">
        <v>0</v>
      </c>
      <c r="W239" s="38">
        <v>0</v>
      </c>
      <c r="X239" s="38">
        <v>0</v>
      </c>
      <c r="Y239" s="38"/>
      <c r="Z239" s="38" t="e">
        <v>#DIV/0!</v>
      </c>
      <c r="AA239" s="38"/>
      <c r="AB239" s="38" t="e">
        <v>#DIV/0!</v>
      </c>
      <c r="AC239" s="38" t="e">
        <v>#DIV/0!</v>
      </c>
      <c r="AD239" s="38" t="e">
        <v>#DIV/0!</v>
      </c>
      <c r="AE239" s="33">
        <v>45474</v>
      </c>
      <c r="AF239" s="33">
        <v>45566</v>
      </c>
      <c r="AG239" s="33"/>
      <c r="AH239" s="33"/>
      <c r="AI239" s="33"/>
      <c r="AJ239" s="42"/>
      <c r="AK239" s="37"/>
      <c r="AL239" s="37"/>
      <c r="AM239" s="37"/>
      <c r="AN239" s="37"/>
      <c r="AO239" s="43"/>
      <c r="AP239" s="35"/>
      <c r="AQ239" s="35"/>
      <c r="AR239" s="44"/>
      <c r="AS239" s="37"/>
    </row>
    <row r="240" spans="1:45" ht="48" customHeight="1" x14ac:dyDescent="0.25">
      <c r="A240" s="32" t="s">
        <v>3328</v>
      </c>
      <c r="B240" s="56">
        <v>45394</v>
      </c>
      <c r="C240" s="35" t="s">
        <v>2213</v>
      </c>
      <c r="D240" s="36"/>
      <c r="E240" s="37"/>
      <c r="F240" s="33"/>
      <c r="G240" s="35"/>
      <c r="H240" s="37"/>
      <c r="I240" s="58" t="s">
        <v>3329</v>
      </c>
      <c r="J240" s="57">
        <v>3182400</v>
      </c>
      <c r="K240" s="40">
        <v>100</v>
      </c>
      <c r="L240" s="41">
        <v>3182400</v>
      </c>
      <c r="M240" s="38"/>
      <c r="N240" s="41">
        <v>3182400</v>
      </c>
      <c r="O240" s="38">
        <v>0</v>
      </c>
      <c r="P240" s="27">
        <v>0</v>
      </c>
      <c r="Q240" s="27">
        <v>0</v>
      </c>
      <c r="R240" s="27" t="e">
        <v>#DIV/0!</v>
      </c>
      <c r="S240" s="38" t="e">
        <v>#DIV/0!</v>
      </c>
      <c r="T240" s="38" t="e">
        <v>#DIV/0!</v>
      </c>
      <c r="U240" s="38">
        <v>0</v>
      </c>
      <c r="V240" s="38">
        <v>0</v>
      </c>
      <c r="W240" s="38">
        <v>0</v>
      </c>
      <c r="X240" s="38">
        <v>0</v>
      </c>
      <c r="Y240" s="38"/>
      <c r="Z240" s="38" t="e">
        <v>#DIV/0!</v>
      </c>
      <c r="AA240" s="38"/>
      <c r="AB240" s="38" t="e">
        <v>#DIV/0!</v>
      </c>
      <c r="AC240" s="38" t="e">
        <v>#DIV/0!</v>
      </c>
      <c r="AD240" s="38" t="e">
        <v>#DIV/0!</v>
      </c>
      <c r="AE240" s="33">
        <v>45474</v>
      </c>
      <c r="AF240" s="33"/>
      <c r="AG240" s="33"/>
      <c r="AH240" s="33"/>
      <c r="AI240" s="33"/>
      <c r="AJ240" s="42"/>
      <c r="AK240" s="37"/>
      <c r="AL240" s="37"/>
      <c r="AM240" s="37"/>
      <c r="AN240" s="37"/>
      <c r="AO240" s="43"/>
      <c r="AP240" s="35"/>
      <c r="AQ240" s="35"/>
      <c r="AR240" s="44"/>
      <c r="AS240" s="37"/>
    </row>
    <row r="241" spans="1:45" ht="48" customHeight="1" x14ac:dyDescent="0.25">
      <c r="A241" s="32" t="s">
        <v>3332</v>
      </c>
      <c r="B241" s="56">
        <v>45394</v>
      </c>
      <c r="C241" s="35">
        <v>1416</v>
      </c>
      <c r="D241" s="36"/>
      <c r="E241" s="37"/>
      <c r="F241" s="33"/>
      <c r="G241" s="35"/>
      <c r="H241" s="37"/>
      <c r="I241" s="58" t="s">
        <v>3329</v>
      </c>
      <c r="J241" s="57">
        <v>152490000</v>
      </c>
      <c r="K241" s="40">
        <v>100</v>
      </c>
      <c r="L241" s="41">
        <v>152490000</v>
      </c>
      <c r="M241" s="38"/>
      <c r="N241" s="41">
        <v>152490000</v>
      </c>
      <c r="O241" s="38">
        <v>0</v>
      </c>
      <c r="P241" s="27">
        <v>0</v>
      </c>
      <c r="Q241" s="27">
        <v>0</v>
      </c>
      <c r="R241" s="27" t="e">
        <v>#DIV/0!</v>
      </c>
      <c r="S241" s="38" t="e">
        <v>#DIV/0!</v>
      </c>
      <c r="T241" s="38" t="e">
        <v>#DIV/0!</v>
      </c>
      <c r="U241" s="38">
        <v>0</v>
      </c>
      <c r="V241" s="38">
        <v>0</v>
      </c>
      <c r="W241" s="38">
        <v>0</v>
      </c>
      <c r="X241" s="38">
        <v>0</v>
      </c>
      <c r="Y241" s="38"/>
      <c r="Z241" s="38" t="e">
        <v>#DIV/0!</v>
      </c>
      <c r="AA241" s="38"/>
      <c r="AB241" s="38" t="e">
        <v>#DIV/0!</v>
      </c>
      <c r="AC241" s="38" t="e">
        <v>#DIV/0!</v>
      </c>
      <c r="AD241" s="38" t="e">
        <v>#DIV/0!</v>
      </c>
      <c r="AE241" s="33">
        <v>45536</v>
      </c>
      <c r="AF241" s="33"/>
      <c r="AG241" s="33"/>
      <c r="AH241" s="33"/>
      <c r="AI241" s="33"/>
      <c r="AJ241" s="42"/>
      <c r="AK241" s="37"/>
      <c r="AL241" s="37"/>
      <c r="AM241" s="37"/>
      <c r="AN241" s="37"/>
      <c r="AO241" s="43"/>
      <c r="AP241" s="35"/>
      <c r="AQ241" s="35"/>
      <c r="AR241" s="44"/>
      <c r="AS241" s="37"/>
    </row>
    <row r="242" spans="1:45" ht="48" customHeight="1" x14ac:dyDescent="0.25">
      <c r="A242" s="32" t="s">
        <v>3340</v>
      </c>
      <c r="B242" s="56">
        <v>45397</v>
      </c>
      <c r="C242" s="35">
        <v>1416</v>
      </c>
      <c r="D242" s="36"/>
      <c r="E242" s="37"/>
      <c r="F242" s="33"/>
      <c r="G242" s="35"/>
      <c r="H242" s="37"/>
      <c r="I242" s="58" t="s">
        <v>3341</v>
      </c>
      <c r="J242" s="57">
        <v>81887500</v>
      </c>
      <c r="K242" s="40">
        <v>100</v>
      </c>
      <c r="L242" s="41">
        <v>81887500</v>
      </c>
      <c r="M242" s="38"/>
      <c r="N242" s="41">
        <v>81887500</v>
      </c>
      <c r="O242" s="38">
        <v>0</v>
      </c>
      <c r="P242" s="27">
        <v>0</v>
      </c>
      <c r="Q242" s="27">
        <v>0</v>
      </c>
      <c r="R242" s="27" t="e">
        <v>#DIV/0!</v>
      </c>
      <c r="S242" s="38" t="e">
        <v>#DIV/0!</v>
      </c>
      <c r="T242" s="38" t="e">
        <v>#DIV/0!</v>
      </c>
      <c r="U242" s="38">
        <v>0</v>
      </c>
      <c r="V242" s="38">
        <v>0</v>
      </c>
      <c r="W242" s="38">
        <v>0</v>
      </c>
      <c r="X242" s="38">
        <v>0</v>
      </c>
      <c r="Y242" s="38"/>
      <c r="Z242" s="38" t="e">
        <v>#DIV/0!</v>
      </c>
      <c r="AA242" s="38"/>
      <c r="AB242" s="38" t="e">
        <v>#DIV/0!</v>
      </c>
      <c r="AC242" s="38" t="e">
        <v>#DIV/0!</v>
      </c>
      <c r="AD242" s="38" t="e">
        <v>#DIV/0!</v>
      </c>
      <c r="AE242" s="33">
        <v>45566</v>
      </c>
      <c r="AF242" s="33"/>
      <c r="AG242" s="33"/>
      <c r="AH242" s="33"/>
      <c r="AI242" s="33"/>
      <c r="AJ242" s="42"/>
      <c r="AK242" s="37"/>
      <c r="AL242" s="37"/>
      <c r="AM242" s="37"/>
      <c r="AN242" s="37"/>
      <c r="AO242" s="43"/>
      <c r="AP242" s="35"/>
      <c r="AQ242" s="35"/>
      <c r="AR242" s="44"/>
      <c r="AS242" s="37"/>
    </row>
    <row r="243" spans="1:45" ht="48" customHeight="1" x14ac:dyDescent="0.25">
      <c r="A243" s="32" t="s">
        <v>3342</v>
      </c>
      <c r="B243" s="56">
        <v>45397</v>
      </c>
      <c r="C243" s="35" t="s">
        <v>2213</v>
      </c>
      <c r="D243" s="36"/>
      <c r="E243" s="37"/>
      <c r="F243" s="33"/>
      <c r="G243" s="35"/>
      <c r="H243" s="37"/>
      <c r="I243" s="58" t="s">
        <v>2623</v>
      </c>
      <c r="J243" s="57">
        <v>4307600.3</v>
      </c>
      <c r="K243" s="40">
        <v>100</v>
      </c>
      <c r="L243" s="41">
        <v>4307600.3</v>
      </c>
      <c r="M243" s="38"/>
      <c r="N243" s="41">
        <v>4307600.3</v>
      </c>
      <c r="O243" s="38">
        <v>0</v>
      </c>
      <c r="P243" s="27">
        <v>0</v>
      </c>
      <c r="Q243" s="27">
        <v>0</v>
      </c>
      <c r="R243" s="27" t="e">
        <v>#DIV/0!</v>
      </c>
      <c r="S243" s="38" t="e">
        <v>#DIV/0!</v>
      </c>
      <c r="T243" s="38" t="e">
        <v>#DIV/0!</v>
      </c>
      <c r="U243" s="38">
        <v>0</v>
      </c>
      <c r="V243" s="38">
        <v>0</v>
      </c>
      <c r="W243" s="38">
        <v>0</v>
      </c>
      <c r="X243" s="38">
        <v>0</v>
      </c>
      <c r="Y243" s="38"/>
      <c r="Z243" s="38" t="e">
        <v>#DIV/0!</v>
      </c>
      <c r="AA243" s="38"/>
      <c r="AB243" s="38" t="e">
        <v>#DIV/0!</v>
      </c>
      <c r="AC243" s="38" t="e">
        <v>#DIV/0!</v>
      </c>
      <c r="AD243" s="38" t="e">
        <v>#DIV/0!</v>
      </c>
      <c r="AE243" s="33">
        <v>45474</v>
      </c>
      <c r="AF243" s="33"/>
      <c r="AG243" s="33"/>
      <c r="AH243" s="33"/>
      <c r="AI243" s="33"/>
      <c r="AJ243" s="42"/>
      <c r="AK243" s="37"/>
      <c r="AL243" s="37"/>
      <c r="AM243" s="37"/>
      <c r="AN243" s="37"/>
      <c r="AO243" s="43"/>
      <c r="AP243" s="35"/>
      <c r="AQ243" s="35"/>
      <c r="AR243" s="44"/>
      <c r="AS243" s="37"/>
    </row>
    <row r="244" spans="1:45" ht="48" customHeight="1" x14ac:dyDescent="0.25">
      <c r="A244" s="32" t="s">
        <v>3343</v>
      </c>
      <c r="B244" s="56">
        <v>45397</v>
      </c>
      <c r="C244" s="35" t="s">
        <v>2213</v>
      </c>
      <c r="D244" s="36"/>
      <c r="E244" s="37"/>
      <c r="F244" s="33"/>
      <c r="G244" s="35"/>
      <c r="H244" s="37"/>
      <c r="I244" s="59" t="s">
        <v>977</v>
      </c>
      <c r="J244" s="57">
        <v>694984.5</v>
      </c>
      <c r="K244" s="40">
        <v>100</v>
      </c>
      <c r="L244" s="41">
        <v>694984.5</v>
      </c>
      <c r="M244" s="38"/>
      <c r="N244" s="41">
        <v>694984.5</v>
      </c>
      <c r="O244" s="38">
        <v>0</v>
      </c>
      <c r="P244" s="27">
        <v>0</v>
      </c>
      <c r="Q244" s="27">
        <v>0</v>
      </c>
      <c r="R244" s="27" t="e">
        <v>#DIV/0!</v>
      </c>
      <c r="S244" s="38" t="e">
        <v>#DIV/0!</v>
      </c>
      <c r="T244" s="38" t="e">
        <v>#DIV/0!</v>
      </c>
      <c r="U244" s="38">
        <v>0</v>
      </c>
      <c r="V244" s="38">
        <v>0</v>
      </c>
      <c r="W244" s="38">
        <v>0</v>
      </c>
      <c r="X244" s="38">
        <v>0</v>
      </c>
      <c r="Y244" s="38"/>
      <c r="Z244" s="38" t="e">
        <v>#DIV/0!</v>
      </c>
      <c r="AA244" s="38"/>
      <c r="AB244" s="38" t="e">
        <v>#DIV/0!</v>
      </c>
      <c r="AC244" s="38" t="e">
        <v>#DIV/0!</v>
      </c>
      <c r="AD244" s="38" t="e">
        <v>#DIV/0!</v>
      </c>
      <c r="AE244" s="33">
        <v>45474</v>
      </c>
      <c r="AF244" s="33"/>
      <c r="AG244" s="33"/>
      <c r="AH244" s="33"/>
      <c r="AI244" s="33"/>
      <c r="AJ244" s="42"/>
      <c r="AK244" s="37"/>
      <c r="AL244" s="37"/>
      <c r="AM244" s="37"/>
      <c r="AN244" s="37"/>
      <c r="AO244" s="43"/>
      <c r="AP244" s="35"/>
      <c r="AQ244" s="35"/>
      <c r="AR244" s="44"/>
      <c r="AS244" s="37"/>
    </row>
    <row r="245" spans="1:45" ht="48" customHeight="1" x14ac:dyDescent="0.25">
      <c r="A245" s="32" t="s">
        <v>3348</v>
      </c>
      <c r="B245" s="56">
        <v>45397</v>
      </c>
      <c r="C245" s="35">
        <v>1416</v>
      </c>
      <c r="D245" s="36"/>
      <c r="E245" s="37"/>
      <c r="F245" s="33"/>
      <c r="G245" s="35"/>
      <c r="H245" s="37"/>
      <c r="I245" s="58" t="s">
        <v>1121</v>
      </c>
      <c r="J245" s="57">
        <v>617525272.14999998</v>
      </c>
      <c r="K245" s="40">
        <v>100</v>
      </c>
      <c r="L245" s="41">
        <v>617525272.14999998</v>
      </c>
      <c r="M245" s="38"/>
      <c r="N245" s="41">
        <v>617525272.14999998</v>
      </c>
      <c r="O245" s="38">
        <v>0</v>
      </c>
      <c r="P245" s="27">
        <v>0</v>
      </c>
      <c r="Q245" s="27">
        <v>0</v>
      </c>
      <c r="R245" s="27" t="e">
        <v>#DIV/0!</v>
      </c>
      <c r="S245" s="38" t="e">
        <v>#DIV/0!</v>
      </c>
      <c r="T245" s="38" t="e">
        <v>#DIV/0!</v>
      </c>
      <c r="U245" s="38">
        <v>0</v>
      </c>
      <c r="V245" s="38">
        <v>0</v>
      </c>
      <c r="W245" s="38">
        <v>0</v>
      </c>
      <c r="X245" s="38">
        <v>0</v>
      </c>
      <c r="Y245" s="38"/>
      <c r="Z245" s="38" t="e">
        <v>#DIV/0!</v>
      </c>
      <c r="AA245" s="38"/>
      <c r="AB245" s="38" t="e">
        <v>#DIV/0!</v>
      </c>
      <c r="AC245" s="38" t="e">
        <v>#DIV/0!</v>
      </c>
      <c r="AD245" s="38" t="e">
        <v>#DIV/0!</v>
      </c>
      <c r="AE245" s="33">
        <v>45474</v>
      </c>
      <c r="AF245" s="33">
        <v>45585</v>
      </c>
      <c r="AG245" s="33"/>
      <c r="AH245" s="33"/>
      <c r="AI245" s="33"/>
      <c r="AJ245" s="42"/>
      <c r="AK245" s="37"/>
      <c r="AL245" s="37"/>
      <c r="AM245" s="37"/>
      <c r="AN245" s="37"/>
      <c r="AO245" s="43"/>
      <c r="AP245" s="35"/>
      <c r="AQ245" s="35"/>
      <c r="AR245" s="44"/>
      <c r="AS245" s="37"/>
    </row>
    <row r="246" spans="1:45" ht="48" customHeight="1" x14ac:dyDescent="0.25">
      <c r="A246" s="32" t="s">
        <v>3352</v>
      </c>
      <c r="B246" s="56">
        <v>45398</v>
      </c>
      <c r="C246" s="35">
        <v>1416</v>
      </c>
      <c r="D246" s="36"/>
      <c r="E246" s="37"/>
      <c r="F246" s="33"/>
      <c r="G246" s="35"/>
      <c r="H246" s="37"/>
      <c r="I246" s="58" t="s">
        <v>3353</v>
      </c>
      <c r="J246" s="57">
        <v>49763095.200000003</v>
      </c>
      <c r="K246" s="40">
        <v>100</v>
      </c>
      <c r="L246" s="41">
        <v>49763095.200000003</v>
      </c>
      <c r="M246" s="38"/>
      <c r="N246" s="41">
        <v>49763095.200000003</v>
      </c>
      <c r="O246" s="38">
        <v>0</v>
      </c>
      <c r="P246" s="27">
        <v>0</v>
      </c>
      <c r="Q246" s="27">
        <v>0</v>
      </c>
      <c r="R246" s="27" t="e">
        <v>#DIV/0!</v>
      </c>
      <c r="S246" s="38" t="e">
        <v>#DIV/0!</v>
      </c>
      <c r="T246" s="38" t="e">
        <v>#DIV/0!</v>
      </c>
      <c r="U246" s="38">
        <v>0</v>
      </c>
      <c r="V246" s="38">
        <v>0</v>
      </c>
      <c r="W246" s="38">
        <v>0</v>
      </c>
      <c r="X246" s="38">
        <v>0</v>
      </c>
      <c r="Y246" s="38"/>
      <c r="Z246" s="38" t="e">
        <v>#DIV/0!</v>
      </c>
      <c r="AA246" s="38"/>
      <c r="AB246" s="38" t="e">
        <v>#DIV/0!</v>
      </c>
      <c r="AC246" s="38" t="e">
        <v>#DIV/0!</v>
      </c>
      <c r="AD246" s="38" t="e">
        <v>#DIV/0!</v>
      </c>
      <c r="AE246" s="33">
        <v>45566</v>
      </c>
      <c r="AF246" s="33"/>
      <c r="AG246" s="33"/>
      <c r="AH246" s="33"/>
      <c r="AI246" s="33"/>
      <c r="AJ246" s="42"/>
      <c r="AK246" s="37"/>
      <c r="AL246" s="37"/>
      <c r="AM246" s="37"/>
      <c r="AN246" s="37"/>
      <c r="AO246" s="43"/>
      <c r="AP246" s="35"/>
      <c r="AQ246" s="35"/>
      <c r="AR246" s="44"/>
      <c r="AS246" s="37"/>
    </row>
    <row r="247" spans="1:45" ht="48" customHeight="1" x14ac:dyDescent="0.25">
      <c r="A247" s="32" t="s">
        <v>3354</v>
      </c>
      <c r="B247" s="56">
        <v>45398</v>
      </c>
      <c r="C247" s="35">
        <v>1416</v>
      </c>
      <c r="D247" s="36"/>
      <c r="E247" s="37"/>
      <c r="F247" s="33"/>
      <c r="G247" s="35"/>
      <c r="H247" s="37"/>
      <c r="I247" s="58" t="s">
        <v>3355</v>
      </c>
      <c r="J247" s="57">
        <v>535646673</v>
      </c>
      <c r="K247" s="40">
        <v>100</v>
      </c>
      <c r="L247" s="41">
        <v>535646673</v>
      </c>
      <c r="M247" s="38"/>
      <c r="N247" s="41">
        <v>535646673</v>
      </c>
      <c r="O247" s="38">
        <v>0</v>
      </c>
      <c r="P247" s="27">
        <v>0</v>
      </c>
      <c r="Q247" s="27">
        <v>0</v>
      </c>
      <c r="R247" s="27" t="e">
        <v>#DIV/0!</v>
      </c>
      <c r="S247" s="38" t="e">
        <v>#DIV/0!</v>
      </c>
      <c r="T247" s="38" t="e">
        <v>#DIV/0!</v>
      </c>
      <c r="U247" s="38">
        <v>0</v>
      </c>
      <c r="V247" s="38">
        <v>0</v>
      </c>
      <c r="W247" s="38">
        <v>0</v>
      </c>
      <c r="X247" s="38">
        <v>0</v>
      </c>
      <c r="Y247" s="38"/>
      <c r="Z247" s="38" t="e">
        <v>#DIV/0!</v>
      </c>
      <c r="AA247" s="38"/>
      <c r="AB247" s="38" t="e">
        <v>#DIV/0!</v>
      </c>
      <c r="AC247" s="38" t="e">
        <v>#DIV/0!</v>
      </c>
      <c r="AD247" s="38" t="e">
        <v>#DIV/0!</v>
      </c>
      <c r="AE247" s="33">
        <v>45566</v>
      </c>
      <c r="AF247" s="33"/>
      <c r="AG247" s="33"/>
      <c r="AH247" s="33"/>
      <c r="AI247" s="33"/>
      <c r="AJ247" s="42"/>
      <c r="AK247" s="37"/>
      <c r="AL247" s="37"/>
      <c r="AM247" s="37"/>
      <c r="AN247" s="37"/>
      <c r="AO247" s="43"/>
      <c r="AP247" s="35"/>
      <c r="AQ247" s="35"/>
      <c r="AR247" s="44"/>
      <c r="AS247" s="37"/>
    </row>
    <row r="248" spans="1:45" ht="48" customHeight="1" x14ac:dyDescent="0.25">
      <c r="A248" s="32" t="s">
        <v>3356</v>
      </c>
      <c r="B248" s="56">
        <v>45398</v>
      </c>
      <c r="C248" s="35">
        <v>1416</v>
      </c>
      <c r="D248" s="36"/>
      <c r="E248" s="37"/>
      <c r="F248" s="33"/>
      <c r="G248" s="35"/>
      <c r="H248" s="37"/>
      <c r="I248" s="58" t="s">
        <v>3357</v>
      </c>
      <c r="J248" s="57">
        <v>449243460</v>
      </c>
      <c r="K248" s="40">
        <v>100</v>
      </c>
      <c r="L248" s="41">
        <v>449243460</v>
      </c>
      <c r="M248" s="38"/>
      <c r="N248" s="41">
        <v>449243460</v>
      </c>
      <c r="O248" s="38">
        <v>0</v>
      </c>
      <c r="P248" s="27">
        <v>0</v>
      </c>
      <c r="Q248" s="27">
        <v>0</v>
      </c>
      <c r="R248" s="27" t="e">
        <v>#DIV/0!</v>
      </c>
      <c r="S248" s="38" t="e">
        <v>#DIV/0!</v>
      </c>
      <c r="T248" s="38" t="e">
        <v>#DIV/0!</v>
      </c>
      <c r="U248" s="38">
        <v>0</v>
      </c>
      <c r="V248" s="38">
        <v>0</v>
      </c>
      <c r="W248" s="38">
        <v>0</v>
      </c>
      <c r="X248" s="38">
        <v>0</v>
      </c>
      <c r="Y248" s="38"/>
      <c r="Z248" s="38" t="e">
        <v>#DIV/0!</v>
      </c>
      <c r="AA248" s="38"/>
      <c r="AB248" s="38" t="e">
        <v>#DIV/0!</v>
      </c>
      <c r="AC248" s="38" t="e">
        <v>#DIV/0!</v>
      </c>
      <c r="AD248" s="38" t="e">
        <v>#DIV/0!</v>
      </c>
      <c r="AE248" s="33">
        <v>45566</v>
      </c>
      <c r="AF248" s="33"/>
      <c r="AG248" s="33"/>
      <c r="AH248" s="33"/>
      <c r="AI248" s="33"/>
      <c r="AJ248" s="42"/>
      <c r="AK248" s="37"/>
      <c r="AL248" s="37"/>
      <c r="AM248" s="37"/>
      <c r="AN248" s="37"/>
      <c r="AO248" s="43"/>
      <c r="AP248" s="35"/>
      <c r="AQ248" s="35"/>
      <c r="AR248" s="44"/>
      <c r="AS248" s="37"/>
    </row>
    <row r="249" spans="1:45" ht="48" customHeight="1" x14ac:dyDescent="0.25">
      <c r="A249" s="32" t="s">
        <v>3358</v>
      </c>
      <c r="B249" s="56">
        <v>45398</v>
      </c>
      <c r="C249" s="35" t="s">
        <v>2213</v>
      </c>
      <c r="D249" s="36"/>
      <c r="E249" s="37"/>
      <c r="F249" s="33"/>
      <c r="G249" s="35"/>
      <c r="H249" s="37"/>
      <c r="I249" s="59" t="s">
        <v>876</v>
      </c>
      <c r="J249" s="57">
        <v>267092.7</v>
      </c>
      <c r="K249" s="40">
        <v>100</v>
      </c>
      <c r="L249" s="41">
        <v>267092.7</v>
      </c>
      <c r="M249" s="38"/>
      <c r="N249" s="41">
        <v>267092.7</v>
      </c>
      <c r="O249" s="38">
        <v>0</v>
      </c>
      <c r="P249" s="27">
        <v>0</v>
      </c>
      <c r="Q249" s="27">
        <v>0</v>
      </c>
      <c r="R249" s="27" t="e">
        <v>#DIV/0!</v>
      </c>
      <c r="S249" s="38" t="e">
        <v>#DIV/0!</v>
      </c>
      <c r="T249" s="38" t="e">
        <v>#DIV/0!</v>
      </c>
      <c r="U249" s="38">
        <v>0</v>
      </c>
      <c r="V249" s="38">
        <v>0</v>
      </c>
      <c r="W249" s="38">
        <v>0</v>
      </c>
      <c r="X249" s="38">
        <v>0</v>
      </c>
      <c r="Y249" s="38"/>
      <c r="Z249" s="38" t="e">
        <v>#DIV/0!</v>
      </c>
      <c r="AA249" s="38"/>
      <c r="AB249" s="38" t="e">
        <v>#DIV/0!</v>
      </c>
      <c r="AC249" s="38" t="e">
        <v>#DIV/0!</v>
      </c>
      <c r="AD249" s="38" t="e">
        <v>#DIV/0!</v>
      </c>
      <c r="AE249" s="33">
        <v>45566</v>
      </c>
      <c r="AF249" s="33"/>
      <c r="AG249" s="33"/>
      <c r="AH249" s="33"/>
      <c r="AI249" s="33"/>
      <c r="AJ249" s="42"/>
      <c r="AK249" s="37"/>
      <c r="AL249" s="37"/>
      <c r="AM249" s="37"/>
      <c r="AN249" s="37"/>
      <c r="AO249" s="43"/>
      <c r="AP249" s="35"/>
      <c r="AQ249" s="35"/>
      <c r="AR249" s="44"/>
      <c r="AS249" s="37"/>
    </row>
    <row r="250" spans="1:45" ht="48" customHeight="1" x14ac:dyDescent="0.25">
      <c r="A250" s="32" t="s">
        <v>3359</v>
      </c>
      <c r="B250" s="56">
        <v>45398</v>
      </c>
      <c r="C250" s="35" t="s">
        <v>2213</v>
      </c>
      <c r="D250" s="36"/>
      <c r="E250" s="37"/>
      <c r="F250" s="33"/>
      <c r="G250" s="35"/>
      <c r="H250" s="37"/>
      <c r="I250" s="59" t="s">
        <v>1183</v>
      </c>
      <c r="J250" s="57">
        <v>470068.2</v>
      </c>
      <c r="K250" s="40">
        <v>100</v>
      </c>
      <c r="L250" s="41">
        <v>470068.2</v>
      </c>
      <c r="M250" s="38"/>
      <c r="N250" s="41">
        <v>470068.2</v>
      </c>
      <c r="O250" s="38">
        <v>0</v>
      </c>
      <c r="P250" s="27">
        <v>0</v>
      </c>
      <c r="Q250" s="27">
        <v>0</v>
      </c>
      <c r="R250" s="27" t="e">
        <v>#DIV/0!</v>
      </c>
      <c r="S250" s="38" t="e">
        <v>#DIV/0!</v>
      </c>
      <c r="T250" s="38" t="e">
        <v>#DIV/0!</v>
      </c>
      <c r="U250" s="38">
        <v>0</v>
      </c>
      <c r="V250" s="38">
        <v>0</v>
      </c>
      <c r="W250" s="38">
        <v>0</v>
      </c>
      <c r="X250" s="38">
        <v>0</v>
      </c>
      <c r="Y250" s="38"/>
      <c r="Z250" s="38" t="e">
        <v>#DIV/0!</v>
      </c>
      <c r="AA250" s="38"/>
      <c r="AB250" s="38" t="e">
        <v>#DIV/0!</v>
      </c>
      <c r="AC250" s="38" t="e">
        <v>#DIV/0!</v>
      </c>
      <c r="AD250" s="38" t="e">
        <v>#DIV/0!</v>
      </c>
      <c r="AE250" s="33">
        <v>45474</v>
      </c>
      <c r="AF250" s="33"/>
      <c r="AG250" s="33"/>
      <c r="AH250" s="33"/>
      <c r="AI250" s="33"/>
      <c r="AJ250" s="42"/>
      <c r="AK250" s="37"/>
      <c r="AL250" s="37"/>
      <c r="AM250" s="37"/>
      <c r="AN250" s="37"/>
      <c r="AO250" s="43"/>
      <c r="AP250" s="35"/>
      <c r="AQ250" s="35"/>
      <c r="AR250" s="44"/>
      <c r="AS250" s="37"/>
    </row>
    <row r="251" spans="1:45" ht="48" customHeight="1" x14ac:dyDescent="0.25">
      <c r="A251" s="32" t="s">
        <v>3361</v>
      </c>
      <c r="B251" s="56">
        <v>45398</v>
      </c>
      <c r="C251" s="35">
        <v>1416</v>
      </c>
      <c r="D251" s="36"/>
      <c r="E251" s="37"/>
      <c r="F251" s="33"/>
      <c r="G251" s="35"/>
      <c r="H251" s="37"/>
      <c r="I251" s="58" t="s">
        <v>3362</v>
      </c>
      <c r="J251" s="57">
        <v>956746398.74000001</v>
      </c>
      <c r="K251" s="40">
        <v>100</v>
      </c>
      <c r="L251" s="41">
        <v>956746398.74000001</v>
      </c>
      <c r="M251" s="38"/>
      <c r="N251" s="41">
        <v>956746398.74000001</v>
      </c>
      <c r="O251" s="38">
        <v>0</v>
      </c>
      <c r="P251" s="27">
        <v>0</v>
      </c>
      <c r="Q251" s="27">
        <v>0</v>
      </c>
      <c r="R251" s="27" t="e">
        <v>#DIV/0!</v>
      </c>
      <c r="S251" s="38" t="e">
        <v>#DIV/0!</v>
      </c>
      <c r="T251" s="38" t="e">
        <v>#DIV/0!</v>
      </c>
      <c r="U251" s="38">
        <v>0</v>
      </c>
      <c r="V251" s="38">
        <v>0</v>
      </c>
      <c r="W251" s="38">
        <v>0</v>
      </c>
      <c r="X251" s="38">
        <v>0</v>
      </c>
      <c r="Y251" s="38"/>
      <c r="Z251" s="38" t="e">
        <v>#DIV/0!</v>
      </c>
      <c r="AA251" s="38"/>
      <c r="AB251" s="38" t="e">
        <v>#DIV/0!</v>
      </c>
      <c r="AC251" s="38" t="e">
        <v>#DIV/0!</v>
      </c>
      <c r="AD251" s="38" t="e">
        <v>#DIV/0!</v>
      </c>
      <c r="AE251" s="33">
        <v>45627</v>
      </c>
      <c r="AF251" s="33"/>
      <c r="AG251" s="33"/>
      <c r="AH251" s="33"/>
      <c r="AI251" s="33"/>
      <c r="AJ251" s="42"/>
      <c r="AK251" s="37"/>
      <c r="AL251" s="37"/>
      <c r="AM251" s="37"/>
      <c r="AN251" s="37"/>
      <c r="AO251" s="43"/>
      <c r="AP251" s="35"/>
      <c r="AQ251" s="35"/>
      <c r="AR251" s="44"/>
      <c r="AS251" s="37"/>
    </row>
    <row r="252" spans="1:45" ht="48" customHeight="1" x14ac:dyDescent="0.25">
      <c r="A252" s="32" t="s">
        <v>3365</v>
      </c>
      <c r="B252" s="56">
        <v>45398</v>
      </c>
      <c r="C252" s="35">
        <v>1416</v>
      </c>
      <c r="D252" s="36"/>
      <c r="E252" s="37"/>
      <c r="F252" s="33"/>
      <c r="G252" s="35"/>
      <c r="H252" s="37"/>
      <c r="I252" s="58" t="s">
        <v>936</v>
      </c>
      <c r="J252" s="57">
        <v>155484950</v>
      </c>
      <c r="K252" s="40">
        <v>100</v>
      </c>
      <c r="L252" s="41">
        <v>155484950</v>
      </c>
      <c r="M252" s="38"/>
      <c r="N252" s="41">
        <v>155484950</v>
      </c>
      <c r="O252" s="38">
        <v>0</v>
      </c>
      <c r="P252" s="27">
        <v>0</v>
      </c>
      <c r="Q252" s="27">
        <v>0</v>
      </c>
      <c r="R252" s="27" t="e">
        <v>#DIV/0!</v>
      </c>
      <c r="S252" s="38" t="e">
        <v>#DIV/0!</v>
      </c>
      <c r="T252" s="38" t="e">
        <v>#DIV/0!</v>
      </c>
      <c r="U252" s="38">
        <v>0</v>
      </c>
      <c r="V252" s="38">
        <v>0</v>
      </c>
      <c r="W252" s="38">
        <v>0</v>
      </c>
      <c r="X252" s="38">
        <v>0</v>
      </c>
      <c r="Y252" s="38"/>
      <c r="Z252" s="38" t="e">
        <v>#DIV/0!</v>
      </c>
      <c r="AA252" s="38"/>
      <c r="AB252" s="38" t="e">
        <v>#DIV/0!</v>
      </c>
      <c r="AC252" s="38" t="e">
        <v>#DIV/0!</v>
      </c>
      <c r="AD252" s="38" t="e">
        <v>#DIV/0!</v>
      </c>
      <c r="AE252" s="33">
        <v>45566</v>
      </c>
      <c r="AF252" s="33"/>
      <c r="AG252" s="33"/>
      <c r="AH252" s="33"/>
      <c r="AI252" s="33"/>
      <c r="AJ252" s="42"/>
      <c r="AK252" s="37"/>
      <c r="AL252" s="37"/>
      <c r="AM252" s="37"/>
      <c r="AN252" s="37"/>
      <c r="AO252" s="43"/>
      <c r="AP252" s="35"/>
      <c r="AQ252" s="35"/>
      <c r="AR252" s="44"/>
      <c r="AS252" s="37"/>
    </row>
    <row r="253" spans="1:45" ht="48" customHeight="1" x14ac:dyDescent="0.25">
      <c r="A253" s="32" t="s">
        <v>3367</v>
      </c>
      <c r="B253" s="56">
        <v>45398</v>
      </c>
      <c r="C253" s="35" t="s">
        <v>2213</v>
      </c>
      <c r="D253" s="36"/>
      <c r="E253" s="37"/>
      <c r="F253" s="33"/>
      <c r="G253" s="35"/>
      <c r="H253" s="37"/>
      <c r="I253" s="58" t="s">
        <v>903</v>
      </c>
      <c r="J253" s="57">
        <v>9596625</v>
      </c>
      <c r="K253" s="40">
        <v>100</v>
      </c>
      <c r="L253" s="41">
        <v>9596625</v>
      </c>
      <c r="M253" s="38"/>
      <c r="N253" s="41">
        <v>9596625</v>
      </c>
      <c r="O253" s="38">
        <v>0</v>
      </c>
      <c r="P253" s="27">
        <v>0</v>
      </c>
      <c r="Q253" s="27">
        <v>0</v>
      </c>
      <c r="R253" s="27" t="e">
        <v>#DIV/0!</v>
      </c>
      <c r="S253" s="38" t="e">
        <v>#DIV/0!</v>
      </c>
      <c r="T253" s="38" t="e">
        <v>#DIV/0!</v>
      </c>
      <c r="U253" s="38">
        <v>0</v>
      </c>
      <c r="V253" s="38">
        <v>0</v>
      </c>
      <c r="W253" s="38">
        <v>0</v>
      </c>
      <c r="X253" s="38">
        <v>0</v>
      </c>
      <c r="Y253" s="38"/>
      <c r="Z253" s="38" t="e">
        <v>#DIV/0!</v>
      </c>
      <c r="AA253" s="38"/>
      <c r="AB253" s="38" t="e">
        <v>#DIV/0!</v>
      </c>
      <c r="AC253" s="38" t="e">
        <v>#DIV/0!</v>
      </c>
      <c r="AD253" s="38" t="e">
        <v>#DIV/0!</v>
      </c>
      <c r="AE253" s="33">
        <v>45505</v>
      </c>
      <c r="AF253" s="33"/>
      <c r="AG253" s="33"/>
      <c r="AH253" s="33"/>
      <c r="AI253" s="33"/>
      <c r="AJ253" s="42"/>
      <c r="AK253" s="37"/>
      <c r="AL253" s="37"/>
      <c r="AM253" s="37"/>
      <c r="AN253" s="37"/>
      <c r="AO253" s="43"/>
      <c r="AP253" s="35"/>
      <c r="AQ253" s="35"/>
      <c r="AR253" s="44"/>
      <c r="AS253" s="37"/>
    </row>
    <row r="254" spans="1:45" ht="48" customHeight="1" x14ac:dyDescent="0.25">
      <c r="A254" s="32" t="s">
        <v>3368</v>
      </c>
      <c r="B254" s="56">
        <v>45398</v>
      </c>
      <c r="C254" s="35">
        <v>1416</v>
      </c>
      <c r="D254" s="36"/>
      <c r="E254" s="37"/>
      <c r="F254" s="33"/>
      <c r="G254" s="35"/>
      <c r="H254" s="37"/>
      <c r="I254" s="58" t="s">
        <v>3369</v>
      </c>
      <c r="J254" s="57">
        <v>27051057.899999999</v>
      </c>
      <c r="K254" s="40">
        <v>100</v>
      </c>
      <c r="L254" s="41">
        <v>27051057.899999999</v>
      </c>
      <c r="M254" s="38"/>
      <c r="N254" s="41">
        <v>27051057.899999999</v>
      </c>
      <c r="O254" s="38">
        <v>0</v>
      </c>
      <c r="P254" s="27">
        <v>0</v>
      </c>
      <c r="Q254" s="27">
        <v>0</v>
      </c>
      <c r="R254" s="27" t="e">
        <v>#DIV/0!</v>
      </c>
      <c r="S254" s="38" t="e">
        <v>#DIV/0!</v>
      </c>
      <c r="T254" s="38" t="e">
        <v>#DIV/0!</v>
      </c>
      <c r="U254" s="38">
        <v>0</v>
      </c>
      <c r="V254" s="38">
        <v>0</v>
      </c>
      <c r="W254" s="38">
        <v>0</v>
      </c>
      <c r="X254" s="38">
        <v>0</v>
      </c>
      <c r="Y254" s="38"/>
      <c r="Z254" s="38" t="e">
        <v>#DIV/0!</v>
      </c>
      <c r="AA254" s="38"/>
      <c r="AB254" s="38" t="e">
        <v>#DIV/0!</v>
      </c>
      <c r="AC254" s="38" t="e">
        <v>#DIV/0!</v>
      </c>
      <c r="AD254" s="38" t="e">
        <v>#DIV/0!</v>
      </c>
      <c r="AE254" s="33">
        <v>45474</v>
      </c>
      <c r="AF254" s="33"/>
      <c r="AG254" s="33"/>
      <c r="AH254" s="33"/>
      <c r="AI254" s="33"/>
      <c r="AJ254" s="42"/>
      <c r="AK254" s="37"/>
      <c r="AL254" s="37"/>
      <c r="AM254" s="37"/>
      <c r="AN254" s="37"/>
      <c r="AO254" s="43"/>
      <c r="AP254" s="35"/>
      <c r="AQ254" s="35"/>
      <c r="AR254" s="44"/>
      <c r="AS254" s="37"/>
    </row>
    <row r="255" spans="1:45" ht="48" customHeight="1" x14ac:dyDescent="0.25">
      <c r="A255" s="32" t="s">
        <v>3386</v>
      </c>
      <c r="B255" s="56">
        <v>45399</v>
      </c>
      <c r="C255" s="35" t="s">
        <v>2213</v>
      </c>
      <c r="D255" s="36"/>
      <c r="E255" s="37"/>
      <c r="F255" s="33"/>
      <c r="G255" s="35"/>
      <c r="H255" s="37"/>
      <c r="I255" s="58" t="s">
        <v>3387</v>
      </c>
      <c r="J255" s="57">
        <v>155526</v>
      </c>
      <c r="K255" s="40">
        <v>100</v>
      </c>
      <c r="L255" s="41">
        <v>155526</v>
      </c>
      <c r="M255" s="38"/>
      <c r="N255" s="41">
        <v>155526</v>
      </c>
      <c r="O255" s="38">
        <v>0</v>
      </c>
      <c r="P255" s="27">
        <v>0</v>
      </c>
      <c r="Q255" s="27">
        <v>0</v>
      </c>
      <c r="R255" s="27" t="e">
        <v>#DIV/0!</v>
      </c>
      <c r="S255" s="38" t="e">
        <v>#DIV/0!</v>
      </c>
      <c r="T255" s="38" t="e">
        <v>#DIV/0!</v>
      </c>
      <c r="U255" s="38">
        <v>0</v>
      </c>
      <c r="V255" s="38">
        <v>0</v>
      </c>
      <c r="W255" s="38">
        <v>0</v>
      </c>
      <c r="X255" s="38">
        <v>0</v>
      </c>
      <c r="Y255" s="38"/>
      <c r="Z255" s="38" t="e">
        <v>#DIV/0!</v>
      </c>
      <c r="AA255" s="38"/>
      <c r="AB255" s="38" t="e">
        <v>#DIV/0!</v>
      </c>
      <c r="AC255" s="38" t="e">
        <v>#DIV/0!</v>
      </c>
      <c r="AD255" s="38" t="e">
        <v>#DIV/0!</v>
      </c>
      <c r="AE255" s="33">
        <v>45474</v>
      </c>
      <c r="AF255" s="33"/>
      <c r="AG255" s="33"/>
      <c r="AH255" s="33"/>
      <c r="AI255" s="33"/>
      <c r="AJ255" s="42"/>
      <c r="AK255" s="37"/>
      <c r="AL255" s="37"/>
      <c r="AM255" s="37"/>
      <c r="AN255" s="37"/>
      <c r="AO255" s="43"/>
      <c r="AP255" s="35"/>
      <c r="AQ255" s="35"/>
      <c r="AR255" s="44"/>
      <c r="AS255" s="37"/>
    </row>
    <row r="256" spans="1:45" ht="48" customHeight="1" x14ac:dyDescent="0.25">
      <c r="A256" s="32" t="s">
        <v>3388</v>
      </c>
      <c r="B256" s="56">
        <v>45399</v>
      </c>
      <c r="C256" s="35" t="s">
        <v>2213</v>
      </c>
      <c r="D256" s="36"/>
      <c r="E256" s="37"/>
      <c r="F256" s="33"/>
      <c r="G256" s="35"/>
      <c r="H256" s="37"/>
      <c r="I256" s="58" t="s">
        <v>3387</v>
      </c>
      <c r="J256" s="57">
        <v>933156</v>
      </c>
      <c r="K256" s="40">
        <v>100</v>
      </c>
      <c r="L256" s="41">
        <v>933156</v>
      </c>
      <c r="M256" s="38"/>
      <c r="N256" s="41">
        <v>933156</v>
      </c>
      <c r="O256" s="38">
        <v>0</v>
      </c>
      <c r="P256" s="27">
        <v>0</v>
      </c>
      <c r="Q256" s="27">
        <v>0</v>
      </c>
      <c r="R256" s="27" t="e">
        <v>#DIV/0!</v>
      </c>
      <c r="S256" s="38" t="e">
        <v>#DIV/0!</v>
      </c>
      <c r="T256" s="38" t="e">
        <v>#DIV/0!</v>
      </c>
      <c r="U256" s="38">
        <v>0</v>
      </c>
      <c r="V256" s="38">
        <v>0</v>
      </c>
      <c r="W256" s="38">
        <v>0</v>
      </c>
      <c r="X256" s="38">
        <v>0</v>
      </c>
      <c r="Y256" s="38"/>
      <c r="Z256" s="38" t="e">
        <v>#DIV/0!</v>
      </c>
      <c r="AA256" s="38"/>
      <c r="AB256" s="38" t="e">
        <v>#DIV/0!</v>
      </c>
      <c r="AC256" s="38" t="e">
        <v>#DIV/0!</v>
      </c>
      <c r="AD256" s="38" t="e">
        <v>#DIV/0!</v>
      </c>
      <c r="AE256" s="33">
        <v>45474</v>
      </c>
      <c r="AF256" s="33"/>
      <c r="AG256" s="33"/>
      <c r="AH256" s="33"/>
      <c r="AI256" s="33"/>
      <c r="AJ256" s="42"/>
      <c r="AK256" s="37"/>
      <c r="AL256" s="37"/>
      <c r="AM256" s="37"/>
      <c r="AN256" s="37"/>
      <c r="AO256" s="43"/>
      <c r="AP256" s="35"/>
      <c r="AQ256" s="35"/>
      <c r="AR256" s="44"/>
      <c r="AS256" s="37"/>
    </row>
    <row r="257" spans="1:45" ht="48" customHeight="1" x14ac:dyDescent="0.25">
      <c r="A257" s="32" t="s">
        <v>3389</v>
      </c>
      <c r="B257" s="56">
        <v>45399</v>
      </c>
      <c r="C257" s="35">
        <v>1416</v>
      </c>
      <c r="D257" s="36"/>
      <c r="E257" s="37"/>
      <c r="F257" s="33"/>
      <c r="G257" s="35"/>
      <c r="H257" s="37"/>
      <c r="I257" s="59" t="s">
        <v>953</v>
      </c>
      <c r="J257" s="57">
        <v>10364357.85</v>
      </c>
      <c r="K257" s="40">
        <v>100</v>
      </c>
      <c r="L257" s="41">
        <v>10364357.85</v>
      </c>
      <c r="M257" s="38"/>
      <c r="N257" s="41">
        <v>10364357.85</v>
      </c>
      <c r="O257" s="38">
        <v>0</v>
      </c>
      <c r="P257" s="27">
        <v>0</v>
      </c>
      <c r="Q257" s="27">
        <v>0</v>
      </c>
      <c r="R257" s="27" t="e">
        <v>#DIV/0!</v>
      </c>
      <c r="S257" s="38" t="e">
        <v>#DIV/0!</v>
      </c>
      <c r="T257" s="38" t="e">
        <v>#DIV/0!</v>
      </c>
      <c r="U257" s="38">
        <v>0</v>
      </c>
      <c r="V257" s="38">
        <v>0</v>
      </c>
      <c r="W257" s="38">
        <v>0</v>
      </c>
      <c r="X257" s="38">
        <v>0</v>
      </c>
      <c r="Y257" s="38"/>
      <c r="Z257" s="38" t="e">
        <v>#DIV/0!</v>
      </c>
      <c r="AA257" s="38"/>
      <c r="AB257" s="38" t="e">
        <v>#DIV/0!</v>
      </c>
      <c r="AC257" s="38" t="e">
        <v>#DIV/0!</v>
      </c>
      <c r="AD257" s="38" t="e">
        <v>#DIV/0!</v>
      </c>
      <c r="AE257" s="33">
        <v>45566</v>
      </c>
      <c r="AF257" s="33"/>
      <c r="AG257" s="33"/>
      <c r="AH257" s="33"/>
      <c r="AI257" s="33"/>
      <c r="AJ257" s="42"/>
      <c r="AK257" s="37"/>
      <c r="AL257" s="37"/>
      <c r="AM257" s="37"/>
      <c r="AN257" s="37"/>
      <c r="AO257" s="43"/>
      <c r="AP257" s="35"/>
      <c r="AQ257" s="35"/>
      <c r="AR257" s="44"/>
      <c r="AS257" s="37"/>
    </row>
    <row r="258" spans="1:45" ht="48" customHeight="1" x14ac:dyDescent="0.25">
      <c r="A258" s="32" t="s">
        <v>3390</v>
      </c>
      <c r="B258" s="56">
        <v>45399</v>
      </c>
      <c r="C258" s="35" t="s">
        <v>2213</v>
      </c>
      <c r="D258" s="36"/>
      <c r="E258" s="37"/>
      <c r="F258" s="33"/>
      <c r="G258" s="35"/>
      <c r="H258" s="37"/>
      <c r="I258" s="58" t="s">
        <v>1009</v>
      </c>
      <c r="J258" s="57">
        <v>9012809.5199999996</v>
      </c>
      <c r="K258" s="40">
        <v>100</v>
      </c>
      <c r="L258" s="41">
        <v>9012809.5199999996</v>
      </c>
      <c r="M258" s="38"/>
      <c r="N258" s="41">
        <v>9012809.5199999996</v>
      </c>
      <c r="O258" s="38">
        <v>0</v>
      </c>
      <c r="P258" s="27">
        <v>0</v>
      </c>
      <c r="Q258" s="27">
        <v>0</v>
      </c>
      <c r="R258" s="27" t="e">
        <v>#DIV/0!</v>
      </c>
      <c r="S258" s="38" t="e">
        <v>#DIV/0!</v>
      </c>
      <c r="T258" s="38" t="e">
        <v>#DIV/0!</v>
      </c>
      <c r="U258" s="38">
        <v>0</v>
      </c>
      <c r="V258" s="38">
        <v>0</v>
      </c>
      <c r="W258" s="38">
        <v>0</v>
      </c>
      <c r="X258" s="38">
        <v>0</v>
      </c>
      <c r="Y258" s="38"/>
      <c r="Z258" s="38" t="e">
        <v>#DIV/0!</v>
      </c>
      <c r="AA258" s="38"/>
      <c r="AB258" s="38" t="e">
        <v>#DIV/0!</v>
      </c>
      <c r="AC258" s="38" t="e">
        <v>#DIV/0!</v>
      </c>
      <c r="AD258" s="38" t="e">
        <v>#DIV/0!</v>
      </c>
      <c r="AE258" s="33">
        <v>45566</v>
      </c>
      <c r="AF258" s="33"/>
      <c r="AG258" s="33"/>
      <c r="AH258" s="33"/>
      <c r="AI258" s="33"/>
      <c r="AJ258" s="42"/>
      <c r="AK258" s="37"/>
      <c r="AL258" s="37"/>
      <c r="AM258" s="37"/>
      <c r="AN258" s="37"/>
      <c r="AO258" s="43"/>
      <c r="AP258" s="35"/>
      <c r="AQ258" s="35"/>
      <c r="AR258" s="44"/>
      <c r="AS258" s="37"/>
    </row>
    <row r="259" spans="1:45" ht="48" customHeight="1" x14ac:dyDescent="0.25">
      <c r="A259" s="32" t="s">
        <v>3391</v>
      </c>
      <c r="B259" s="56">
        <v>45399</v>
      </c>
      <c r="C259" s="35">
        <v>1416</v>
      </c>
      <c r="D259" s="36"/>
      <c r="E259" s="37"/>
      <c r="F259" s="33"/>
      <c r="G259" s="35"/>
      <c r="H259" s="37"/>
      <c r="I259" s="59" t="s">
        <v>220</v>
      </c>
      <c r="J259" s="57">
        <v>709909200</v>
      </c>
      <c r="K259" s="40">
        <v>100</v>
      </c>
      <c r="L259" s="41">
        <v>709909200</v>
      </c>
      <c r="M259" s="38"/>
      <c r="N259" s="41">
        <v>709909200</v>
      </c>
      <c r="O259" s="38">
        <v>0</v>
      </c>
      <c r="P259" s="27">
        <v>0</v>
      </c>
      <c r="Q259" s="27">
        <v>0</v>
      </c>
      <c r="R259" s="27" t="e">
        <v>#DIV/0!</v>
      </c>
      <c r="S259" s="38" t="e">
        <v>#DIV/0!</v>
      </c>
      <c r="T259" s="38" t="e">
        <v>#DIV/0!</v>
      </c>
      <c r="U259" s="38">
        <v>0</v>
      </c>
      <c r="V259" s="38">
        <v>0</v>
      </c>
      <c r="W259" s="38">
        <v>0</v>
      </c>
      <c r="X259" s="38">
        <v>0</v>
      </c>
      <c r="Y259" s="38"/>
      <c r="Z259" s="38" t="e">
        <v>#DIV/0!</v>
      </c>
      <c r="AA259" s="38"/>
      <c r="AB259" s="38" t="e">
        <v>#DIV/0!</v>
      </c>
      <c r="AC259" s="38" t="e">
        <v>#DIV/0!</v>
      </c>
      <c r="AD259" s="38" t="e">
        <v>#DIV/0!</v>
      </c>
      <c r="AE259" s="33">
        <v>45474</v>
      </c>
      <c r="AF259" s="33"/>
      <c r="AG259" s="33"/>
      <c r="AH259" s="33"/>
      <c r="AI259" s="33"/>
      <c r="AJ259" s="42"/>
      <c r="AK259" s="37"/>
      <c r="AL259" s="37"/>
      <c r="AM259" s="37"/>
      <c r="AN259" s="37"/>
      <c r="AO259" s="43"/>
      <c r="AP259" s="35"/>
      <c r="AQ259" s="35"/>
      <c r="AR259" s="44"/>
      <c r="AS259" s="37"/>
    </row>
    <row r="260" spans="1:45" ht="48" customHeight="1" x14ac:dyDescent="0.25">
      <c r="A260" s="32" t="s">
        <v>3392</v>
      </c>
      <c r="B260" s="56">
        <v>45399</v>
      </c>
      <c r="C260" s="35">
        <v>1416</v>
      </c>
      <c r="D260" s="36"/>
      <c r="E260" s="37"/>
      <c r="F260" s="33"/>
      <c r="G260" s="35"/>
      <c r="H260" s="37"/>
      <c r="I260" s="58" t="s">
        <v>3393</v>
      </c>
      <c r="J260" s="57">
        <v>217336829.38</v>
      </c>
      <c r="K260" s="40">
        <v>100</v>
      </c>
      <c r="L260" s="41">
        <v>217336829.38</v>
      </c>
      <c r="M260" s="38"/>
      <c r="N260" s="41">
        <v>217336829.38</v>
      </c>
      <c r="O260" s="38">
        <v>0</v>
      </c>
      <c r="P260" s="27">
        <v>0</v>
      </c>
      <c r="Q260" s="27">
        <v>0</v>
      </c>
      <c r="R260" s="27" t="e">
        <v>#DIV/0!</v>
      </c>
      <c r="S260" s="38" t="e">
        <v>#DIV/0!</v>
      </c>
      <c r="T260" s="38" t="e">
        <v>#DIV/0!</v>
      </c>
      <c r="U260" s="38">
        <v>0</v>
      </c>
      <c r="V260" s="38">
        <v>0</v>
      </c>
      <c r="W260" s="38">
        <v>0</v>
      </c>
      <c r="X260" s="38">
        <v>0</v>
      </c>
      <c r="Y260" s="38"/>
      <c r="Z260" s="38" t="e">
        <v>#DIV/0!</v>
      </c>
      <c r="AA260" s="38"/>
      <c r="AB260" s="38" t="e">
        <v>#DIV/0!</v>
      </c>
      <c r="AC260" s="38" t="e">
        <v>#DIV/0!</v>
      </c>
      <c r="AD260" s="38" t="e">
        <v>#DIV/0!</v>
      </c>
      <c r="AE260" s="33">
        <v>45474</v>
      </c>
      <c r="AF260" s="33"/>
      <c r="AG260" s="33"/>
      <c r="AH260" s="33"/>
      <c r="AI260" s="33"/>
      <c r="AJ260" s="42"/>
      <c r="AK260" s="37"/>
      <c r="AL260" s="37"/>
      <c r="AM260" s="37"/>
      <c r="AN260" s="37"/>
      <c r="AO260" s="43"/>
      <c r="AP260" s="35"/>
      <c r="AQ260" s="35"/>
      <c r="AR260" s="44"/>
      <c r="AS260" s="37"/>
    </row>
    <row r="261" spans="1:45" ht="48" customHeight="1" x14ac:dyDescent="0.25">
      <c r="A261" s="32" t="s">
        <v>3395</v>
      </c>
      <c r="B261" s="56">
        <v>45399</v>
      </c>
      <c r="C261" s="35" t="s">
        <v>2213</v>
      </c>
      <c r="D261" s="36"/>
      <c r="E261" s="37"/>
      <c r="F261" s="33"/>
      <c r="G261" s="35"/>
      <c r="H261" s="37"/>
      <c r="I261" s="58" t="s">
        <v>3393</v>
      </c>
      <c r="J261" s="57">
        <v>3087275.84</v>
      </c>
      <c r="K261" s="40">
        <v>100</v>
      </c>
      <c r="L261" s="41">
        <v>3087275.84</v>
      </c>
      <c r="M261" s="38"/>
      <c r="N261" s="41">
        <v>3087275.84</v>
      </c>
      <c r="O261" s="38">
        <v>0</v>
      </c>
      <c r="P261" s="27">
        <v>0</v>
      </c>
      <c r="Q261" s="27">
        <v>0</v>
      </c>
      <c r="R261" s="27" t="e">
        <v>#DIV/0!</v>
      </c>
      <c r="S261" s="38" t="e">
        <v>#DIV/0!</v>
      </c>
      <c r="T261" s="38" t="e">
        <v>#DIV/0!</v>
      </c>
      <c r="U261" s="38">
        <v>0</v>
      </c>
      <c r="V261" s="38">
        <v>0</v>
      </c>
      <c r="W261" s="38">
        <v>0</v>
      </c>
      <c r="X261" s="38">
        <v>0</v>
      </c>
      <c r="Y261" s="38"/>
      <c r="Z261" s="38" t="e">
        <v>#DIV/0!</v>
      </c>
      <c r="AA261" s="38"/>
      <c r="AB261" s="38" t="e">
        <v>#DIV/0!</v>
      </c>
      <c r="AC261" s="38" t="e">
        <v>#DIV/0!</v>
      </c>
      <c r="AD261" s="38" t="e">
        <v>#DIV/0!</v>
      </c>
      <c r="AE261" s="33">
        <v>45474</v>
      </c>
      <c r="AF261" s="33"/>
      <c r="AG261" s="33"/>
      <c r="AH261" s="33"/>
      <c r="AI261" s="33"/>
      <c r="AJ261" s="42"/>
      <c r="AK261" s="37"/>
      <c r="AL261" s="37"/>
      <c r="AM261" s="37"/>
      <c r="AN261" s="37"/>
      <c r="AO261" s="43"/>
      <c r="AP261" s="35"/>
      <c r="AQ261" s="35"/>
      <c r="AR261" s="44"/>
      <c r="AS261" s="37"/>
    </row>
    <row r="262" spans="1:45" ht="48" customHeight="1" x14ac:dyDescent="0.25">
      <c r="A262" s="32" t="s">
        <v>3396</v>
      </c>
      <c r="B262" s="56">
        <v>45399</v>
      </c>
      <c r="C262" s="35" t="s">
        <v>2213</v>
      </c>
      <c r="D262" s="36"/>
      <c r="E262" s="37"/>
      <c r="F262" s="33"/>
      <c r="G262" s="35"/>
      <c r="H262" s="37"/>
      <c r="I262" s="58" t="s">
        <v>1205</v>
      </c>
      <c r="J262" s="57">
        <v>1127140</v>
      </c>
      <c r="K262" s="40">
        <v>100</v>
      </c>
      <c r="L262" s="41">
        <v>1127140</v>
      </c>
      <c r="M262" s="38"/>
      <c r="N262" s="41">
        <v>1127140</v>
      </c>
      <c r="O262" s="38">
        <v>0</v>
      </c>
      <c r="P262" s="27">
        <v>0</v>
      </c>
      <c r="Q262" s="27">
        <v>0</v>
      </c>
      <c r="R262" s="27" t="e">
        <v>#DIV/0!</v>
      </c>
      <c r="S262" s="38" t="e">
        <v>#DIV/0!</v>
      </c>
      <c r="T262" s="38" t="e">
        <v>#DIV/0!</v>
      </c>
      <c r="U262" s="38">
        <v>0</v>
      </c>
      <c r="V262" s="38">
        <v>0</v>
      </c>
      <c r="W262" s="38">
        <v>0</v>
      </c>
      <c r="X262" s="38">
        <v>0</v>
      </c>
      <c r="Y262" s="38"/>
      <c r="Z262" s="38" t="e">
        <v>#DIV/0!</v>
      </c>
      <c r="AA262" s="38"/>
      <c r="AB262" s="38" t="e">
        <v>#DIV/0!</v>
      </c>
      <c r="AC262" s="38" t="e">
        <v>#DIV/0!</v>
      </c>
      <c r="AD262" s="38" t="e">
        <v>#DIV/0!</v>
      </c>
      <c r="AE262" s="33">
        <v>45519</v>
      </c>
      <c r="AF262" s="33"/>
      <c r="AG262" s="33"/>
      <c r="AH262" s="33"/>
      <c r="AI262" s="33"/>
      <c r="AJ262" s="42"/>
      <c r="AK262" s="37"/>
      <c r="AL262" s="37"/>
      <c r="AM262" s="37"/>
      <c r="AN262" s="37"/>
      <c r="AO262" s="43"/>
      <c r="AP262" s="35"/>
      <c r="AQ262" s="35"/>
      <c r="AR262" s="44"/>
      <c r="AS262" s="37"/>
    </row>
    <row r="263" spans="1:45" ht="48" customHeight="1" x14ac:dyDescent="0.25">
      <c r="A263" s="32" t="s">
        <v>3397</v>
      </c>
      <c r="B263" s="56">
        <v>45399</v>
      </c>
      <c r="C263" s="35" t="s">
        <v>2213</v>
      </c>
      <c r="D263" s="36"/>
      <c r="E263" s="37"/>
      <c r="F263" s="33"/>
      <c r="G263" s="35"/>
      <c r="H263" s="37"/>
      <c r="I263" s="58" t="s">
        <v>1496</v>
      </c>
      <c r="J263" s="57">
        <v>172780</v>
      </c>
      <c r="K263" s="40">
        <v>100</v>
      </c>
      <c r="L263" s="41">
        <v>172780</v>
      </c>
      <c r="M263" s="38"/>
      <c r="N263" s="41">
        <v>172780</v>
      </c>
      <c r="O263" s="38">
        <v>0</v>
      </c>
      <c r="P263" s="27">
        <v>0</v>
      </c>
      <c r="Q263" s="27">
        <v>0</v>
      </c>
      <c r="R263" s="27" t="e">
        <v>#DIV/0!</v>
      </c>
      <c r="S263" s="38" t="e">
        <v>#DIV/0!</v>
      </c>
      <c r="T263" s="38" t="e">
        <v>#DIV/0!</v>
      </c>
      <c r="U263" s="38">
        <v>0</v>
      </c>
      <c r="V263" s="38">
        <v>0</v>
      </c>
      <c r="W263" s="38">
        <v>0</v>
      </c>
      <c r="X263" s="38">
        <v>0</v>
      </c>
      <c r="Y263" s="38"/>
      <c r="Z263" s="38" t="e">
        <v>#DIV/0!</v>
      </c>
      <c r="AA263" s="38"/>
      <c r="AB263" s="38" t="e">
        <v>#DIV/0!</v>
      </c>
      <c r="AC263" s="38" t="e">
        <v>#DIV/0!</v>
      </c>
      <c r="AD263" s="38" t="e">
        <v>#DIV/0!</v>
      </c>
      <c r="AE263" s="33">
        <v>45474</v>
      </c>
      <c r="AF263" s="33"/>
      <c r="AG263" s="33"/>
      <c r="AH263" s="33"/>
      <c r="AI263" s="33"/>
      <c r="AJ263" s="42"/>
      <c r="AK263" s="37"/>
      <c r="AL263" s="37"/>
      <c r="AM263" s="37"/>
      <c r="AN263" s="37"/>
      <c r="AO263" s="43"/>
      <c r="AP263" s="35"/>
      <c r="AQ263" s="35"/>
      <c r="AR263" s="44"/>
      <c r="AS263" s="37"/>
    </row>
    <row r="264" spans="1:45" ht="48" customHeight="1" x14ac:dyDescent="0.25">
      <c r="A264" s="32" t="s">
        <v>3398</v>
      </c>
      <c r="B264" s="56">
        <v>45399</v>
      </c>
      <c r="C264" s="35">
        <v>1416</v>
      </c>
      <c r="D264" s="36"/>
      <c r="E264" s="37"/>
      <c r="F264" s="33"/>
      <c r="G264" s="35"/>
      <c r="H264" s="37"/>
      <c r="I264" s="58" t="s">
        <v>1205</v>
      </c>
      <c r="J264" s="57">
        <v>149386790</v>
      </c>
      <c r="K264" s="40">
        <v>100</v>
      </c>
      <c r="L264" s="41">
        <v>149386790</v>
      </c>
      <c r="M264" s="38"/>
      <c r="N264" s="41">
        <v>149386790</v>
      </c>
      <c r="O264" s="38">
        <v>0</v>
      </c>
      <c r="P264" s="27">
        <v>0</v>
      </c>
      <c r="Q264" s="27">
        <v>0</v>
      </c>
      <c r="R264" s="27" t="e">
        <v>#DIV/0!</v>
      </c>
      <c r="S264" s="38" t="e">
        <v>#DIV/0!</v>
      </c>
      <c r="T264" s="38" t="e">
        <v>#DIV/0!</v>
      </c>
      <c r="U264" s="38">
        <v>0</v>
      </c>
      <c r="V264" s="38">
        <v>0</v>
      </c>
      <c r="W264" s="38">
        <v>0</v>
      </c>
      <c r="X264" s="38">
        <v>0</v>
      </c>
      <c r="Y264" s="38"/>
      <c r="Z264" s="38" t="e">
        <v>#DIV/0!</v>
      </c>
      <c r="AA264" s="38"/>
      <c r="AB264" s="38" t="e">
        <v>#DIV/0!</v>
      </c>
      <c r="AC264" s="38" t="e">
        <v>#DIV/0!</v>
      </c>
      <c r="AD264" s="38" t="e">
        <v>#DIV/0!</v>
      </c>
      <c r="AE264" s="33">
        <v>45519</v>
      </c>
      <c r="AF264" s="33">
        <v>45596</v>
      </c>
      <c r="AG264" s="33"/>
      <c r="AH264" s="33"/>
      <c r="AI264" s="33"/>
      <c r="AJ264" s="42"/>
      <c r="AK264" s="37"/>
      <c r="AL264" s="37"/>
      <c r="AM264" s="37"/>
      <c r="AN264" s="37"/>
      <c r="AO264" s="43"/>
      <c r="AP264" s="35"/>
      <c r="AQ264" s="35"/>
      <c r="AR264" s="44"/>
      <c r="AS264" s="37"/>
    </row>
    <row r="265" spans="1:45" ht="48" customHeight="1" x14ac:dyDescent="0.25">
      <c r="A265" s="32" t="s">
        <v>3406</v>
      </c>
      <c r="B265" s="56">
        <v>45400</v>
      </c>
      <c r="C265" s="35" t="s">
        <v>2213</v>
      </c>
      <c r="D265" s="36"/>
      <c r="E265" s="37"/>
      <c r="F265" s="33"/>
      <c r="G265" s="35"/>
      <c r="H265" s="37"/>
      <c r="I265" s="58" t="s">
        <v>1150</v>
      </c>
      <c r="J265" s="57">
        <v>63996.24</v>
      </c>
      <c r="K265" s="40">
        <v>100</v>
      </c>
      <c r="L265" s="41">
        <v>63996.24</v>
      </c>
      <c r="M265" s="38"/>
      <c r="N265" s="41">
        <v>63996.24</v>
      </c>
      <c r="O265" s="38">
        <v>0</v>
      </c>
      <c r="P265" s="27">
        <v>0</v>
      </c>
      <c r="Q265" s="27">
        <v>0</v>
      </c>
      <c r="R265" s="27" t="e">
        <v>#DIV/0!</v>
      </c>
      <c r="S265" s="38" t="e">
        <v>#DIV/0!</v>
      </c>
      <c r="T265" s="38" t="e">
        <v>#DIV/0!</v>
      </c>
      <c r="U265" s="38">
        <v>0</v>
      </c>
      <c r="V265" s="38">
        <v>0</v>
      </c>
      <c r="W265" s="38">
        <v>0</v>
      </c>
      <c r="X265" s="38">
        <v>0</v>
      </c>
      <c r="Y265" s="38"/>
      <c r="Z265" s="38" t="e">
        <v>#DIV/0!</v>
      </c>
      <c r="AA265" s="38"/>
      <c r="AB265" s="38" t="e">
        <v>#DIV/0!</v>
      </c>
      <c r="AC265" s="38" t="e">
        <v>#DIV/0!</v>
      </c>
      <c r="AD265" s="38" t="e">
        <v>#DIV/0!</v>
      </c>
      <c r="AE265" s="33">
        <v>45474</v>
      </c>
      <c r="AF265" s="33"/>
      <c r="AG265" s="33"/>
      <c r="AH265" s="33"/>
      <c r="AI265" s="33"/>
      <c r="AJ265" s="42"/>
      <c r="AK265" s="37"/>
      <c r="AL265" s="37"/>
      <c r="AM265" s="37"/>
      <c r="AN265" s="37"/>
      <c r="AO265" s="43"/>
      <c r="AP265" s="35"/>
      <c r="AQ265" s="35"/>
      <c r="AR265" s="44"/>
      <c r="AS265" s="37"/>
    </row>
    <row r="266" spans="1:45" ht="48" customHeight="1" x14ac:dyDescent="0.25">
      <c r="A266" s="32" t="s">
        <v>3411</v>
      </c>
      <c r="B266" s="56">
        <v>45400</v>
      </c>
      <c r="C266" s="35" t="s">
        <v>2213</v>
      </c>
      <c r="D266" s="36"/>
      <c r="E266" s="37"/>
      <c r="F266" s="33"/>
      <c r="G266" s="35"/>
      <c r="H266" s="37"/>
      <c r="I266" s="58" t="s">
        <v>3412</v>
      </c>
      <c r="J266" s="57">
        <v>599040</v>
      </c>
      <c r="K266" s="40">
        <v>100</v>
      </c>
      <c r="L266" s="41">
        <v>599040</v>
      </c>
      <c r="M266" s="38"/>
      <c r="N266" s="41">
        <v>599040</v>
      </c>
      <c r="O266" s="38">
        <v>0</v>
      </c>
      <c r="P266" s="27">
        <v>0</v>
      </c>
      <c r="Q266" s="27">
        <v>0</v>
      </c>
      <c r="R266" s="27" t="e">
        <v>#DIV/0!</v>
      </c>
      <c r="S266" s="38" t="e">
        <v>#DIV/0!</v>
      </c>
      <c r="T266" s="38" t="e">
        <v>#DIV/0!</v>
      </c>
      <c r="U266" s="38">
        <v>0</v>
      </c>
      <c r="V266" s="38">
        <v>0</v>
      </c>
      <c r="W266" s="38">
        <v>0</v>
      </c>
      <c r="X266" s="38">
        <v>0</v>
      </c>
      <c r="Y266" s="38"/>
      <c r="Z266" s="38" t="e">
        <v>#DIV/0!</v>
      </c>
      <c r="AA266" s="38"/>
      <c r="AB266" s="38" t="e">
        <v>#DIV/0!</v>
      </c>
      <c r="AC266" s="38" t="e">
        <v>#DIV/0!</v>
      </c>
      <c r="AD266" s="38" t="e">
        <v>#DIV/0!</v>
      </c>
      <c r="AE266" s="33">
        <v>45566</v>
      </c>
      <c r="AF266" s="33"/>
      <c r="AG266" s="33"/>
      <c r="AH266" s="33"/>
      <c r="AI266" s="33"/>
      <c r="AJ266" s="42"/>
      <c r="AK266" s="37"/>
      <c r="AL266" s="37"/>
      <c r="AM266" s="37"/>
      <c r="AN266" s="37"/>
      <c r="AO266" s="43"/>
      <c r="AP266" s="35"/>
      <c r="AQ266" s="35"/>
      <c r="AR266" s="44"/>
      <c r="AS266" s="37"/>
    </row>
    <row r="267" spans="1:45" ht="48" customHeight="1" x14ac:dyDescent="0.25">
      <c r="A267" s="32" t="s">
        <v>3415</v>
      </c>
      <c r="B267" s="56">
        <v>45401</v>
      </c>
      <c r="C267" s="35">
        <v>1416</v>
      </c>
      <c r="D267" s="36"/>
      <c r="E267" s="37"/>
      <c r="F267" s="33"/>
      <c r="G267" s="35"/>
      <c r="H267" s="37"/>
      <c r="I267" s="59" t="s">
        <v>898</v>
      </c>
      <c r="J267" s="57">
        <v>11108489.279999999</v>
      </c>
      <c r="K267" s="40">
        <v>100</v>
      </c>
      <c r="L267" s="41">
        <v>11108489.279999999</v>
      </c>
      <c r="M267" s="38"/>
      <c r="N267" s="41">
        <v>11108489.279999999</v>
      </c>
      <c r="O267" s="38">
        <v>0</v>
      </c>
      <c r="P267" s="27">
        <v>0</v>
      </c>
      <c r="Q267" s="27">
        <v>0</v>
      </c>
      <c r="R267" s="27" t="e">
        <v>#DIV/0!</v>
      </c>
      <c r="S267" s="38" t="e">
        <v>#DIV/0!</v>
      </c>
      <c r="T267" s="38" t="e">
        <v>#DIV/0!</v>
      </c>
      <c r="U267" s="38">
        <v>0</v>
      </c>
      <c r="V267" s="38">
        <v>0</v>
      </c>
      <c r="W267" s="38">
        <v>0</v>
      </c>
      <c r="X267" s="38">
        <v>0</v>
      </c>
      <c r="Y267" s="38"/>
      <c r="Z267" s="38" t="e">
        <v>#DIV/0!</v>
      </c>
      <c r="AA267" s="38"/>
      <c r="AB267" s="38" t="e">
        <v>#DIV/0!</v>
      </c>
      <c r="AC267" s="38" t="e">
        <v>#DIV/0!</v>
      </c>
      <c r="AD267" s="38" t="e">
        <v>#DIV/0!</v>
      </c>
      <c r="AE267" s="33">
        <v>45566</v>
      </c>
      <c r="AF267" s="33"/>
      <c r="AG267" s="33"/>
      <c r="AH267" s="33"/>
      <c r="AI267" s="33"/>
      <c r="AJ267" s="42"/>
      <c r="AK267" s="37"/>
      <c r="AL267" s="37"/>
      <c r="AM267" s="37"/>
      <c r="AN267" s="37"/>
      <c r="AO267" s="43"/>
      <c r="AP267" s="35"/>
      <c r="AQ267" s="35"/>
      <c r="AR267" s="44"/>
      <c r="AS267" s="37"/>
    </row>
    <row r="268" spans="1:45" ht="48" customHeight="1" x14ac:dyDescent="0.25">
      <c r="A268" s="32" t="s">
        <v>3416</v>
      </c>
      <c r="B268" s="56">
        <v>45400</v>
      </c>
      <c r="C268" s="35" t="s">
        <v>2213</v>
      </c>
      <c r="D268" s="36"/>
      <c r="E268" s="37"/>
      <c r="F268" s="33"/>
      <c r="G268" s="35"/>
      <c r="H268" s="37"/>
      <c r="I268" s="58" t="s">
        <v>917</v>
      </c>
      <c r="J268" s="57">
        <v>72265</v>
      </c>
      <c r="K268" s="40">
        <v>100</v>
      </c>
      <c r="L268" s="41">
        <v>72265</v>
      </c>
      <c r="M268" s="38"/>
      <c r="N268" s="41">
        <v>72265</v>
      </c>
      <c r="O268" s="38">
        <v>0</v>
      </c>
      <c r="P268" s="27">
        <v>0</v>
      </c>
      <c r="Q268" s="27">
        <v>0</v>
      </c>
      <c r="R268" s="27" t="e">
        <v>#DIV/0!</v>
      </c>
      <c r="S268" s="38" t="e">
        <v>#DIV/0!</v>
      </c>
      <c r="T268" s="38" t="e">
        <v>#DIV/0!</v>
      </c>
      <c r="U268" s="38">
        <v>0</v>
      </c>
      <c r="V268" s="38">
        <v>0</v>
      </c>
      <c r="W268" s="38">
        <v>0</v>
      </c>
      <c r="X268" s="38">
        <v>0</v>
      </c>
      <c r="Y268" s="38"/>
      <c r="Z268" s="38" t="e">
        <v>#DIV/0!</v>
      </c>
      <c r="AA268" s="38"/>
      <c r="AB268" s="38" t="e">
        <v>#DIV/0!</v>
      </c>
      <c r="AC268" s="38" t="e">
        <v>#DIV/0!</v>
      </c>
      <c r="AD268" s="38" t="e">
        <v>#DIV/0!</v>
      </c>
      <c r="AE268" s="33">
        <v>45474</v>
      </c>
      <c r="AF268" s="33"/>
      <c r="AG268" s="33"/>
      <c r="AH268" s="33"/>
      <c r="AI268" s="33"/>
      <c r="AJ268" s="42"/>
      <c r="AK268" s="37"/>
      <c r="AL268" s="37"/>
      <c r="AM268" s="37"/>
      <c r="AN268" s="37"/>
      <c r="AO268" s="43"/>
      <c r="AP268" s="35"/>
      <c r="AQ268" s="35"/>
      <c r="AR268" s="44"/>
      <c r="AS268" s="37"/>
    </row>
  </sheetData>
  <autoFilter ref="A2:AS44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11" r:id="rId1" xr:uid="{F628A86C-468D-45FB-B781-A933FED41759}"/>
    <hyperlink ref="E20" r:id="rId2" xr:uid="{71613894-A2C0-4EE1-BDF1-80C4E1A66A00}"/>
    <hyperlink ref="E4" r:id="rId3" xr:uid="{D167FFB8-AB02-43BF-9055-852355553FF5}"/>
    <hyperlink ref="E3" r:id="rId4" xr:uid="{E6E07382-12A2-4F0E-9FC0-0961A5AE34D1}"/>
    <hyperlink ref="E26" r:id="rId5" xr:uid="{B5213101-E773-4061-8E00-3CB0D560FC6C}"/>
    <hyperlink ref="E5" r:id="rId6" xr:uid="{A8E9F2E2-C54F-4C85-806F-2066AF5F4F1D}"/>
    <hyperlink ref="E31" r:id="rId7" xr:uid="{722F95E9-FC19-400F-A91D-570C19FC4F27}"/>
    <hyperlink ref="E32" r:id="rId8" xr:uid="{71EB6468-BB89-4750-A893-1D04BED1B9F5}"/>
    <hyperlink ref="E33" r:id="rId9" xr:uid="{B46D93E3-6C21-402F-973E-09F4E8FB56F7}"/>
    <hyperlink ref="E34" r:id="rId10" xr:uid="{4FF69AD7-B048-49E0-913A-B11EE3831AD8}"/>
    <hyperlink ref="E35" r:id="rId11" xr:uid="{21D8F5F7-51FF-41FF-A594-38B731D47B20}"/>
    <hyperlink ref="E36" r:id="rId12" xr:uid="{FD628F9A-5EC1-4A98-A12C-12F3FA364390}"/>
    <hyperlink ref="E37" r:id="rId13" xr:uid="{BC686BD7-C19E-432A-9F97-04F413BF380D}"/>
    <hyperlink ref="E38" r:id="rId14" xr:uid="{B53437B9-459F-4EA7-9F83-E67A33D67F95}"/>
    <hyperlink ref="E39" r:id="rId15" xr:uid="{971D85AF-F5AD-48B2-A202-D81A3DA06EF5}"/>
    <hyperlink ref="E40" r:id="rId16" xr:uid="{0C683DCB-4968-4A0D-916D-ED3D2BE18967}"/>
    <hyperlink ref="E42" r:id="rId17" xr:uid="{6EF90D12-8DE8-4A2E-B5F8-03ED9DB7389F}"/>
    <hyperlink ref="E43" r:id="rId18" xr:uid="{AB95BB30-9194-4C46-9BB5-6C1948668B91}"/>
    <hyperlink ref="E41" r:id="rId19" xr:uid="{4EE9181C-11F1-4A29-9CA1-ECCE1C87018E}"/>
    <hyperlink ref="E44" r:id="rId20" xr:uid="{F337BE38-E873-4588-9747-12B3A48F12C0}"/>
    <hyperlink ref="E45" r:id="rId21" xr:uid="{92692F86-2944-4D8F-BF39-5786E32CDA79}"/>
    <hyperlink ref="E46" r:id="rId22" xr:uid="{E1D4591F-F3AF-43E9-BC75-473052CE1E61}"/>
    <hyperlink ref="E48" r:id="rId23" xr:uid="{A1E1DA1B-0952-49C9-BCA7-D3D147A2BC2B}"/>
    <hyperlink ref="E47" r:id="rId24" xr:uid="{40E4C13A-D04C-40A7-955B-A5A7FCC0A177}"/>
    <hyperlink ref="E49" r:id="rId25" xr:uid="{57E2814B-56A4-4F13-B14E-A581CEA759CA}"/>
    <hyperlink ref="E50" r:id="rId26" xr:uid="{9994E602-083E-4C4C-AB32-6080B335EFE5}"/>
    <hyperlink ref="E51" r:id="rId27" xr:uid="{02AD93A8-5323-44C7-AB64-FCE16DA9AE95}"/>
    <hyperlink ref="E52" r:id="rId28" xr:uid="{9191BF77-DBED-45FD-AD67-3D7721196BDD}"/>
    <hyperlink ref="E53" r:id="rId29" xr:uid="{C59112A4-4855-4BB5-B0AC-3E2DB417328B}"/>
    <hyperlink ref="E54" r:id="rId30" xr:uid="{7E192AA7-F083-4D58-AA2E-4BA0A96D56CB}"/>
    <hyperlink ref="E55" r:id="rId31" xr:uid="{4B3AC5D2-EEC4-49FD-B824-DA716E4DADD6}"/>
    <hyperlink ref="E56" r:id="rId32" xr:uid="{372007FC-C5F4-4379-9101-FBE9CEAD7F9B}"/>
    <hyperlink ref="E57" r:id="rId33" xr:uid="{19389C09-F9CD-4A7B-A051-CEDE378AD60C}"/>
    <hyperlink ref="E58" r:id="rId34" xr:uid="{0F6568C0-0765-457A-A15C-BC8A12A300D0}"/>
    <hyperlink ref="E59" r:id="rId35" xr:uid="{D567EB7C-8684-41A1-9C25-9E1F5CD8BB06}"/>
    <hyperlink ref="E60" r:id="rId36" xr:uid="{4310A796-F701-4743-9622-1D7977FE7878}"/>
    <hyperlink ref="E61" r:id="rId37" xr:uid="{F6A80042-4D60-48CE-94C0-827356D57B4F}"/>
    <hyperlink ref="E62" r:id="rId38" xr:uid="{E2AE8498-A1E4-45FA-A17B-595DE77104E4}"/>
    <hyperlink ref="E63" r:id="rId39" xr:uid="{0D9CE494-012D-483E-9E18-C08C495E1CEE}"/>
    <hyperlink ref="E64" r:id="rId40" xr:uid="{ECC97974-4FB8-43A6-9AEC-EE58376A8AFD}"/>
    <hyperlink ref="E65" r:id="rId41" xr:uid="{F89696F0-B0DE-4058-B58C-90B73209E957}"/>
    <hyperlink ref="E66" r:id="rId42" xr:uid="{7809D308-D0BC-43BB-99C1-8566872D46F2}"/>
    <hyperlink ref="E67" r:id="rId43" xr:uid="{4E9130A3-87EF-4B68-B59B-E4A5A4CC61A9}"/>
    <hyperlink ref="E68" r:id="rId44" xr:uid="{DB32EA58-1A33-45C1-A0CD-DA790355D4E7}"/>
    <hyperlink ref="E69" r:id="rId45" xr:uid="{36BCE01B-CCC7-4CC6-9A57-7BD8D90E3D33}"/>
    <hyperlink ref="E70" r:id="rId46" xr:uid="{EFA0A43C-A025-4B6A-8819-335A59D7C2FF}"/>
    <hyperlink ref="E71" r:id="rId47" xr:uid="{6983B03F-9CC1-4246-8033-E73034F62729}"/>
    <hyperlink ref="E72" r:id="rId48" xr:uid="{218DFD61-8D67-495D-87D4-5456D439098D}"/>
    <hyperlink ref="E73" r:id="rId49" xr:uid="{8FA39FBB-EB37-4A04-9C9D-57F78168F8FB}"/>
    <hyperlink ref="E74" r:id="rId50" xr:uid="{E5E2AA4C-C19B-4DCC-B239-1D91FD9BA2DF}"/>
    <hyperlink ref="E75" r:id="rId51" xr:uid="{4E2C8726-46FC-4382-A3FB-2747F6E92090}"/>
    <hyperlink ref="E76" r:id="rId52" xr:uid="{CECAC2E3-10E8-4670-B670-5F2ADAA0E0FC}"/>
    <hyperlink ref="E77" r:id="rId53" xr:uid="{C4E0ECB7-BE1E-4C7F-B5C7-6F2DBEB28D70}"/>
    <hyperlink ref="E80" r:id="rId54" xr:uid="{F15C90DB-B20C-430A-ACCE-A4AA02008BC4}"/>
    <hyperlink ref="E79" r:id="rId55" xr:uid="{96B300DA-C2B5-454E-8D82-C1E32DD19ECD}"/>
    <hyperlink ref="E78" r:id="rId56" xr:uid="{8B560ED5-F844-4D94-B294-7DF5D509FE23}"/>
    <hyperlink ref="E81" r:id="rId57" xr:uid="{32CE7088-3009-4800-BE48-A3F3E4E803DD}"/>
    <hyperlink ref="E82" r:id="rId58" xr:uid="{255CDA80-8511-42D4-BB11-712F963FD0DF}"/>
    <hyperlink ref="E83" r:id="rId59" xr:uid="{5E98B1AD-0CF0-4ED4-AA31-1721ED96F424}"/>
    <hyperlink ref="E84" r:id="rId60" xr:uid="{9D795102-F94F-4D78-9052-58AC08EE58A9}"/>
    <hyperlink ref="E85" r:id="rId61" xr:uid="{754AC9F5-23EB-4528-9DDA-7F978F83E037}"/>
    <hyperlink ref="E86" r:id="rId62" xr:uid="{84E2BBB0-D3D1-46B2-8BD6-77B8DE3A5B5C}"/>
    <hyperlink ref="E87" r:id="rId63" xr:uid="{A7CC23F2-0B92-4903-9BCE-F48D003F5AFF}"/>
    <hyperlink ref="E88" r:id="rId64" xr:uid="{951B7A03-6AF0-4131-BF6B-BCC167304C13}"/>
    <hyperlink ref="E89" r:id="rId65" xr:uid="{2469EC84-1B21-485B-9A51-58D553D072F2}"/>
    <hyperlink ref="E90" r:id="rId66" xr:uid="{510CB703-81F2-484A-8F90-E0178D843954}"/>
    <hyperlink ref="E91" r:id="rId67" xr:uid="{5CBF613B-5AD7-4D50-9A1E-062C848E3392}"/>
    <hyperlink ref="E98" r:id="rId68" xr:uid="{BBAF3608-A2F1-4AA3-A418-3F993294F4C7}"/>
    <hyperlink ref="E92" r:id="rId69" xr:uid="{43BD8F79-9C2D-4641-B4EC-AF94DE171996}"/>
    <hyperlink ref="E93" r:id="rId70" xr:uid="{9B08FBB2-3E3B-404C-AA41-C2AE85740FD9}"/>
    <hyperlink ref="E94" r:id="rId71" xr:uid="{43BDD71B-8B6D-4D97-9DD5-13D7B7237402}"/>
    <hyperlink ref="E95" r:id="rId72" xr:uid="{9AB24667-2899-481C-8550-5C6546CA1DA0}"/>
    <hyperlink ref="E96" r:id="rId73" xr:uid="{1A1E4BFC-8839-4606-9AF0-7639903F3A69}"/>
    <hyperlink ref="E97" r:id="rId74" xr:uid="{069E5616-45DF-4ECA-AACD-A0D7A6D741C1}"/>
    <hyperlink ref="E99" r:id="rId75" xr:uid="{5AAD63D8-A915-4CBA-A566-DEB6207AAA71}"/>
    <hyperlink ref="E100" r:id="rId76" xr:uid="{89C1169F-2BC2-469E-BA0E-288D51C44F83}"/>
    <hyperlink ref="E101" r:id="rId77" xr:uid="{E259A167-0150-4D52-9B12-759B929EB3BB}"/>
    <hyperlink ref="E102" r:id="rId78" xr:uid="{4FB61A6F-1274-4326-9ED7-1C4A01359D6D}"/>
    <hyperlink ref="E103" r:id="rId79" xr:uid="{ABC4849C-0DD5-4FB8-BC6C-F2486E7F1BC5}"/>
    <hyperlink ref="E104" r:id="rId80" xr:uid="{E9487A22-3A69-456B-9861-5BBF1AA3DD9F}"/>
    <hyperlink ref="E105" r:id="rId81" xr:uid="{6244DC4F-266F-4FFF-9F59-4D127FB404AB}"/>
    <hyperlink ref="E106" r:id="rId82" xr:uid="{405F15DA-CA9A-4932-A0B0-3D164A70AB9B}"/>
    <hyperlink ref="E107" r:id="rId83" xr:uid="{F6E18C3E-FD2B-466E-A173-6C517FD46325}"/>
    <hyperlink ref="E108" r:id="rId84" xr:uid="{B9A0C8E8-B3C2-4DEE-A6D1-627648E9DD16}"/>
    <hyperlink ref="E109" r:id="rId85" xr:uid="{1893FFEC-780B-4FB2-9EC7-9D9C7AB3FA2A}"/>
    <hyperlink ref="E110" r:id="rId86" xr:uid="{08119B31-FC30-4CBE-BCD0-2D77AF2842F7}"/>
    <hyperlink ref="E111" r:id="rId87" xr:uid="{FD37C156-258C-4C6A-9204-DF5FCABF4636}"/>
    <hyperlink ref="E112" r:id="rId88" xr:uid="{9805325D-604F-43C5-B7E0-047EFD0CBD21}"/>
    <hyperlink ref="E113" r:id="rId89" xr:uid="{4EF84287-9C0B-477D-97F2-F0E40F231227}"/>
    <hyperlink ref="E114" r:id="rId90" xr:uid="{F95294EA-876C-4E6E-9C15-4FD27EA0DA2E}"/>
    <hyperlink ref="E115" r:id="rId91" xr:uid="{FC46CC71-6A24-4EF1-9593-E3E27E8E5A55}"/>
    <hyperlink ref="E116" r:id="rId92" xr:uid="{82D4456A-A650-4784-8983-2C49555F9020}"/>
    <hyperlink ref="E117" r:id="rId93" xr:uid="{3F42C37E-4DF2-4C19-BFE1-604369946C63}"/>
    <hyperlink ref="E118" r:id="rId94" xr:uid="{3586CC84-FC6C-407B-B299-306A784A0A33}"/>
    <hyperlink ref="E119" r:id="rId95" xr:uid="{DF4DB16E-6F48-4B02-B0E1-BCF0A6A455E9}"/>
    <hyperlink ref="E120" r:id="rId96" xr:uid="{9091330A-9BA6-47DB-A2A8-E9F4BAA758F4}"/>
    <hyperlink ref="E121" r:id="rId97" xr:uid="{848AE017-A5CE-4E19-A4E3-E2B7FA3DD18D}"/>
    <hyperlink ref="E122" r:id="rId98" xr:uid="{7645B4AC-467C-492C-A80D-63C74FA96A02}"/>
    <hyperlink ref="E123" r:id="rId99" xr:uid="{99A69AC4-B7EF-4205-B729-BBF196AD0BE5}"/>
    <hyperlink ref="E124" r:id="rId100" xr:uid="{E9F68FCC-1FCB-44C9-A06B-C23038751294}"/>
    <hyperlink ref="E125" r:id="rId101" xr:uid="{D355A5AD-23E7-4832-846C-4BE376C75076}"/>
    <hyperlink ref="E126" r:id="rId102" xr:uid="{CE3A833C-8575-4AA2-B999-503B712A95E9}"/>
    <hyperlink ref="E127" r:id="rId103" xr:uid="{73EE6F96-7CB0-4C20-82CC-8A935AFF64EC}"/>
    <hyperlink ref="E128" r:id="rId104" xr:uid="{760961AA-8B00-46C9-8F47-734BE3EABB5E}"/>
    <hyperlink ref="E129" r:id="rId105" xr:uid="{C1BEBDD3-B69F-4F1F-A004-B02477E5D717}"/>
    <hyperlink ref="E130" r:id="rId106" xr:uid="{A1D9EA22-E5E5-4799-8FA0-5A9CB0B573D2}"/>
    <hyperlink ref="E131" r:id="rId107" xr:uid="{2186E1D2-16B1-4C45-AA54-CC2281DE946B}"/>
    <hyperlink ref="E132" r:id="rId108" xr:uid="{EBDA57C9-9E98-41E5-B53D-C8784D9FE1BF}"/>
    <hyperlink ref="E133" r:id="rId109" xr:uid="{57376AAF-4F46-42E8-AED5-7E4665EA06A0}"/>
    <hyperlink ref="E134" r:id="rId110" xr:uid="{2B5371AA-122B-452F-8A19-625B5380EDC2}"/>
    <hyperlink ref="E135" r:id="rId111" xr:uid="{BA4C927C-E185-4CA4-9DF2-A31024385E1E}"/>
    <hyperlink ref="E136" r:id="rId112" xr:uid="{0FCA6F33-AF61-435F-AB47-81A2B7B4C6C6}"/>
    <hyperlink ref="E137" r:id="rId113" xr:uid="{4E525318-454F-4520-B4E8-85D314CF2CA0}"/>
    <hyperlink ref="E138" r:id="rId114" xr:uid="{531B692B-D3DB-4B93-A3A1-6FCEA6BA4D6B}"/>
    <hyperlink ref="E139" r:id="rId115" xr:uid="{844765BB-1B6D-4F4E-9670-E1488B73E436}"/>
    <hyperlink ref="E140" r:id="rId116" xr:uid="{46D93158-C614-47CA-B251-F29CDA4C81CE}"/>
    <hyperlink ref="E141" r:id="rId117" xr:uid="{17AB5BF5-44C8-4285-B505-1D469C4333F2}"/>
    <hyperlink ref="E142" r:id="rId118" xr:uid="{15FB5189-4C96-4911-AEF8-EA3839613ACF}"/>
    <hyperlink ref="E143" r:id="rId119" xr:uid="{7A8810D3-2DD9-4DFA-B840-A466DD35AB08}"/>
    <hyperlink ref="E144" r:id="rId120" xr:uid="{DCB9371E-714A-4C7B-BEE8-4791C4E1D829}"/>
    <hyperlink ref="E145" r:id="rId121" xr:uid="{C68A3CD5-2870-4746-A7F3-0D964F6F4D2E}"/>
    <hyperlink ref="E146" r:id="rId122" xr:uid="{B3B053BA-51A6-4C09-8085-68EA4D3040C4}"/>
    <hyperlink ref="E147" r:id="rId123" xr:uid="{E94DE3B2-3A85-439A-A823-9215A276738F}"/>
    <hyperlink ref="E148" r:id="rId124" xr:uid="{77873322-F725-490C-8929-AF6DF49E8B06}"/>
    <hyperlink ref="E149" r:id="rId125" xr:uid="{C5F9EC11-6680-49CD-8D2E-D0B8E828A670}"/>
    <hyperlink ref="E150" r:id="rId126" xr:uid="{F9042CA2-A0EB-4A62-AF09-E4908387823D}"/>
    <hyperlink ref="E151" r:id="rId127" xr:uid="{C447F8FA-B521-4D2F-A75B-958CDA2D1062}"/>
    <hyperlink ref="E152" r:id="rId128" xr:uid="{FA5733CF-2EEF-4EBC-930E-2DE95E6CF876}"/>
    <hyperlink ref="E153" r:id="rId129" xr:uid="{17440A66-8AFD-4085-B649-FECF47E137E3}"/>
    <hyperlink ref="E154" r:id="rId130" xr:uid="{BF286D3A-8778-4D06-9048-372BFC009A6D}"/>
    <hyperlink ref="E155" r:id="rId131" xr:uid="{73B7CEF0-8E5F-4812-AA59-6FFC98FAA9EE}"/>
    <hyperlink ref="E156" r:id="rId132" xr:uid="{25D89081-244B-4A0F-92AC-04E6E198B105}"/>
    <hyperlink ref="E157" r:id="rId133" xr:uid="{4BD6A333-192F-4D9C-B5B0-602C145988A7}"/>
    <hyperlink ref="E158" r:id="rId134" xr:uid="{0A81D8A0-2989-464D-9673-DF4E40002AF4}"/>
    <hyperlink ref="E159" r:id="rId135" xr:uid="{7C1ABEB8-8CA5-4315-9087-7E5155B73286}"/>
    <hyperlink ref="E160" r:id="rId136" xr:uid="{514EF663-6C8F-4873-B2A9-7F560C9A010A}"/>
    <hyperlink ref="E161" r:id="rId137" xr:uid="{EA69CDA1-9A46-4598-A928-527003F023BE}"/>
    <hyperlink ref="E162" r:id="rId138" xr:uid="{753E7E19-8413-47D0-A61C-644A76D9F3C9}"/>
    <hyperlink ref="E163" r:id="rId139" xr:uid="{575BF03B-C03C-4D71-991D-A92E2759B463}"/>
    <hyperlink ref="E164" r:id="rId140" xr:uid="{44032653-0457-48AF-A014-3CFC595BEC18}"/>
    <hyperlink ref="E165" r:id="rId141" xr:uid="{1736F2BB-874B-4267-B7C7-F56A51DF9A9B}"/>
    <hyperlink ref="E166" r:id="rId142" xr:uid="{BAFBFB02-72CE-449D-B0A7-6EC4EB47E0E8}"/>
    <hyperlink ref="E167" r:id="rId143" xr:uid="{136EAD19-3FBD-4F43-AD55-AAFE42EB26FC}"/>
    <hyperlink ref="E168" r:id="rId144" xr:uid="{596C1D2C-164B-40C4-9A92-9DFA05B00AB7}"/>
    <hyperlink ref="E169" r:id="rId145" xr:uid="{33F3FD96-FD8A-42A1-86DD-2E2ED5EA080D}"/>
    <hyperlink ref="E170" r:id="rId146" xr:uid="{B2A61C76-5063-46FD-81F2-2CBB1F2EB6EB}"/>
    <hyperlink ref="E171" r:id="rId147" xr:uid="{0CC90DC4-0387-49A7-A28B-7C904D0C02FB}"/>
    <hyperlink ref="E172" r:id="rId148" xr:uid="{34E76E8B-C50E-48CD-8107-B17CFC317614}"/>
    <hyperlink ref="E173" r:id="rId149" xr:uid="{0BD8F2D0-1895-4AEE-A874-07EDE848B29B}"/>
    <hyperlink ref="E174" r:id="rId150" xr:uid="{C7366EC9-290A-43F1-BAE7-9E6114B6DC9D}"/>
    <hyperlink ref="E175" r:id="rId151" xr:uid="{27D03607-774F-4751-9D24-EAE4250605F7}"/>
    <hyperlink ref="E176" r:id="rId152" xr:uid="{16067FFA-CDFC-4FCA-993C-FE72A73DF77F}"/>
    <hyperlink ref="E177" r:id="rId153" xr:uid="{19BB218C-7D27-4235-AE9D-0C1504B8A353}"/>
    <hyperlink ref="E178" r:id="rId154" xr:uid="{A479CC3E-5098-42D3-9339-B349C610BEC4}"/>
    <hyperlink ref="E179" r:id="rId155" xr:uid="{3AA68AAC-7347-4162-9B1F-7444B8D1F011}"/>
    <hyperlink ref="E183" r:id="rId156" xr:uid="{BAA4B777-6A10-42E8-AC6F-A3ADEF8D7235}"/>
    <hyperlink ref="E182" r:id="rId157" xr:uid="{EA861A58-CB51-42CB-B8B6-937BC742F228}"/>
    <hyperlink ref="E181" r:id="rId158" xr:uid="{CCC5297E-2A78-4C47-B22C-82CE4E44B929}"/>
    <hyperlink ref="E180" r:id="rId159" xr:uid="{6610FA99-547A-44E6-9BEA-46C29B4A9FDD}"/>
    <hyperlink ref="E184" r:id="rId160" xr:uid="{1660ADA2-261E-4541-A6E4-A9226855F029}"/>
    <hyperlink ref="E186" r:id="rId161" xr:uid="{D8F7B330-29BE-4BBC-B76E-0002BD452090}"/>
    <hyperlink ref="E185" r:id="rId162" xr:uid="{BFAA0D92-5893-4CD8-8D95-6AD3E375D9B1}"/>
    <hyperlink ref="E187" r:id="rId163" xr:uid="{05055965-678B-4A69-8BF4-2C26BF42349C}"/>
    <hyperlink ref="E188" r:id="rId164" xr:uid="{A1576A46-6C06-45CE-BDFD-ACC9D43F8ED4}"/>
    <hyperlink ref="E189" r:id="rId165" xr:uid="{2AFA4F47-7E38-4487-8018-7B32743D3BE8}"/>
    <hyperlink ref="E190" r:id="rId166" xr:uid="{1F5488E7-0D6A-4B63-A9EC-D4A1FDE15215}"/>
    <hyperlink ref="E191" r:id="rId167" xr:uid="{FEADE42B-31E5-465C-A5A3-2C5A4FBAC907}"/>
    <hyperlink ref="E192" r:id="rId168" xr:uid="{4A2CE638-AD10-4979-A9C0-3AE91755A647}"/>
    <hyperlink ref="E193" r:id="rId169" xr:uid="{F20738C2-F50F-4A81-9CBB-FEF73E90511A}"/>
    <hyperlink ref="E194" r:id="rId170" xr:uid="{739A90A7-4A73-4B0B-8F81-5D9240BB43FF}"/>
    <hyperlink ref="E195" r:id="rId171" xr:uid="{091AECF0-08FA-41AA-8C8C-0DB9C9898A13}"/>
    <hyperlink ref="E196" r:id="rId172" xr:uid="{63AA6DA9-28F1-487F-A8DE-4CE909F1BDC3}"/>
    <hyperlink ref="E197" r:id="rId173" xr:uid="{F8DC94CE-7081-48B0-9E78-334FC845D9ED}"/>
    <hyperlink ref="E198" r:id="rId174" xr:uid="{D331A51B-369D-46F1-AD4E-54E421844C9B}"/>
    <hyperlink ref="E199" r:id="rId175" xr:uid="{1620B783-F45C-41BB-99BC-09CC682406DE}"/>
    <hyperlink ref="E200" r:id="rId176" xr:uid="{EDDF9B87-6DD5-4E13-8BA9-540AB5D48E07}"/>
    <hyperlink ref="E201" r:id="rId177" xr:uid="{2791B351-2A9D-4B50-8DAD-3DC5B4EECBD2}"/>
    <hyperlink ref="E202" r:id="rId178" xr:uid="{508B04A6-5A14-4B9E-A039-045DA1E2B9B0}"/>
    <hyperlink ref="E203" r:id="rId179" xr:uid="{FA34BFF9-55B8-48A3-A5EA-36F36C809D42}"/>
    <hyperlink ref="E204" r:id="rId180" xr:uid="{02E075A9-132A-4120-A954-44ADE1192D0C}"/>
    <hyperlink ref="E205" r:id="rId181" xr:uid="{994C0559-9E01-44DD-9E6C-3A2A004D5BEC}"/>
    <hyperlink ref="E206" r:id="rId182" xr:uid="{0131D41D-C1EC-40FA-816F-6930C769D708}"/>
    <hyperlink ref="E207" r:id="rId183" xr:uid="{A54F831B-2297-4B36-B963-20112089F7CF}"/>
    <hyperlink ref="E208" r:id="rId184" xr:uid="{B1600F27-4748-4432-A783-09D795C40083}"/>
    <hyperlink ref="E209" r:id="rId185" xr:uid="{F8B5E408-7956-42B7-A040-03170F57AE8F}"/>
    <hyperlink ref="E210" r:id="rId186" xr:uid="{7F44436A-A16A-4526-AC05-E250DDDD68FD}"/>
    <hyperlink ref="E211" r:id="rId187" xr:uid="{D6E93EC3-5966-4604-8A56-657857B4145B}"/>
    <hyperlink ref="E212" r:id="rId188" xr:uid="{12FAEDD1-3DF1-4C9A-8B3A-E1EE5E047E9D}"/>
    <hyperlink ref="E213" r:id="rId189" xr:uid="{FA0FB132-A055-40CE-B4EB-CAACAAAE7D97}"/>
    <hyperlink ref="E214" r:id="rId190" xr:uid="{F5EFFB68-CB8B-46C8-B686-76F2E282FDD3}"/>
    <hyperlink ref="E215" r:id="rId191" xr:uid="{9D7DBF5C-9F41-4ABB-9427-9D0B674803A6}"/>
    <hyperlink ref="E216" r:id="rId192" xr:uid="{4D0536EB-4E6B-47F2-BBF4-A12863057B5F}"/>
    <hyperlink ref="E217" r:id="rId193" xr:uid="{1F816E79-FD4D-4A49-91A8-F35B761D07DC}"/>
    <hyperlink ref="E218" r:id="rId194" xr:uid="{DE35E130-5E1C-4209-86F6-294B32BA0987}"/>
    <hyperlink ref="E219" r:id="rId195" xr:uid="{723884D3-76F2-4483-BAE7-7D565191826D}"/>
    <hyperlink ref="E220" r:id="rId196" xr:uid="{148B5E71-8AEC-4AD2-A94A-7E145B23A90A}"/>
    <hyperlink ref="E221" r:id="rId197" xr:uid="{905917B1-3B0E-4F87-ADB6-E4CF2970AE81}"/>
    <hyperlink ref="E222" r:id="rId198" xr:uid="{AE846505-1A39-4EB0-9A34-ACBDA80FCA31}"/>
    <hyperlink ref="E223" r:id="rId199" xr:uid="{90DC516D-FD6D-4F7A-A1E9-30EA5774F77A}"/>
    <hyperlink ref="E224" r:id="rId200" xr:uid="{E88D2878-A288-4458-91CE-B92222BC7810}"/>
    <hyperlink ref="E225" r:id="rId201" xr:uid="{BA053E2D-1D50-4EF6-A2A9-E6E48CC4B623}"/>
    <hyperlink ref="E226" r:id="rId202" xr:uid="{271790EC-D630-43E2-9ABF-52BA43EAAA4F}"/>
    <hyperlink ref="E227" r:id="rId203" xr:uid="{81834C47-33E1-4C7E-B661-97A353540819}"/>
    <hyperlink ref="E228" r:id="rId204" xr:uid="{F3F51526-846C-4E1A-8515-CBEEA2AF11AD}"/>
    <hyperlink ref="E229" r:id="rId205" xr:uid="{1EB62036-DC3B-4276-80BD-968A68BCB67B}"/>
    <hyperlink ref="E230" r:id="rId206" xr:uid="{FB0F87AA-C6C1-4FCE-86B7-0DA55E9DEF16}"/>
    <hyperlink ref="E231" r:id="rId207" xr:uid="{A49DB3FA-E222-4180-BBA3-45C67A2B3397}"/>
    <hyperlink ref="E232" r:id="rId208" xr:uid="{B26A2D0A-5FB5-4B93-BACF-27042C4A33E9}"/>
    <hyperlink ref="E233" r:id="rId209" xr:uid="{B2505E46-5DD9-4E40-B517-0950C3FC505D}"/>
    <hyperlink ref="E234" r:id="rId210" xr:uid="{65C819AD-4F0B-476B-B1E9-0BB800C0F2D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F524-4906-459C-8343-9EE42D903ABA}">
  <dimension ref="A1:AS126"/>
  <sheetViews>
    <sheetView zoomScale="77" zoomScaleNormal="77" workbookViewId="0">
      <pane xSplit="1" ySplit="2" topLeftCell="B45" activePane="bottomRight" state="frozen"/>
      <selection pane="topRight" activeCell="D1" sqref="D1"/>
      <selection pane="bottomLeft" activeCell="A3" sqref="A3"/>
      <selection pane="bottomRight" activeCell="A7" sqref="A7"/>
    </sheetView>
  </sheetViews>
  <sheetFormatPr defaultColWidth="9.140625" defaultRowHeight="15.75" x14ac:dyDescent="0.25"/>
  <cols>
    <col min="1" max="1" width="23.85546875" style="18" customWidth="1"/>
    <col min="2" max="2" width="15.140625" style="71" customWidth="1"/>
    <col min="3" max="3" width="15.42578125" style="18" customWidth="1"/>
    <col min="4" max="4" width="15.7109375" style="18" customWidth="1"/>
    <col min="5" max="5" width="17.5703125" style="18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8" customWidth="1"/>
    <col min="10" max="10" width="22.140625" style="51" customWidth="1"/>
    <col min="11" max="11" width="19.140625" style="51" customWidth="1"/>
    <col min="12" max="12" width="21.28515625" style="18" customWidth="1"/>
    <col min="13" max="13" width="21.7109375" style="18" customWidth="1"/>
    <col min="14" max="14" width="19.5703125" style="18" customWidth="1"/>
    <col min="15" max="15" width="21.42578125" style="18" customWidth="1"/>
    <col min="16" max="16" width="23.5703125" style="18" customWidth="1"/>
    <col min="17" max="17" width="19.85546875" style="18" customWidth="1"/>
    <col min="18" max="18" width="15" style="18" customWidth="1"/>
    <col min="19" max="20" width="14.5703125" style="18" customWidth="1"/>
    <col min="21" max="21" width="20.140625" style="18" customWidth="1"/>
    <col min="22" max="22" width="17.5703125" style="73" customWidth="1"/>
    <col min="23" max="23" width="15.5703125" style="18" customWidth="1"/>
    <col min="24" max="24" width="15.5703125" style="72" customWidth="1"/>
    <col min="25" max="25" width="17.42578125" style="18" customWidth="1"/>
    <col min="26" max="28" width="17" style="18" customWidth="1"/>
    <col min="29" max="29" width="20.85546875" style="18" customWidth="1"/>
    <col min="30" max="30" width="16.42578125" style="18" customWidth="1"/>
    <col min="31" max="31" width="13.7109375" style="18" customWidth="1"/>
    <col min="32" max="32" width="14" style="18" customWidth="1"/>
    <col min="33" max="33" width="13.5703125" style="51" customWidth="1"/>
    <col min="34" max="34" width="14.85546875" style="51" customWidth="1"/>
    <col min="35" max="35" width="15.42578125" style="18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8" customWidth="1"/>
    <col min="42" max="42" width="14.7109375" style="52" customWidth="1"/>
    <col min="43" max="43" width="12.5703125" style="18" customWidth="1"/>
    <col min="44" max="44" width="13.85546875" style="72" customWidth="1"/>
    <col min="45" max="45" width="17.140625" style="18" customWidth="1"/>
    <col min="46" max="16384" width="9.140625" style="18"/>
  </cols>
  <sheetData>
    <row r="1" spans="1:45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9" t="s">
        <v>15</v>
      </c>
      <c r="Q1" s="8" t="s">
        <v>16</v>
      </c>
      <c r="R1" s="9" t="s">
        <v>17</v>
      </c>
      <c r="S1" s="9" t="s">
        <v>18</v>
      </c>
      <c r="T1" s="3" t="s">
        <v>19</v>
      </c>
      <c r="U1" s="10" t="s">
        <v>20</v>
      </c>
      <c r="V1" s="11"/>
      <c r="W1" s="11"/>
      <c r="X1" s="11"/>
      <c r="Y1" s="11"/>
      <c r="Z1" s="11"/>
      <c r="AA1" s="11"/>
      <c r="AB1" s="11"/>
      <c r="AC1" s="11"/>
      <c r="AD1" s="12"/>
      <c r="AE1" s="13" t="s">
        <v>21</v>
      </c>
      <c r="AF1" s="14"/>
      <c r="AG1" s="15"/>
      <c r="AH1" s="13" t="s">
        <v>22</v>
      </c>
      <c r="AI1" s="14"/>
      <c r="AJ1" s="15"/>
      <c r="AK1" s="16" t="s">
        <v>23</v>
      </c>
      <c r="AL1" s="16" t="s">
        <v>24</v>
      </c>
      <c r="AM1" s="16" t="s">
        <v>25</v>
      </c>
      <c r="AN1" s="16" t="s">
        <v>26</v>
      </c>
      <c r="AO1" s="8" t="s">
        <v>27</v>
      </c>
      <c r="AP1" s="8" t="s">
        <v>28</v>
      </c>
      <c r="AQ1" s="9" t="s">
        <v>29</v>
      </c>
      <c r="AR1" s="17" t="s">
        <v>30</v>
      </c>
      <c r="AS1" s="16" t="s">
        <v>31</v>
      </c>
    </row>
    <row r="2" spans="1:45" ht="45" customHeight="1" x14ac:dyDescent="0.25">
      <c r="A2" s="19"/>
      <c r="B2" s="20"/>
      <c r="C2" s="23"/>
      <c r="D2" s="24"/>
      <c r="E2" s="22"/>
      <c r="F2" s="21"/>
      <c r="G2" s="22"/>
      <c r="H2" s="22"/>
      <c r="I2" s="25"/>
      <c r="J2" s="26"/>
      <c r="K2" s="26"/>
      <c r="L2" s="26"/>
      <c r="M2" s="25"/>
      <c r="N2" s="25"/>
      <c r="O2" s="25"/>
      <c r="P2" s="25"/>
      <c r="Q2" s="25"/>
      <c r="R2" s="26"/>
      <c r="S2" s="26"/>
      <c r="T2" s="20"/>
      <c r="U2" s="27" t="s">
        <v>32</v>
      </c>
      <c r="V2" s="27" t="s">
        <v>33</v>
      </c>
      <c r="W2" s="27" t="s">
        <v>34</v>
      </c>
      <c r="X2" s="27" t="s">
        <v>35</v>
      </c>
      <c r="Y2" s="27" t="s">
        <v>36</v>
      </c>
      <c r="Z2" s="27" t="s">
        <v>37</v>
      </c>
      <c r="AA2" s="27" t="s">
        <v>38</v>
      </c>
      <c r="AB2" s="27" t="s">
        <v>39</v>
      </c>
      <c r="AC2" s="27" t="s">
        <v>40</v>
      </c>
      <c r="AD2" s="27" t="s">
        <v>41</v>
      </c>
      <c r="AE2" s="28" t="s">
        <v>33</v>
      </c>
      <c r="AF2" s="28" t="s">
        <v>34</v>
      </c>
      <c r="AG2" s="28" t="s">
        <v>35</v>
      </c>
      <c r="AH2" s="28" t="s">
        <v>33</v>
      </c>
      <c r="AI2" s="28" t="s">
        <v>34</v>
      </c>
      <c r="AJ2" s="28" t="s">
        <v>35</v>
      </c>
      <c r="AK2" s="29"/>
      <c r="AL2" s="29"/>
      <c r="AM2" s="29"/>
      <c r="AN2" s="29"/>
      <c r="AO2" s="25"/>
      <c r="AP2" s="25"/>
      <c r="AQ2" s="26"/>
      <c r="AR2" s="30"/>
      <c r="AS2" s="29"/>
    </row>
    <row r="3" spans="1:45" ht="53.25" customHeight="1" x14ac:dyDescent="0.25">
      <c r="A3" s="46" t="s">
        <v>484</v>
      </c>
      <c r="B3" s="33">
        <v>45174</v>
      </c>
      <c r="C3" s="37" t="s">
        <v>486</v>
      </c>
      <c r="D3" s="36" t="s">
        <v>485</v>
      </c>
      <c r="E3" s="1" t="s">
        <v>487</v>
      </c>
      <c r="F3" s="33" t="s">
        <v>485</v>
      </c>
      <c r="G3" s="35" t="s">
        <v>485</v>
      </c>
      <c r="H3" s="37"/>
      <c r="I3" s="37" t="s">
        <v>488</v>
      </c>
      <c r="J3" s="38">
        <v>161212603.05000001</v>
      </c>
      <c r="K3" s="40">
        <v>100</v>
      </c>
      <c r="L3" s="41">
        <v>161212603.05000001</v>
      </c>
      <c r="M3" s="38"/>
      <c r="N3" s="41">
        <v>161212603.05000001</v>
      </c>
      <c r="O3" s="38">
        <v>0</v>
      </c>
      <c r="P3" s="27">
        <v>0</v>
      </c>
      <c r="Q3" s="27">
        <v>0</v>
      </c>
      <c r="R3" s="27" t="e">
        <v>#DIV/0!</v>
      </c>
      <c r="S3" s="38" t="e">
        <v>#DIV/0!</v>
      </c>
      <c r="T3" s="38" t="e">
        <v>#DIV/0!</v>
      </c>
      <c r="U3" s="38">
        <v>0</v>
      </c>
      <c r="V3" s="38">
        <v>0</v>
      </c>
      <c r="W3" s="38">
        <v>0</v>
      </c>
      <c r="X3" s="38">
        <v>0</v>
      </c>
      <c r="Y3" s="38"/>
      <c r="Z3" s="38" t="e">
        <v>#DIV/0!</v>
      </c>
      <c r="AA3" s="38"/>
      <c r="AB3" s="38" t="e">
        <v>#DIV/0!</v>
      </c>
      <c r="AC3" s="38" t="e">
        <v>#DIV/0!</v>
      </c>
      <c r="AD3" s="38" t="e">
        <v>#DIV/0!</v>
      </c>
      <c r="AE3" s="33">
        <v>45301</v>
      </c>
      <c r="AF3" s="33"/>
      <c r="AG3" s="33"/>
      <c r="AH3" s="33"/>
      <c r="AI3" s="33"/>
      <c r="AJ3" s="42"/>
      <c r="AK3" s="37"/>
      <c r="AL3" s="37"/>
      <c r="AM3" s="37"/>
      <c r="AN3" s="37"/>
      <c r="AO3" s="43"/>
      <c r="AP3" s="35"/>
      <c r="AQ3" s="35"/>
      <c r="AR3" s="44"/>
      <c r="AS3" s="36" t="s">
        <v>485</v>
      </c>
    </row>
    <row r="4" spans="1:45" ht="43.5" customHeight="1" x14ac:dyDescent="0.25">
      <c r="A4" s="46" t="s">
        <v>503</v>
      </c>
      <c r="B4" s="33">
        <v>45175</v>
      </c>
      <c r="C4" s="37" t="s">
        <v>486</v>
      </c>
      <c r="D4" s="36" t="s">
        <v>504</v>
      </c>
      <c r="E4" s="1" t="s">
        <v>505</v>
      </c>
      <c r="F4" s="33">
        <v>45202</v>
      </c>
      <c r="G4" s="35" t="s">
        <v>506</v>
      </c>
      <c r="H4" s="37" t="s">
        <v>507</v>
      </c>
      <c r="I4" s="37" t="s">
        <v>508</v>
      </c>
      <c r="J4" s="38">
        <v>32334852.550000001</v>
      </c>
      <c r="K4" s="40">
        <v>51.772188489537427</v>
      </c>
      <c r="L4" s="41">
        <v>16740460.810000001</v>
      </c>
      <c r="M4" s="38">
        <v>15594391.74</v>
      </c>
      <c r="N4" s="41">
        <v>16747922.100000001</v>
      </c>
      <c r="O4" s="38">
        <v>15586930.449999999</v>
      </c>
      <c r="P4" s="27">
        <v>15586930.449999999</v>
      </c>
      <c r="Q4" s="27">
        <v>15586930.449999999</v>
      </c>
      <c r="R4" s="27">
        <v>44.169999999999995</v>
      </c>
      <c r="S4" s="38">
        <v>44.169999999999995</v>
      </c>
      <c r="T4" s="38">
        <v>2650.2</v>
      </c>
      <c r="U4" s="38">
        <v>352885</v>
      </c>
      <c r="V4" s="38">
        <v>352885</v>
      </c>
      <c r="W4" s="38">
        <v>0</v>
      </c>
      <c r="X4" s="38">
        <v>0</v>
      </c>
      <c r="Y4" s="38"/>
      <c r="Z4" s="38">
        <v>0</v>
      </c>
      <c r="AA4" s="38"/>
      <c r="AB4" s="38">
        <v>0</v>
      </c>
      <c r="AC4" s="38">
        <v>5881.416666666667</v>
      </c>
      <c r="AD4" s="38">
        <v>5882</v>
      </c>
      <c r="AE4" s="33">
        <v>45301</v>
      </c>
      <c r="AF4" s="33"/>
      <c r="AG4" s="33"/>
      <c r="AH4" s="33">
        <v>45332</v>
      </c>
      <c r="AI4" s="33"/>
      <c r="AJ4" s="42"/>
      <c r="AK4" s="37" t="s">
        <v>509</v>
      </c>
      <c r="AL4" s="37" t="s">
        <v>510</v>
      </c>
      <c r="AM4" s="37" t="s">
        <v>511</v>
      </c>
      <c r="AN4" s="37" t="s">
        <v>50</v>
      </c>
      <c r="AO4" s="43">
        <v>100</v>
      </c>
      <c r="AP4" s="35">
        <v>0</v>
      </c>
      <c r="AQ4" s="35" t="s">
        <v>441</v>
      </c>
      <c r="AR4" s="44">
        <v>60</v>
      </c>
      <c r="AS4" s="37" t="s">
        <v>52</v>
      </c>
    </row>
    <row r="5" spans="1:45" ht="50.25" customHeight="1" x14ac:dyDescent="0.25">
      <c r="A5" s="46" t="s">
        <v>542</v>
      </c>
      <c r="B5" s="42">
        <v>45181</v>
      </c>
      <c r="C5" s="37" t="s">
        <v>486</v>
      </c>
      <c r="D5" s="36" t="s">
        <v>543</v>
      </c>
      <c r="E5" s="1" t="s">
        <v>544</v>
      </c>
      <c r="F5" s="33" t="s">
        <v>543</v>
      </c>
      <c r="G5" s="35" t="s">
        <v>543</v>
      </c>
      <c r="H5" s="37" t="s">
        <v>543</v>
      </c>
      <c r="I5" s="37" t="s">
        <v>545</v>
      </c>
      <c r="J5" s="39">
        <v>3271104.3</v>
      </c>
      <c r="K5" s="40">
        <v>100</v>
      </c>
      <c r="L5" s="41">
        <v>3271104.3</v>
      </c>
      <c r="M5" s="38"/>
      <c r="N5" s="41">
        <v>3271104.3</v>
      </c>
      <c r="O5" s="38">
        <v>0</v>
      </c>
      <c r="P5" s="27">
        <v>0</v>
      </c>
      <c r="Q5" s="27">
        <v>0</v>
      </c>
      <c r="R5" s="27" t="e">
        <v>#DIV/0!</v>
      </c>
      <c r="S5" s="38" t="e">
        <v>#DIV/0!</v>
      </c>
      <c r="T5" s="38" t="e">
        <v>#DIV/0!</v>
      </c>
      <c r="U5" s="38">
        <v>0</v>
      </c>
      <c r="V5" s="38">
        <v>0</v>
      </c>
      <c r="W5" s="38">
        <v>0</v>
      </c>
      <c r="X5" s="38">
        <v>0</v>
      </c>
      <c r="Y5" s="38"/>
      <c r="Z5" s="38" t="e">
        <v>#DIV/0!</v>
      </c>
      <c r="AA5" s="38"/>
      <c r="AB5" s="38" t="e">
        <v>#DIV/0!</v>
      </c>
      <c r="AC5" s="38" t="e">
        <v>#DIV/0!</v>
      </c>
      <c r="AD5" s="38" t="e">
        <v>#DIV/0!</v>
      </c>
      <c r="AE5" s="33">
        <v>45301</v>
      </c>
      <c r="AF5" s="33"/>
      <c r="AG5" s="33"/>
      <c r="AH5" s="33">
        <v>45332</v>
      </c>
      <c r="AI5" s="33"/>
      <c r="AJ5" s="42"/>
      <c r="AK5" s="37"/>
      <c r="AL5" s="37"/>
      <c r="AM5" s="37"/>
      <c r="AN5" s="37"/>
      <c r="AO5" s="43"/>
      <c r="AP5" s="35"/>
      <c r="AQ5" s="35"/>
      <c r="AR5" s="44"/>
      <c r="AS5" s="37" t="s">
        <v>543</v>
      </c>
    </row>
    <row r="6" spans="1:45" ht="57" customHeight="1" x14ac:dyDescent="0.25">
      <c r="A6" s="46" t="s">
        <v>561</v>
      </c>
      <c r="B6" s="33">
        <v>45196</v>
      </c>
      <c r="C6" s="35" t="s">
        <v>486</v>
      </c>
      <c r="D6" s="36" t="s">
        <v>562</v>
      </c>
      <c r="E6" s="1" t="s">
        <v>563</v>
      </c>
      <c r="F6" s="33">
        <v>45216</v>
      </c>
      <c r="G6" s="35" t="s">
        <v>564</v>
      </c>
      <c r="H6" s="37" t="s">
        <v>138</v>
      </c>
      <c r="I6" s="37" t="s">
        <v>565</v>
      </c>
      <c r="J6" s="38">
        <v>161212603.05000001</v>
      </c>
      <c r="K6" s="40">
        <v>0</v>
      </c>
      <c r="L6" s="41">
        <v>0</v>
      </c>
      <c r="M6" s="38">
        <v>161212603.05000001</v>
      </c>
      <c r="N6" s="41">
        <v>0</v>
      </c>
      <c r="O6" s="38">
        <v>161212603.05000001</v>
      </c>
      <c r="P6" s="27">
        <v>161212603.05000001</v>
      </c>
      <c r="Q6" s="27">
        <v>161212603.05000001</v>
      </c>
      <c r="R6" s="27">
        <v>414.21000000000004</v>
      </c>
      <c r="S6" s="38">
        <v>414.21000000000004</v>
      </c>
      <c r="T6" s="38">
        <v>12426.300000000001</v>
      </c>
      <c r="U6" s="38">
        <v>389205</v>
      </c>
      <c r="V6" s="38">
        <v>389205</v>
      </c>
      <c r="W6" s="38">
        <v>0</v>
      </c>
      <c r="X6" s="38">
        <v>0</v>
      </c>
      <c r="Y6" s="38"/>
      <c r="Z6" s="38">
        <v>0</v>
      </c>
      <c r="AA6" s="38"/>
      <c r="AB6" s="38">
        <v>0</v>
      </c>
      <c r="AC6" s="38">
        <v>12973.5</v>
      </c>
      <c r="AD6" s="38">
        <v>12974</v>
      </c>
      <c r="AE6" s="33">
        <v>45366</v>
      </c>
      <c r="AF6" s="33"/>
      <c r="AG6" s="33"/>
      <c r="AH6" s="33">
        <v>45397</v>
      </c>
      <c r="AI6" s="33"/>
      <c r="AJ6" s="42"/>
      <c r="AK6" s="37" t="s">
        <v>566</v>
      </c>
      <c r="AL6" s="37" t="s">
        <v>567</v>
      </c>
      <c r="AM6" s="37" t="s">
        <v>568</v>
      </c>
      <c r="AN6" s="37" t="s">
        <v>143</v>
      </c>
      <c r="AO6" s="43">
        <v>0</v>
      </c>
      <c r="AP6" s="35">
        <v>100</v>
      </c>
      <c r="AQ6" s="35" t="s">
        <v>441</v>
      </c>
      <c r="AR6" s="44">
        <v>30</v>
      </c>
      <c r="AS6" s="37" t="s">
        <v>52</v>
      </c>
    </row>
    <row r="7" spans="1:45" ht="60.75" customHeight="1" x14ac:dyDescent="0.25">
      <c r="A7" s="46" t="s">
        <v>859</v>
      </c>
      <c r="B7" s="42">
        <v>45259</v>
      </c>
      <c r="C7" s="37" t="s">
        <v>486</v>
      </c>
      <c r="D7" s="36" t="s">
        <v>860</v>
      </c>
      <c r="E7" s="1" t="s">
        <v>861</v>
      </c>
      <c r="F7" s="33">
        <v>45282</v>
      </c>
      <c r="G7" s="35" t="s">
        <v>862</v>
      </c>
      <c r="H7" s="37" t="s">
        <v>863</v>
      </c>
      <c r="I7" s="37" t="s">
        <v>864</v>
      </c>
      <c r="J7" s="39">
        <v>270804811.19999999</v>
      </c>
      <c r="K7" s="40">
        <v>0</v>
      </c>
      <c r="L7" s="41">
        <v>0</v>
      </c>
      <c r="M7" s="38">
        <v>270804811.19999999</v>
      </c>
      <c r="N7" s="41">
        <v>0</v>
      </c>
      <c r="O7" s="38">
        <v>270804811.19999999</v>
      </c>
      <c r="P7" s="27">
        <v>270804811.19999999</v>
      </c>
      <c r="Q7" s="27">
        <v>270804811.19999999</v>
      </c>
      <c r="R7" s="27">
        <v>204.82</v>
      </c>
      <c r="S7" s="38">
        <v>204.82</v>
      </c>
      <c r="T7" s="38">
        <v>6144.5999999999995</v>
      </c>
      <c r="U7" s="38">
        <v>1322160</v>
      </c>
      <c r="V7" s="38">
        <v>1322160</v>
      </c>
      <c r="W7" s="38">
        <v>0</v>
      </c>
      <c r="X7" s="38">
        <v>0</v>
      </c>
      <c r="Y7" s="38"/>
      <c r="Z7" s="38">
        <v>0</v>
      </c>
      <c r="AA7" s="38"/>
      <c r="AB7" s="38">
        <v>0</v>
      </c>
      <c r="AC7" s="38">
        <v>44072</v>
      </c>
      <c r="AD7" s="38">
        <v>44072</v>
      </c>
      <c r="AE7" s="33">
        <v>45323</v>
      </c>
      <c r="AF7" s="33"/>
      <c r="AG7" s="33"/>
      <c r="AH7" s="33">
        <v>45352</v>
      </c>
      <c r="AI7" s="33"/>
      <c r="AJ7" s="42"/>
      <c r="AK7" s="37" t="s">
        <v>865</v>
      </c>
      <c r="AL7" s="37" t="s">
        <v>866</v>
      </c>
      <c r="AM7" s="37" t="s">
        <v>867</v>
      </c>
      <c r="AN7" s="37" t="s">
        <v>50</v>
      </c>
      <c r="AO7" s="43">
        <v>100</v>
      </c>
      <c r="AP7" s="35">
        <v>0</v>
      </c>
      <c r="AQ7" s="35" t="s">
        <v>441</v>
      </c>
      <c r="AR7" s="44">
        <v>30</v>
      </c>
      <c r="AS7" s="37" t="s">
        <v>176</v>
      </c>
    </row>
    <row r="8" spans="1:45" ht="60.75" customHeight="1" x14ac:dyDescent="0.25">
      <c r="A8" s="46" t="s">
        <v>868</v>
      </c>
      <c r="B8" s="42">
        <v>45259</v>
      </c>
      <c r="C8" s="37" t="s">
        <v>486</v>
      </c>
      <c r="D8" s="36" t="s">
        <v>869</v>
      </c>
      <c r="E8" s="1" t="s">
        <v>870</v>
      </c>
      <c r="F8" s="33">
        <v>45282</v>
      </c>
      <c r="G8" s="35" t="s">
        <v>871</v>
      </c>
      <c r="H8" s="37" t="s">
        <v>863</v>
      </c>
      <c r="I8" s="37" t="s">
        <v>864</v>
      </c>
      <c r="J8" s="39">
        <v>204885542.40000001</v>
      </c>
      <c r="K8" s="40">
        <v>0</v>
      </c>
      <c r="L8" s="41">
        <v>0</v>
      </c>
      <c r="M8" s="38">
        <v>204885542.40000001</v>
      </c>
      <c r="N8" s="41">
        <v>0</v>
      </c>
      <c r="O8" s="38">
        <v>204885542.40000001</v>
      </c>
      <c r="P8" s="27">
        <v>204885542.40000001</v>
      </c>
      <c r="Q8" s="27">
        <v>204885542.40000001</v>
      </c>
      <c r="R8" s="27">
        <v>204.82</v>
      </c>
      <c r="S8" s="38">
        <v>204.82</v>
      </c>
      <c r="T8" s="38">
        <v>6144.5999999999995</v>
      </c>
      <c r="U8" s="38">
        <v>1000320</v>
      </c>
      <c r="V8" s="38">
        <v>1000320</v>
      </c>
      <c r="W8" s="38">
        <v>0</v>
      </c>
      <c r="X8" s="38">
        <v>0</v>
      </c>
      <c r="Y8" s="38"/>
      <c r="Z8" s="38">
        <v>0</v>
      </c>
      <c r="AA8" s="38"/>
      <c r="AB8" s="38">
        <v>0</v>
      </c>
      <c r="AC8" s="38">
        <v>33344</v>
      </c>
      <c r="AD8" s="38">
        <v>33344</v>
      </c>
      <c r="AE8" s="33">
        <v>45323</v>
      </c>
      <c r="AF8" s="33"/>
      <c r="AG8" s="33"/>
      <c r="AH8" s="33">
        <v>45352</v>
      </c>
      <c r="AI8" s="33"/>
      <c r="AJ8" s="42"/>
      <c r="AK8" s="37" t="s">
        <v>865</v>
      </c>
      <c r="AL8" s="37" t="s">
        <v>866</v>
      </c>
      <c r="AM8" s="37" t="s">
        <v>867</v>
      </c>
      <c r="AN8" s="37" t="s">
        <v>50</v>
      </c>
      <c r="AO8" s="43">
        <v>100</v>
      </c>
      <c r="AP8" s="35">
        <v>0</v>
      </c>
      <c r="AQ8" s="35" t="s">
        <v>441</v>
      </c>
      <c r="AR8" s="44">
        <v>30</v>
      </c>
      <c r="AS8" s="37" t="s">
        <v>176</v>
      </c>
    </row>
    <row r="9" spans="1:45" ht="60.75" customHeight="1" x14ac:dyDescent="0.25">
      <c r="A9" s="46" t="s">
        <v>880</v>
      </c>
      <c r="B9" s="42">
        <v>45264</v>
      </c>
      <c r="C9" s="37" t="s">
        <v>486</v>
      </c>
      <c r="D9" s="36" t="s">
        <v>881</v>
      </c>
      <c r="E9" s="1" t="s">
        <v>882</v>
      </c>
      <c r="F9" s="33">
        <v>45285</v>
      </c>
      <c r="G9" s="35" t="s">
        <v>883</v>
      </c>
      <c r="H9" s="37" t="s">
        <v>138</v>
      </c>
      <c r="I9" s="37" t="s">
        <v>884</v>
      </c>
      <c r="J9" s="39">
        <v>299991938.39999998</v>
      </c>
      <c r="K9" s="40">
        <v>0</v>
      </c>
      <c r="L9" s="41">
        <v>0</v>
      </c>
      <c r="M9" s="38">
        <v>299991938.39999998</v>
      </c>
      <c r="N9" s="41">
        <v>0</v>
      </c>
      <c r="O9" s="38">
        <v>299991938.39999998</v>
      </c>
      <c r="P9" s="27">
        <v>299991938.39999998</v>
      </c>
      <c r="Q9" s="27">
        <v>299991938.39999998</v>
      </c>
      <c r="R9" s="27">
        <v>2248.9499999999998</v>
      </c>
      <c r="S9" s="38">
        <v>2248.9499999999998</v>
      </c>
      <c r="T9" s="38">
        <v>188911.8</v>
      </c>
      <c r="U9" s="38">
        <v>133392</v>
      </c>
      <c r="V9" s="53">
        <v>76175.137799999997</v>
      </c>
      <c r="W9" s="53">
        <v>57216.862200000003</v>
      </c>
      <c r="X9" s="38">
        <v>0</v>
      </c>
      <c r="Y9" s="38"/>
      <c r="Z9" s="38">
        <v>0</v>
      </c>
      <c r="AA9" s="38"/>
      <c r="AB9" s="38">
        <v>0</v>
      </c>
      <c r="AC9" s="38">
        <v>1588</v>
      </c>
      <c r="AD9" s="38">
        <v>1588</v>
      </c>
      <c r="AE9" s="33">
        <v>45306</v>
      </c>
      <c r="AF9" s="33">
        <v>45366</v>
      </c>
      <c r="AG9" s="33"/>
      <c r="AH9" s="33">
        <v>45337</v>
      </c>
      <c r="AI9" s="33">
        <v>45397</v>
      </c>
      <c r="AJ9" s="42"/>
      <c r="AK9" s="37" t="s">
        <v>631</v>
      </c>
      <c r="AL9" s="37" t="s">
        <v>885</v>
      </c>
      <c r="AM9" s="37" t="s">
        <v>886</v>
      </c>
      <c r="AN9" s="37" t="s">
        <v>143</v>
      </c>
      <c r="AO9" s="43">
        <v>0</v>
      </c>
      <c r="AP9" s="35">
        <v>100</v>
      </c>
      <c r="AQ9" s="35" t="s">
        <v>441</v>
      </c>
      <c r="AR9" s="44">
        <v>84</v>
      </c>
      <c r="AS9" s="37" t="s">
        <v>887</v>
      </c>
    </row>
    <row r="10" spans="1:45" ht="80.25" customHeight="1" x14ac:dyDescent="0.25">
      <c r="A10" s="46" t="s">
        <v>1047</v>
      </c>
      <c r="B10" s="42">
        <v>45273</v>
      </c>
      <c r="C10" s="37" t="s">
        <v>486</v>
      </c>
      <c r="D10" s="36" t="s">
        <v>1048</v>
      </c>
      <c r="E10" s="1" t="s">
        <v>1049</v>
      </c>
      <c r="F10" s="33">
        <v>45310</v>
      </c>
      <c r="G10" s="35" t="s">
        <v>1050</v>
      </c>
      <c r="H10" s="37" t="s">
        <v>219</v>
      </c>
      <c r="I10" s="37" t="s">
        <v>1051</v>
      </c>
      <c r="J10" s="39">
        <v>997835333.39999998</v>
      </c>
      <c r="K10" s="40">
        <v>0</v>
      </c>
      <c r="L10" s="41">
        <v>0</v>
      </c>
      <c r="M10" s="38">
        <v>997835333.39999998</v>
      </c>
      <c r="N10" s="41">
        <v>0</v>
      </c>
      <c r="O10" s="38">
        <v>997835333.39999998</v>
      </c>
      <c r="P10" s="27">
        <v>997835333.39999998</v>
      </c>
      <c r="Q10" s="27">
        <v>997835333.39999998</v>
      </c>
      <c r="R10" s="27">
        <v>524.30999999999995</v>
      </c>
      <c r="S10" s="38">
        <v>524.30999999999995</v>
      </c>
      <c r="T10" s="38">
        <v>15729.3</v>
      </c>
      <c r="U10" s="38">
        <v>1903140</v>
      </c>
      <c r="V10" s="38">
        <v>1903140</v>
      </c>
      <c r="W10" s="38">
        <v>0</v>
      </c>
      <c r="X10" s="38">
        <v>0</v>
      </c>
      <c r="Y10" s="38"/>
      <c r="Z10" s="38">
        <v>0</v>
      </c>
      <c r="AA10" s="38"/>
      <c r="AB10" s="38">
        <v>0</v>
      </c>
      <c r="AC10" s="38">
        <v>63438</v>
      </c>
      <c r="AD10" s="38">
        <v>63438</v>
      </c>
      <c r="AE10" s="33">
        <v>45397</v>
      </c>
      <c r="AF10" s="33"/>
      <c r="AG10" s="33"/>
      <c r="AH10" s="33">
        <v>45427</v>
      </c>
      <c r="AI10" s="33"/>
      <c r="AJ10" s="42"/>
      <c r="AK10" s="37" t="s">
        <v>1052</v>
      </c>
      <c r="AL10" s="37" t="s">
        <v>1053</v>
      </c>
      <c r="AM10" s="37" t="s">
        <v>1054</v>
      </c>
      <c r="AN10" s="37" t="s">
        <v>143</v>
      </c>
      <c r="AO10" s="43">
        <v>0</v>
      </c>
      <c r="AP10" s="35">
        <v>100</v>
      </c>
      <c r="AQ10" s="35" t="s">
        <v>441</v>
      </c>
      <c r="AR10" s="44">
        <v>30</v>
      </c>
      <c r="AS10" s="37" t="s">
        <v>52</v>
      </c>
    </row>
    <row r="11" spans="1:45" ht="105" x14ac:dyDescent="0.25">
      <c r="A11" s="46" t="s">
        <v>1055</v>
      </c>
      <c r="B11" s="42">
        <v>45273</v>
      </c>
      <c r="C11" s="37" t="s">
        <v>486</v>
      </c>
      <c r="D11" s="36" t="s">
        <v>1056</v>
      </c>
      <c r="E11" s="1" t="s">
        <v>1057</v>
      </c>
      <c r="F11" s="33">
        <v>45309</v>
      </c>
      <c r="G11" s="35" t="s">
        <v>1058</v>
      </c>
      <c r="H11" s="37" t="s">
        <v>219</v>
      </c>
      <c r="I11" s="37" t="s">
        <v>1059</v>
      </c>
      <c r="J11" s="39">
        <v>433303291.19999999</v>
      </c>
      <c r="K11" s="40">
        <v>0</v>
      </c>
      <c r="L11" s="41">
        <v>0</v>
      </c>
      <c r="M11" s="38">
        <v>433303291.19999999</v>
      </c>
      <c r="N11" s="41">
        <v>0</v>
      </c>
      <c r="O11" s="38">
        <v>433303291.19999999</v>
      </c>
      <c r="P11" s="27">
        <v>433303291.19999999</v>
      </c>
      <c r="Q11" s="27">
        <v>433303291.19999999</v>
      </c>
      <c r="R11" s="27">
        <v>524.31999999999994</v>
      </c>
      <c r="S11" s="38">
        <v>524.31999999999994</v>
      </c>
      <c r="T11" s="38">
        <v>15729.599999999999</v>
      </c>
      <c r="U11" s="38">
        <v>826410</v>
      </c>
      <c r="V11" s="38">
        <v>826410</v>
      </c>
      <c r="W11" s="38">
        <v>0</v>
      </c>
      <c r="X11" s="38">
        <v>0</v>
      </c>
      <c r="Y11" s="38"/>
      <c r="Z11" s="38">
        <v>0</v>
      </c>
      <c r="AA11" s="38"/>
      <c r="AB11" s="38">
        <v>0</v>
      </c>
      <c r="AC11" s="38">
        <v>27547</v>
      </c>
      <c r="AD11" s="38">
        <v>27547</v>
      </c>
      <c r="AE11" s="33">
        <v>45397</v>
      </c>
      <c r="AF11" s="33"/>
      <c r="AG11" s="33"/>
      <c r="AH11" s="33">
        <v>45427</v>
      </c>
      <c r="AI11" s="33"/>
      <c r="AJ11" s="42"/>
      <c r="AK11" s="37" t="s">
        <v>1060</v>
      </c>
      <c r="AL11" s="37" t="s">
        <v>1061</v>
      </c>
      <c r="AM11" s="37" t="s">
        <v>1062</v>
      </c>
      <c r="AN11" s="37" t="s">
        <v>143</v>
      </c>
      <c r="AO11" s="43">
        <v>0</v>
      </c>
      <c r="AP11" s="35">
        <v>100</v>
      </c>
      <c r="AQ11" s="35" t="s">
        <v>441</v>
      </c>
      <c r="AR11" s="44">
        <v>30</v>
      </c>
      <c r="AS11" s="37" t="s">
        <v>52</v>
      </c>
    </row>
    <row r="12" spans="1:45" ht="93" customHeight="1" x14ac:dyDescent="0.25">
      <c r="A12" s="46" t="s">
        <v>1079</v>
      </c>
      <c r="B12" s="42">
        <v>45275</v>
      </c>
      <c r="C12" s="37" t="s">
        <v>486</v>
      </c>
      <c r="D12" s="36" t="s">
        <v>1080</v>
      </c>
      <c r="E12" s="1" t="s">
        <v>1081</v>
      </c>
      <c r="F12" s="33">
        <v>45314</v>
      </c>
      <c r="G12" s="35" t="s">
        <v>1082</v>
      </c>
      <c r="H12" s="37" t="s">
        <v>863</v>
      </c>
      <c r="I12" s="37" t="s">
        <v>864</v>
      </c>
      <c r="J12" s="39">
        <v>1526748762</v>
      </c>
      <c r="K12" s="40">
        <v>0</v>
      </c>
      <c r="L12" s="41">
        <v>0</v>
      </c>
      <c r="M12" s="38">
        <v>1526748762</v>
      </c>
      <c r="N12" s="41">
        <v>0</v>
      </c>
      <c r="O12" s="38">
        <v>1526748762</v>
      </c>
      <c r="P12" s="27">
        <v>1526748762</v>
      </c>
      <c r="Q12" s="27">
        <v>1526748762</v>
      </c>
      <c r="R12" s="27">
        <v>204.82</v>
      </c>
      <c r="S12" s="38">
        <v>204.82</v>
      </c>
      <c r="T12" s="38">
        <v>6144.5999999999995</v>
      </c>
      <c r="U12" s="38">
        <v>7454100</v>
      </c>
      <c r="V12" s="38">
        <v>7454100</v>
      </c>
      <c r="W12" s="38">
        <v>0</v>
      </c>
      <c r="X12" s="38">
        <v>0</v>
      </c>
      <c r="Y12" s="38"/>
      <c r="Z12" s="38">
        <v>0</v>
      </c>
      <c r="AA12" s="38"/>
      <c r="AB12" s="38">
        <v>0</v>
      </c>
      <c r="AC12" s="38">
        <v>248470</v>
      </c>
      <c r="AD12" s="38">
        <v>248470</v>
      </c>
      <c r="AE12" s="33">
        <v>45383</v>
      </c>
      <c r="AF12" s="33"/>
      <c r="AG12" s="33"/>
      <c r="AH12" s="33">
        <v>45413</v>
      </c>
      <c r="AI12" s="33"/>
      <c r="AJ12" s="42"/>
      <c r="AK12" s="37" t="s">
        <v>1083</v>
      </c>
      <c r="AL12" s="37" t="s">
        <v>1084</v>
      </c>
      <c r="AM12" s="37" t="s">
        <v>1085</v>
      </c>
      <c r="AN12" s="37" t="s">
        <v>50</v>
      </c>
      <c r="AO12" s="43">
        <v>100</v>
      </c>
      <c r="AP12" s="35">
        <v>0</v>
      </c>
      <c r="AQ12" s="35" t="s">
        <v>441</v>
      </c>
      <c r="AR12" s="44">
        <v>30</v>
      </c>
      <c r="AS12" s="37" t="s">
        <v>52</v>
      </c>
    </row>
    <row r="13" spans="1:45" ht="75" customHeight="1" x14ac:dyDescent="0.25">
      <c r="A13" s="46" t="s">
        <v>1086</v>
      </c>
      <c r="B13" s="42">
        <v>45275</v>
      </c>
      <c r="C13" s="37" t="s">
        <v>486</v>
      </c>
      <c r="D13" s="36" t="s">
        <v>1087</v>
      </c>
      <c r="E13" s="1" t="s">
        <v>1088</v>
      </c>
      <c r="F13" s="33">
        <v>45314</v>
      </c>
      <c r="G13" s="35" t="s">
        <v>1089</v>
      </c>
      <c r="H13" s="37" t="s">
        <v>863</v>
      </c>
      <c r="I13" s="37" t="s">
        <v>864</v>
      </c>
      <c r="J13" s="39">
        <v>1140112096.2</v>
      </c>
      <c r="K13" s="40">
        <v>0</v>
      </c>
      <c r="L13" s="41">
        <v>0</v>
      </c>
      <c r="M13" s="38">
        <v>1140112096.2</v>
      </c>
      <c r="N13" s="41">
        <v>0</v>
      </c>
      <c r="O13" s="38">
        <v>1140112096.2</v>
      </c>
      <c r="P13" s="27">
        <v>1140112096.2</v>
      </c>
      <c r="Q13" s="27">
        <v>1140112096.2</v>
      </c>
      <c r="R13" s="27">
        <v>204.82000000000002</v>
      </c>
      <c r="S13" s="38">
        <v>204.82000000000002</v>
      </c>
      <c r="T13" s="38">
        <v>6144.6</v>
      </c>
      <c r="U13" s="38">
        <v>5566410</v>
      </c>
      <c r="V13" s="38">
        <v>5566410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185547</v>
      </c>
      <c r="AD13" s="38">
        <v>185547</v>
      </c>
      <c r="AE13" s="33">
        <v>45352</v>
      </c>
      <c r="AF13" s="33"/>
      <c r="AG13" s="33"/>
      <c r="AH13" s="33">
        <v>45383</v>
      </c>
      <c r="AI13" s="33"/>
      <c r="AJ13" s="42"/>
      <c r="AK13" s="37" t="s">
        <v>865</v>
      </c>
      <c r="AL13" s="37" t="s">
        <v>866</v>
      </c>
      <c r="AM13" s="37" t="s">
        <v>867</v>
      </c>
      <c r="AN13" s="37" t="s">
        <v>50</v>
      </c>
      <c r="AO13" s="43">
        <v>100</v>
      </c>
      <c r="AP13" s="35">
        <v>0</v>
      </c>
      <c r="AQ13" s="35" t="s">
        <v>441</v>
      </c>
      <c r="AR13" s="44">
        <v>30</v>
      </c>
      <c r="AS13" s="37" t="s">
        <v>176</v>
      </c>
    </row>
    <row r="14" spans="1:45" ht="58.5" customHeight="1" x14ac:dyDescent="0.25">
      <c r="A14" s="46" t="s">
        <v>1290</v>
      </c>
      <c r="B14" s="42">
        <v>45287</v>
      </c>
      <c r="C14" s="37" t="s">
        <v>486</v>
      </c>
      <c r="D14" s="36" t="s">
        <v>1291</v>
      </c>
      <c r="E14" s="1" t="s">
        <v>1292</v>
      </c>
      <c r="F14" s="33">
        <v>45317</v>
      </c>
      <c r="G14" s="35" t="s">
        <v>1293</v>
      </c>
      <c r="H14" s="37" t="s">
        <v>291</v>
      </c>
      <c r="I14" s="37" t="s">
        <v>545</v>
      </c>
      <c r="J14" s="39">
        <v>64380912</v>
      </c>
      <c r="K14" s="40">
        <v>0</v>
      </c>
      <c r="L14" s="41">
        <v>0</v>
      </c>
      <c r="M14" s="38">
        <v>64380912</v>
      </c>
      <c r="N14" s="41">
        <v>0</v>
      </c>
      <c r="O14" s="38">
        <v>64380912</v>
      </c>
      <c r="P14" s="27">
        <v>64412588.299999997</v>
      </c>
      <c r="Q14" s="27">
        <v>64412588.299999997</v>
      </c>
      <c r="R14" s="27">
        <v>17.3</v>
      </c>
      <c r="S14" s="38">
        <v>17.3</v>
      </c>
      <c r="T14" s="38">
        <v>1038</v>
      </c>
      <c r="U14" s="38">
        <v>3723271</v>
      </c>
      <c r="V14" s="38">
        <v>3723271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62054.51666666667</v>
      </c>
      <c r="AD14" s="38">
        <v>62055</v>
      </c>
      <c r="AE14" s="33">
        <v>45382</v>
      </c>
      <c r="AF14" s="33"/>
      <c r="AG14" s="33"/>
      <c r="AH14" s="33">
        <v>45413</v>
      </c>
      <c r="AI14" s="33"/>
      <c r="AJ14" s="42"/>
      <c r="AK14" s="37" t="s">
        <v>1294</v>
      </c>
      <c r="AL14" s="37" t="s">
        <v>1295</v>
      </c>
      <c r="AM14" s="37" t="s">
        <v>1296</v>
      </c>
      <c r="AN14" s="37" t="s">
        <v>50</v>
      </c>
      <c r="AO14" s="43">
        <v>100</v>
      </c>
      <c r="AP14" s="35">
        <v>0</v>
      </c>
      <c r="AQ14" s="35" t="s">
        <v>441</v>
      </c>
      <c r="AR14" s="44">
        <v>60</v>
      </c>
      <c r="AS14" s="37" t="s">
        <v>52</v>
      </c>
    </row>
    <row r="15" spans="1:45" ht="58.5" customHeight="1" x14ac:dyDescent="0.25">
      <c r="A15" s="46" t="s">
        <v>1297</v>
      </c>
      <c r="B15" s="42">
        <v>45287</v>
      </c>
      <c r="C15" s="37" t="s">
        <v>486</v>
      </c>
      <c r="D15" s="36" t="s">
        <v>1298</v>
      </c>
      <c r="E15" s="1" t="s">
        <v>1299</v>
      </c>
      <c r="F15" s="33">
        <v>45317</v>
      </c>
      <c r="G15" s="35" t="s">
        <v>1300</v>
      </c>
      <c r="H15" s="37" t="s">
        <v>291</v>
      </c>
      <c r="I15" s="37" t="s">
        <v>1301</v>
      </c>
      <c r="J15" s="39">
        <v>18012532.800000001</v>
      </c>
      <c r="K15" s="40">
        <v>0</v>
      </c>
      <c r="L15" s="41">
        <v>0</v>
      </c>
      <c r="M15" s="38">
        <v>18012532.800000001</v>
      </c>
      <c r="N15" s="41">
        <v>0</v>
      </c>
      <c r="O15" s="38">
        <v>18012532.800000001</v>
      </c>
      <c r="P15" s="27">
        <v>18012532.800000001</v>
      </c>
      <c r="Q15" s="27">
        <v>18012532.800000001</v>
      </c>
      <c r="R15" s="27">
        <v>110.86</v>
      </c>
      <c r="S15" s="38">
        <v>110.86</v>
      </c>
      <c r="T15" s="38">
        <v>13303.2</v>
      </c>
      <c r="U15" s="38">
        <v>162480</v>
      </c>
      <c r="V15" s="38">
        <v>162480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1354</v>
      </c>
      <c r="AD15" s="38">
        <v>1354</v>
      </c>
      <c r="AE15" s="33">
        <v>45383</v>
      </c>
      <c r="AF15" s="33"/>
      <c r="AG15" s="33"/>
      <c r="AH15" s="33">
        <v>45413</v>
      </c>
      <c r="AI15" s="33"/>
      <c r="AJ15" s="42"/>
      <c r="AK15" s="37" t="s">
        <v>1302</v>
      </c>
      <c r="AL15" s="37" t="s">
        <v>1303</v>
      </c>
      <c r="AM15" s="37" t="s">
        <v>1304</v>
      </c>
      <c r="AN15" s="37" t="s">
        <v>50</v>
      </c>
      <c r="AO15" s="43">
        <v>100</v>
      </c>
      <c r="AP15" s="35">
        <v>0</v>
      </c>
      <c r="AQ15" s="35" t="s">
        <v>441</v>
      </c>
      <c r="AR15" s="44">
        <v>120</v>
      </c>
      <c r="AS15" s="37" t="s">
        <v>52</v>
      </c>
    </row>
    <row r="16" spans="1:45" ht="58.5" customHeight="1" x14ac:dyDescent="0.25">
      <c r="A16" s="46" t="s">
        <v>1305</v>
      </c>
      <c r="B16" s="42">
        <v>45287</v>
      </c>
      <c r="C16" s="37" t="s">
        <v>486</v>
      </c>
      <c r="D16" s="36" t="s">
        <v>1306</v>
      </c>
      <c r="E16" s="1" t="s">
        <v>1307</v>
      </c>
      <c r="F16" s="33" t="s">
        <v>1306</v>
      </c>
      <c r="G16" s="35" t="s">
        <v>1306</v>
      </c>
      <c r="H16" s="35" t="s">
        <v>1306</v>
      </c>
      <c r="I16" s="37" t="s">
        <v>1308</v>
      </c>
      <c r="J16" s="39">
        <v>7038016</v>
      </c>
      <c r="K16" s="40">
        <v>100</v>
      </c>
      <c r="L16" s="41">
        <v>7038016</v>
      </c>
      <c r="M16" s="38"/>
      <c r="N16" s="41">
        <v>7038016</v>
      </c>
      <c r="O16" s="38">
        <v>0</v>
      </c>
      <c r="P16" s="27">
        <v>0</v>
      </c>
      <c r="Q16" s="27">
        <v>0</v>
      </c>
      <c r="R16" s="27" t="e">
        <v>#DIV/0!</v>
      </c>
      <c r="S16" s="38" t="e">
        <v>#DIV/0!</v>
      </c>
      <c r="T16" s="38" t="e">
        <v>#DIV/0!</v>
      </c>
      <c r="U16" s="38">
        <v>0</v>
      </c>
      <c r="V16" s="38">
        <v>0</v>
      </c>
      <c r="W16" s="38">
        <v>0</v>
      </c>
      <c r="X16" s="38">
        <v>0</v>
      </c>
      <c r="Y16" s="38"/>
      <c r="Z16" s="38" t="e">
        <v>#DIV/0!</v>
      </c>
      <c r="AA16" s="38"/>
      <c r="AB16" s="38" t="e">
        <v>#DIV/0!</v>
      </c>
      <c r="AC16" s="38" t="e">
        <v>#DIV/0!</v>
      </c>
      <c r="AD16" s="38" t="e">
        <v>#DIV/0!</v>
      </c>
      <c r="AE16" s="33">
        <v>45337</v>
      </c>
      <c r="AF16" s="33"/>
      <c r="AG16" s="33"/>
      <c r="AH16" s="33"/>
      <c r="AI16" s="33"/>
      <c r="AJ16" s="42"/>
      <c r="AK16" s="37"/>
      <c r="AL16" s="37"/>
      <c r="AM16" s="37"/>
      <c r="AN16" s="37"/>
      <c r="AO16" s="43"/>
      <c r="AP16" s="35"/>
      <c r="AQ16" s="35"/>
      <c r="AR16" s="44"/>
      <c r="AS16" s="35" t="s">
        <v>1306</v>
      </c>
    </row>
    <row r="17" spans="1:45" ht="58.5" customHeight="1" x14ac:dyDescent="0.25">
      <c r="A17" s="46" t="s">
        <v>1309</v>
      </c>
      <c r="B17" s="42">
        <v>45287</v>
      </c>
      <c r="C17" s="37" t="s">
        <v>486</v>
      </c>
      <c r="D17" s="36" t="s">
        <v>485</v>
      </c>
      <c r="E17" s="1" t="s">
        <v>1310</v>
      </c>
      <c r="F17" s="33" t="s">
        <v>485</v>
      </c>
      <c r="G17" s="35" t="s">
        <v>485</v>
      </c>
      <c r="H17" s="37" t="s">
        <v>485</v>
      </c>
      <c r="I17" s="37" t="s">
        <v>1311</v>
      </c>
      <c r="J17" s="39">
        <v>2030112</v>
      </c>
      <c r="K17" s="40">
        <v>100</v>
      </c>
      <c r="L17" s="41">
        <v>2030112</v>
      </c>
      <c r="M17" s="38"/>
      <c r="N17" s="41">
        <v>2030112</v>
      </c>
      <c r="O17" s="38">
        <v>0</v>
      </c>
      <c r="P17" s="27">
        <v>0</v>
      </c>
      <c r="Q17" s="27">
        <v>0</v>
      </c>
      <c r="R17" s="27" t="e">
        <v>#DIV/0!</v>
      </c>
      <c r="S17" s="38" t="e">
        <v>#DIV/0!</v>
      </c>
      <c r="T17" s="38" t="e">
        <v>#DIV/0!</v>
      </c>
      <c r="U17" s="38">
        <v>0</v>
      </c>
      <c r="V17" s="38">
        <v>0</v>
      </c>
      <c r="W17" s="38">
        <v>0</v>
      </c>
      <c r="X17" s="38">
        <v>0</v>
      </c>
      <c r="Y17" s="38"/>
      <c r="Z17" s="38" t="e">
        <v>#DIV/0!</v>
      </c>
      <c r="AA17" s="38"/>
      <c r="AB17" s="38" t="e">
        <v>#DIV/0!</v>
      </c>
      <c r="AC17" s="38" t="e">
        <v>#DIV/0!</v>
      </c>
      <c r="AD17" s="38" t="e">
        <v>#DIV/0!</v>
      </c>
      <c r="AE17" s="33">
        <v>45383</v>
      </c>
      <c r="AF17" s="33"/>
      <c r="AG17" s="33"/>
      <c r="AH17" s="33"/>
      <c r="AI17" s="33"/>
      <c r="AJ17" s="42"/>
      <c r="AK17" s="37"/>
      <c r="AL17" s="37"/>
      <c r="AM17" s="37"/>
      <c r="AN17" s="37"/>
      <c r="AO17" s="43"/>
      <c r="AP17" s="35"/>
      <c r="AQ17" s="35"/>
      <c r="AR17" s="44"/>
      <c r="AS17" s="37" t="s">
        <v>485</v>
      </c>
    </row>
    <row r="18" spans="1:45" ht="58.5" customHeight="1" x14ac:dyDescent="0.25">
      <c r="A18" s="46" t="s">
        <v>1318</v>
      </c>
      <c r="B18" s="42">
        <v>45287</v>
      </c>
      <c r="C18" s="37" t="s">
        <v>486</v>
      </c>
      <c r="D18" s="36" t="s">
        <v>1319</v>
      </c>
      <c r="E18" s="1" t="s">
        <v>1320</v>
      </c>
      <c r="F18" s="33">
        <v>45317</v>
      </c>
      <c r="G18" s="35" t="s">
        <v>1321</v>
      </c>
      <c r="H18" s="37" t="s">
        <v>219</v>
      </c>
      <c r="I18" s="37" t="s">
        <v>1322</v>
      </c>
      <c r="J18" s="39">
        <v>253458935.40000001</v>
      </c>
      <c r="K18" s="40">
        <v>0</v>
      </c>
      <c r="L18" s="41">
        <v>0</v>
      </c>
      <c r="M18" s="38">
        <v>253458935.40000001</v>
      </c>
      <c r="N18" s="41">
        <v>0</v>
      </c>
      <c r="O18" s="38">
        <v>253458935.40000001</v>
      </c>
      <c r="P18" s="27">
        <v>253458935.40000001</v>
      </c>
      <c r="Q18" s="27">
        <v>253458935.40000001</v>
      </c>
      <c r="R18" s="27">
        <v>835.01</v>
      </c>
      <c r="S18" s="38">
        <v>835.01</v>
      </c>
      <c r="T18" s="38">
        <v>25050.3</v>
      </c>
      <c r="U18" s="38">
        <v>303540</v>
      </c>
      <c r="V18" s="38">
        <v>303540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10118</v>
      </c>
      <c r="AD18" s="38">
        <v>10118</v>
      </c>
      <c r="AE18" s="33">
        <v>45352</v>
      </c>
      <c r="AF18" s="33"/>
      <c r="AG18" s="33"/>
      <c r="AH18" s="33">
        <v>45383</v>
      </c>
      <c r="AI18" s="33"/>
      <c r="AJ18" s="42"/>
      <c r="AK18" s="37" t="s">
        <v>1323</v>
      </c>
      <c r="AL18" s="37" t="s">
        <v>1324</v>
      </c>
      <c r="AM18" s="37" t="s">
        <v>1325</v>
      </c>
      <c r="AN18" s="37" t="s">
        <v>1326</v>
      </c>
      <c r="AO18" s="43">
        <v>0</v>
      </c>
      <c r="AP18" s="35">
        <v>100</v>
      </c>
      <c r="AQ18" s="35" t="s">
        <v>441</v>
      </c>
      <c r="AR18" s="44">
        <v>30</v>
      </c>
      <c r="AS18" s="37" t="s">
        <v>176</v>
      </c>
    </row>
    <row r="19" spans="1:45" ht="58.5" customHeight="1" x14ac:dyDescent="0.25">
      <c r="A19" s="46" t="s">
        <v>1341</v>
      </c>
      <c r="B19" s="42">
        <v>45287</v>
      </c>
      <c r="C19" s="37" t="s">
        <v>486</v>
      </c>
      <c r="D19" s="36" t="s">
        <v>1342</v>
      </c>
      <c r="E19" s="1" t="s">
        <v>1343</v>
      </c>
      <c r="F19" s="33">
        <v>45320</v>
      </c>
      <c r="G19" s="35" t="s">
        <v>1344</v>
      </c>
      <c r="H19" s="37" t="s">
        <v>291</v>
      </c>
      <c r="I19" s="37" t="s">
        <v>1345</v>
      </c>
      <c r="J19" s="39">
        <v>2669581.2000000002</v>
      </c>
      <c r="K19" s="40">
        <v>0</v>
      </c>
      <c r="L19" s="41">
        <v>0</v>
      </c>
      <c r="M19" s="38">
        <v>2669581.2000000002</v>
      </c>
      <c r="N19" s="41">
        <v>0</v>
      </c>
      <c r="O19" s="38">
        <v>2669581.2000000002</v>
      </c>
      <c r="P19" s="27">
        <v>2669581.2000000002</v>
      </c>
      <c r="Q19" s="27">
        <v>2669581.2000000002</v>
      </c>
      <c r="R19" s="27">
        <v>13.24</v>
      </c>
      <c r="S19" s="38">
        <v>13.24</v>
      </c>
      <c r="T19" s="38">
        <v>794.4</v>
      </c>
      <c r="U19" s="38">
        <v>201630</v>
      </c>
      <c r="V19" s="38">
        <v>201630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3360.5</v>
      </c>
      <c r="AD19" s="38">
        <v>3361</v>
      </c>
      <c r="AE19" s="33">
        <v>45382</v>
      </c>
      <c r="AF19" s="33"/>
      <c r="AG19" s="33"/>
      <c r="AH19" s="33">
        <v>45413</v>
      </c>
      <c r="AI19" s="33"/>
      <c r="AJ19" s="42"/>
      <c r="AK19" s="37" t="s">
        <v>1346</v>
      </c>
      <c r="AL19" s="37" t="s">
        <v>1347</v>
      </c>
      <c r="AM19" s="37" t="s">
        <v>1348</v>
      </c>
      <c r="AN19" s="37" t="s">
        <v>50</v>
      </c>
      <c r="AO19" s="43">
        <v>100</v>
      </c>
      <c r="AP19" s="35">
        <v>0</v>
      </c>
      <c r="AQ19" s="35" t="s">
        <v>441</v>
      </c>
      <c r="AR19" s="44">
        <v>60</v>
      </c>
      <c r="AS19" s="37" t="s">
        <v>52</v>
      </c>
    </row>
    <row r="20" spans="1:45" ht="58.5" customHeight="1" x14ac:dyDescent="0.25">
      <c r="A20" s="46" t="s">
        <v>1349</v>
      </c>
      <c r="B20" s="42">
        <v>45287</v>
      </c>
      <c r="C20" s="37" t="s">
        <v>486</v>
      </c>
      <c r="D20" s="36" t="s">
        <v>1306</v>
      </c>
      <c r="E20" s="1" t="s">
        <v>1350</v>
      </c>
      <c r="F20" s="33" t="s">
        <v>1306</v>
      </c>
      <c r="G20" s="35" t="s">
        <v>1306</v>
      </c>
      <c r="H20" s="37" t="s">
        <v>1306</v>
      </c>
      <c r="I20" s="37" t="s">
        <v>1351</v>
      </c>
      <c r="J20" s="39">
        <v>8321227.2000000002</v>
      </c>
      <c r="K20" s="40">
        <v>100</v>
      </c>
      <c r="L20" s="41">
        <v>8321227.2000000002</v>
      </c>
      <c r="M20" s="38"/>
      <c r="N20" s="41">
        <v>8321227.2000000002</v>
      </c>
      <c r="O20" s="38">
        <v>0</v>
      </c>
      <c r="P20" s="27">
        <v>0</v>
      </c>
      <c r="Q20" s="27">
        <v>0</v>
      </c>
      <c r="R20" s="27" t="e">
        <v>#DIV/0!</v>
      </c>
      <c r="S20" s="38" t="e">
        <v>#DIV/0!</v>
      </c>
      <c r="T20" s="38" t="e">
        <v>#DIV/0!</v>
      </c>
      <c r="U20" s="38">
        <v>0</v>
      </c>
      <c r="V20" s="38">
        <v>0</v>
      </c>
      <c r="W20" s="38">
        <v>0</v>
      </c>
      <c r="X20" s="38">
        <v>0</v>
      </c>
      <c r="Y20" s="38"/>
      <c r="Z20" s="38" t="e">
        <v>#DIV/0!</v>
      </c>
      <c r="AA20" s="38"/>
      <c r="AB20" s="38" t="e">
        <v>#DIV/0!</v>
      </c>
      <c r="AC20" s="38" t="e">
        <v>#DIV/0!</v>
      </c>
      <c r="AD20" s="38" t="e">
        <v>#DIV/0!</v>
      </c>
      <c r="AE20" s="33">
        <v>45382</v>
      </c>
      <c r="AF20" s="33"/>
      <c r="AG20" s="33"/>
      <c r="AH20" s="33"/>
      <c r="AI20" s="33"/>
      <c r="AJ20" s="42"/>
      <c r="AK20" s="37"/>
      <c r="AL20" s="37"/>
      <c r="AM20" s="37"/>
      <c r="AN20" s="37"/>
      <c r="AO20" s="43"/>
      <c r="AP20" s="35"/>
      <c r="AQ20" s="35"/>
      <c r="AR20" s="44"/>
      <c r="AS20" s="37" t="s">
        <v>1306</v>
      </c>
    </row>
    <row r="21" spans="1:45" ht="58.5" customHeight="1" x14ac:dyDescent="0.25">
      <c r="A21" s="46" t="s">
        <v>1405</v>
      </c>
      <c r="B21" s="42">
        <v>45288</v>
      </c>
      <c r="C21" s="37" t="s">
        <v>486</v>
      </c>
      <c r="D21" s="36" t="s">
        <v>1406</v>
      </c>
      <c r="E21" s="1" t="s">
        <v>1407</v>
      </c>
      <c r="F21" s="33">
        <v>45320</v>
      </c>
      <c r="G21" s="35" t="s">
        <v>1408</v>
      </c>
      <c r="H21" s="37" t="s">
        <v>219</v>
      </c>
      <c r="I21" s="37" t="s">
        <v>1409</v>
      </c>
      <c r="J21" s="39">
        <v>1031720792.4</v>
      </c>
      <c r="K21" s="40">
        <v>0</v>
      </c>
      <c r="L21" s="41">
        <v>0</v>
      </c>
      <c r="M21" s="38">
        <v>1031720792.4</v>
      </c>
      <c r="N21" s="41">
        <v>0</v>
      </c>
      <c r="O21" s="38">
        <v>1031720792.4</v>
      </c>
      <c r="P21" s="27">
        <v>1031720792.4</v>
      </c>
      <c r="Q21" s="27">
        <v>1031720792.4</v>
      </c>
      <c r="R21" s="27">
        <v>201.66</v>
      </c>
      <c r="S21" s="38">
        <v>201.66</v>
      </c>
      <c r="T21" s="38">
        <v>6049.8</v>
      </c>
      <c r="U21" s="38">
        <v>5116140</v>
      </c>
      <c r="V21" s="38">
        <v>5116140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170538</v>
      </c>
      <c r="AD21" s="38">
        <v>170538</v>
      </c>
      <c r="AE21" s="33">
        <v>45397</v>
      </c>
      <c r="AF21" s="33"/>
      <c r="AG21" s="33"/>
      <c r="AH21" s="33">
        <v>45427</v>
      </c>
      <c r="AI21" s="33"/>
      <c r="AJ21" s="42"/>
      <c r="AK21" s="37" t="s">
        <v>1410</v>
      </c>
      <c r="AL21" s="37" t="s">
        <v>1411</v>
      </c>
      <c r="AM21" s="37" t="s">
        <v>1412</v>
      </c>
      <c r="AN21" s="37" t="s">
        <v>50</v>
      </c>
      <c r="AO21" s="43">
        <v>100</v>
      </c>
      <c r="AP21" s="35">
        <v>0</v>
      </c>
      <c r="AQ21" s="35" t="s">
        <v>441</v>
      </c>
      <c r="AR21" s="44">
        <v>30</v>
      </c>
      <c r="AS21" s="37" t="s">
        <v>52</v>
      </c>
    </row>
    <row r="22" spans="1:45" ht="58.5" customHeight="1" x14ac:dyDescent="0.25">
      <c r="A22" s="46" t="s">
        <v>1413</v>
      </c>
      <c r="B22" s="42">
        <v>45288</v>
      </c>
      <c r="C22" s="37" t="s">
        <v>486</v>
      </c>
      <c r="D22" s="36" t="s">
        <v>1414</v>
      </c>
      <c r="E22" s="1" t="s">
        <v>1415</v>
      </c>
      <c r="F22" s="33">
        <v>45320</v>
      </c>
      <c r="G22" s="35" t="s">
        <v>1416</v>
      </c>
      <c r="H22" s="37" t="s">
        <v>138</v>
      </c>
      <c r="I22" s="37" t="s">
        <v>1417</v>
      </c>
      <c r="J22" s="39">
        <v>790983700.20000005</v>
      </c>
      <c r="K22" s="40">
        <v>0</v>
      </c>
      <c r="L22" s="41">
        <v>0</v>
      </c>
      <c r="M22" s="38">
        <v>790983700.20000005</v>
      </c>
      <c r="N22" s="41">
        <v>0</v>
      </c>
      <c r="O22" s="38">
        <v>790983700.20000005</v>
      </c>
      <c r="P22" s="27">
        <v>790983700.20000005</v>
      </c>
      <c r="Q22" s="27">
        <v>790983700.20000005</v>
      </c>
      <c r="R22" s="27">
        <v>414.21000000000004</v>
      </c>
      <c r="S22" s="38">
        <v>414.21000000000004</v>
      </c>
      <c r="T22" s="38">
        <v>12426.300000000001</v>
      </c>
      <c r="U22" s="38">
        <v>1909620</v>
      </c>
      <c r="V22" s="38">
        <v>1909620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63654</v>
      </c>
      <c r="AD22" s="38">
        <v>63654</v>
      </c>
      <c r="AE22" s="33">
        <v>45514</v>
      </c>
      <c r="AF22" s="33"/>
      <c r="AG22" s="33"/>
      <c r="AH22" s="33">
        <v>45545</v>
      </c>
      <c r="AI22" s="33"/>
      <c r="AJ22" s="42"/>
      <c r="AK22" s="37" t="s">
        <v>566</v>
      </c>
      <c r="AL22" s="37" t="s">
        <v>567</v>
      </c>
      <c r="AM22" s="37" t="s">
        <v>568</v>
      </c>
      <c r="AN22" s="37" t="s">
        <v>143</v>
      </c>
      <c r="AO22" s="43">
        <v>0</v>
      </c>
      <c r="AP22" s="35">
        <v>100</v>
      </c>
      <c r="AQ22" s="35" t="s">
        <v>441</v>
      </c>
      <c r="AR22" s="44">
        <v>30</v>
      </c>
      <c r="AS22" s="37" t="s">
        <v>52</v>
      </c>
    </row>
    <row r="23" spans="1:45" ht="58.5" customHeight="1" x14ac:dyDescent="0.25">
      <c r="A23" s="46" t="s">
        <v>1418</v>
      </c>
      <c r="B23" s="42">
        <v>45288</v>
      </c>
      <c r="C23" s="37" t="s">
        <v>486</v>
      </c>
      <c r="D23" s="36" t="s">
        <v>485</v>
      </c>
      <c r="E23" s="1" t="s">
        <v>1419</v>
      </c>
      <c r="F23" s="33" t="s">
        <v>485</v>
      </c>
      <c r="G23" s="35" t="s">
        <v>485</v>
      </c>
      <c r="H23" s="37" t="s">
        <v>485</v>
      </c>
      <c r="I23" s="37" t="s">
        <v>1420</v>
      </c>
      <c r="J23" s="39">
        <v>71990384.400000006</v>
      </c>
      <c r="K23" s="40">
        <v>100</v>
      </c>
      <c r="L23" s="41">
        <v>71990384.400000006</v>
      </c>
      <c r="M23" s="38"/>
      <c r="N23" s="41">
        <v>71990384.400000006</v>
      </c>
      <c r="O23" s="38">
        <v>0</v>
      </c>
      <c r="P23" s="27">
        <v>0</v>
      </c>
      <c r="Q23" s="27">
        <v>0</v>
      </c>
      <c r="R23" s="27" t="e">
        <v>#DIV/0!</v>
      </c>
      <c r="S23" s="38" t="e">
        <v>#DIV/0!</v>
      </c>
      <c r="T23" s="38" t="e">
        <v>#DIV/0!</v>
      </c>
      <c r="U23" s="38">
        <v>0</v>
      </c>
      <c r="V23" s="38">
        <v>0</v>
      </c>
      <c r="W23" s="38">
        <v>0</v>
      </c>
      <c r="X23" s="38">
        <v>0</v>
      </c>
      <c r="Y23" s="38"/>
      <c r="Z23" s="38" t="e">
        <v>#DIV/0!</v>
      </c>
      <c r="AA23" s="38"/>
      <c r="AB23" s="38" t="e">
        <v>#DIV/0!</v>
      </c>
      <c r="AC23" s="38" t="e">
        <v>#DIV/0!</v>
      </c>
      <c r="AD23" s="38" t="e">
        <v>#DIV/0!</v>
      </c>
      <c r="AE23" s="33">
        <v>45383</v>
      </c>
      <c r="AF23" s="33"/>
      <c r="AG23" s="33"/>
      <c r="AH23" s="33"/>
      <c r="AI23" s="33"/>
      <c r="AJ23" s="42"/>
      <c r="AK23" s="37"/>
      <c r="AL23" s="37"/>
      <c r="AM23" s="37"/>
      <c r="AN23" s="37"/>
      <c r="AO23" s="43"/>
      <c r="AP23" s="35"/>
      <c r="AQ23" s="35"/>
      <c r="AR23" s="44"/>
      <c r="AS23" s="37" t="s">
        <v>485</v>
      </c>
    </row>
    <row r="24" spans="1:45" ht="48.75" customHeight="1" x14ac:dyDescent="0.25">
      <c r="A24" s="32" t="s">
        <v>1556</v>
      </c>
      <c r="B24" s="56">
        <v>45313</v>
      </c>
      <c r="C24" s="37" t="s">
        <v>486</v>
      </c>
      <c r="D24" s="36" t="s">
        <v>485</v>
      </c>
      <c r="E24" s="1" t="s">
        <v>1557</v>
      </c>
      <c r="F24" s="33" t="s">
        <v>485</v>
      </c>
      <c r="G24" s="35" t="s">
        <v>485</v>
      </c>
      <c r="H24" s="37" t="s">
        <v>485</v>
      </c>
      <c r="I24" s="37" t="s">
        <v>1558</v>
      </c>
      <c r="J24" s="57">
        <v>229822000.5</v>
      </c>
      <c r="K24" s="40">
        <v>100</v>
      </c>
      <c r="L24" s="41">
        <v>229822000.5</v>
      </c>
      <c r="M24" s="38"/>
      <c r="N24" s="41">
        <v>229822000.5</v>
      </c>
      <c r="O24" s="38">
        <v>0</v>
      </c>
      <c r="P24" s="27">
        <v>0</v>
      </c>
      <c r="Q24" s="27">
        <v>0</v>
      </c>
      <c r="R24" s="27" t="e">
        <v>#DIV/0!</v>
      </c>
      <c r="S24" s="38" t="e">
        <v>#DIV/0!</v>
      </c>
      <c r="T24" s="38" t="e">
        <v>#DIV/0!</v>
      </c>
      <c r="U24" s="38">
        <v>0</v>
      </c>
      <c r="V24" s="38">
        <v>0</v>
      </c>
      <c r="W24" s="38">
        <v>0</v>
      </c>
      <c r="X24" s="38">
        <v>0</v>
      </c>
      <c r="Y24" s="38"/>
      <c r="Z24" s="38" t="e">
        <v>#DIV/0!</v>
      </c>
      <c r="AA24" s="38"/>
      <c r="AB24" s="38" t="e">
        <v>#DIV/0!</v>
      </c>
      <c r="AC24" s="38" t="e">
        <v>#DIV/0!</v>
      </c>
      <c r="AD24" s="38" t="e">
        <v>#DIV/0!</v>
      </c>
      <c r="AE24" s="33">
        <v>45382</v>
      </c>
      <c r="AF24" s="33"/>
      <c r="AG24" s="33"/>
      <c r="AH24" s="33"/>
      <c r="AI24" s="33"/>
      <c r="AJ24" s="42"/>
      <c r="AK24" s="37"/>
      <c r="AL24" s="37"/>
      <c r="AM24" s="37"/>
      <c r="AN24" s="37"/>
      <c r="AO24" s="43"/>
      <c r="AP24" s="35"/>
      <c r="AQ24" s="35"/>
      <c r="AR24" s="44"/>
      <c r="AS24" s="37" t="s">
        <v>485</v>
      </c>
    </row>
    <row r="25" spans="1:45" ht="48.75" customHeight="1" x14ac:dyDescent="0.25">
      <c r="A25" s="32" t="s">
        <v>1559</v>
      </c>
      <c r="B25" s="56">
        <v>45313</v>
      </c>
      <c r="C25" s="37" t="s">
        <v>486</v>
      </c>
      <c r="D25" s="36" t="s">
        <v>1560</v>
      </c>
      <c r="E25" s="1" t="s">
        <v>1561</v>
      </c>
      <c r="F25" s="33">
        <v>45334</v>
      </c>
      <c r="G25" s="35" t="s">
        <v>1562</v>
      </c>
      <c r="H25" s="37" t="s">
        <v>273</v>
      </c>
      <c r="I25" s="37" t="s">
        <v>1563</v>
      </c>
      <c r="J25" s="57">
        <v>3858140</v>
      </c>
      <c r="K25" s="40">
        <v>0</v>
      </c>
      <c r="L25" s="41">
        <v>0</v>
      </c>
      <c r="M25" s="38">
        <v>3858140</v>
      </c>
      <c r="N25" s="41">
        <v>0</v>
      </c>
      <c r="O25" s="38">
        <v>3858140</v>
      </c>
      <c r="P25" s="27">
        <v>3858140</v>
      </c>
      <c r="Q25" s="27">
        <v>3858140</v>
      </c>
      <c r="R25" s="27">
        <v>2.09</v>
      </c>
      <c r="S25" s="38">
        <v>2.09</v>
      </c>
      <c r="T25" s="38">
        <v>418</v>
      </c>
      <c r="U25" s="38">
        <v>1846000</v>
      </c>
      <c r="V25" s="38">
        <v>1846000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9230</v>
      </c>
      <c r="AD25" s="38">
        <v>9230</v>
      </c>
      <c r="AE25" s="33">
        <v>45382</v>
      </c>
      <c r="AF25" s="33"/>
      <c r="AG25" s="33"/>
      <c r="AH25" s="33">
        <v>45413</v>
      </c>
      <c r="AI25" s="33"/>
      <c r="AJ25" s="42"/>
      <c r="AK25" s="37" t="s">
        <v>1564</v>
      </c>
      <c r="AL25" s="37" t="s">
        <v>1565</v>
      </c>
      <c r="AM25" s="37" t="s">
        <v>1566</v>
      </c>
      <c r="AN25" s="37" t="s">
        <v>50</v>
      </c>
      <c r="AO25" s="43">
        <v>100</v>
      </c>
      <c r="AP25" s="35">
        <v>0</v>
      </c>
      <c r="AQ25" s="35" t="s">
        <v>164</v>
      </c>
      <c r="AR25" s="44">
        <v>200</v>
      </c>
      <c r="AS25" s="37" t="s">
        <v>52</v>
      </c>
    </row>
    <row r="26" spans="1:45" ht="48.75" customHeight="1" x14ac:dyDescent="0.25">
      <c r="A26" s="32" t="s">
        <v>1567</v>
      </c>
      <c r="B26" s="56">
        <v>45313</v>
      </c>
      <c r="C26" s="37" t="s">
        <v>486</v>
      </c>
      <c r="D26" s="36" t="s">
        <v>1568</v>
      </c>
      <c r="E26" s="1" t="s">
        <v>1569</v>
      </c>
      <c r="F26" s="33">
        <v>45334</v>
      </c>
      <c r="G26" s="35" t="s">
        <v>1570</v>
      </c>
      <c r="H26" s="37" t="s">
        <v>273</v>
      </c>
      <c r="I26" s="37" t="s">
        <v>1571</v>
      </c>
      <c r="J26" s="57">
        <v>331056</v>
      </c>
      <c r="K26" s="40">
        <v>0</v>
      </c>
      <c r="L26" s="41">
        <v>0</v>
      </c>
      <c r="M26" s="38">
        <v>331056</v>
      </c>
      <c r="N26" s="41">
        <v>0</v>
      </c>
      <c r="O26" s="38">
        <v>331056</v>
      </c>
      <c r="P26" s="27">
        <v>331056</v>
      </c>
      <c r="Q26" s="27">
        <v>331056</v>
      </c>
      <c r="R26" s="27">
        <v>183.92</v>
      </c>
      <c r="S26" s="38">
        <v>183.92</v>
      </c>
      <c r="T26" s="38">
        <v>11035.199999999999</v>
      </c>
      <c r="U26" s="38">
        <v>1800</v>
      </c>
      <c r="V26" s="38">
        <v>1800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30</v>
      </c>
      <c r="AD26" s="38">
        <v>30</v>
      </c>
      <c r="AE26" s="33">
        <v>45366</v>
      </c>
      <c r="AF26" s="33"/>
      <c r="AG26" s="33"/>
      <c r="AH26" s="33">
        <v>45397</v>
      </c>
      <c r="AI26" s="33"/>
      <c r="AJ26" s="42"/>
      <c r="AK26" s="37" t="s">
        <v>1572</v>
      </c>
      <c r="AL26" s="37" t="s">
        <v>1573</v>
      </c>
      <c r="AM26" s="37" t="s">
        <v>1574</v>
      </c>
      <c r="AN26" s="37" t="s">
        <v>174</v>
      </c>
      <c r="AO26" s="43">
        <v>0</v>
      </c>
      <c r="AP26" s="35">
        <v>100</v>
      </c>
      <c r="AQ26" s="35" t="s">
        <v>441</v>
      </c>
      <c r="AR26" s="44">
        <v>60</v>
      </c>
      <c r="AS26" s="37" t="s">
        <v>176</v>
      </c>
    </row>
    <row r="27" spans="1:45" ht="48.75" customHeight="1" x14ac:dyDescent="0.25">
      <c r="A27" s="32" t="s">
        <v>1575</v>
      </c>
      <c r="B27" s="56">
        <v>45313</v>
      </c>
      <c r="C27" s="37" t="s">
        <v>486</v>
      </c>
      <c r="D27" s="36" t="s">
        <v>485</v>
      </c>
      <c r="E27" s="1" t="s">
        <v>1576</v>
      </c>
      <c r="F27" s="33" t="s">
        <v>485</v>
      </c>
      <c r="G27" s="35" t="s">
        <v>485</v>
      </c>
      <c r="H27" s="37" t="s">
        <v>485</v>
      </c>
      <c r="I27" s="37" t="s">
        <v>1577</v>
      </c>
      <c r="J27" s="57">
        <v>388170432</v>
      </c>
      <c r="K27" s="40">
        <v>100</v>
      </c>
      <c r="L27" s="41">
        <v>388170432</v>
      </c>
      <c r="M27" s="38"/>
      <c r="N27" s="41">
        <v>388170432</v>
      </c>
      <c r="O27" s="38">
        <v>0</v>
      </c>
      <c r="P27" s="27">
        <v>0</v>
      </c>
      <c r="Q27" s="27">
        <v>0</v>
      </c>
      <c r="R27" s="27" t="e">
        <v>#DIV/0!</v>
      </c>
      <c r="S27" s="38" t="e">
        <v>#DIV/0!</v>
      </c>
      <c r="T27" s="38" t="e">
        <v>#DIV/0!</v>
      </c>
      <c r="U27" s="38">
        <v>0</v>
      </c>
      <c r="V27" s="38">
        <v>0</v>
      </c>
      <c r="W27" s="38">
        <v>0</v>
      </c>
      <c r="X27" s="38">
        <v>0</v>
      </c>
      <c r="Y27" s="38"/>
      <c r="Z27" s="38" t="e">
        <v>#DIV/0!</v>
      </c>
      <c r="AA27" s="38"/>
      <c r="AB27" s="38" t="e">
        <v>#DIV/0!</v>
      </c>
      <c r="AC27" s="38" t="e">
        <v>#DIV/0!</v>
      </c>
      <c r="AD27" s="38" t="e">
        <v>#DIV/0!</v>
      </c>
      <c r="AE27" s="33">
        <v>45383</v>
      </c>
      <c r="AF27" s="33"/>
      <c r="AG27" s="33"/>
      <c r="AH27" s="33"/>
      <c r="AI27" s="33"/>
      <c r="AJ27" s="42"/>
      <c r="AK27" s="37"/>
      <c r="AL27" s="37"/>
      <c r="AM27" s="37"/>
      <c r="AN27" s="37"/>
      <c r="AO27" s="43"/>
      <c r="AP27" s="35"/>
      <c r="AQ27" s="35"/>
      <c r="AR27" s="44"/>
      <c r="AS27" s="37" t="s">
        <v>485</v>
      </c>
    </row>
    <row r="28" spans="1:45" ht="48.75" customHeight="1" x14ac:dyDescent="0.25">
      <c r="A28" s="32" t="s">
        <v>1578</v>
      </c>
      <c r="B28" s="56">
        <v>45313</v>
      </c>
      <c r="C28" s="37" t="s">
        <v>486</v>
      </c>
      <c r="D28" s="36" t="s">
        <v>1579</v>
      </c>
      <c r="E28" s="1" t="s">
        <v>1580</v>
      </c>
      <c r="F28" s="33">
        <v>45334</v>
      </c>
      <c r="G28" s="35" t="s">
        <v>1581</v>
      </c>
      <c r="H28" s="37" t="s">
        <v>291</v>
      </c>
      <c r="I28" s="37" t="s">
        <v>1582</v>
      </c>
      <c r="J28" s="57">
        <v>46479725.399999999</v>
      </c>
      <c r="K28" s="40">
        <v>0</v>
      </c>
      <c r="L28" s="41">
        <v>0</v>
      </c>
      <c r="M28" s="38">
        <v>46479725.399999999</v>
      </c>
      <c r="N28" s="41">
        <v>0</v>
      </c>
      <c r="O28" s="38">
        <v>46479725.399999999</v>
      </c>
      <c r="P28" s="27">
        <v>46479725.399999999</v>
      </c>
      <c r="Q28" s="27">
        <v>46479725.399999999</v>
      </c>
      <c r="R28" s="27">
        <v>4.66</v>
      </c>
      <c r="S28" s="38">
        <v>4.66</v>
      </c>
      <c r="T28" s="38">
        <v>139.80000000000001</v>
      </c>
      <c r="U28" s="38">
        <v>9974190</v>
      </c>
      <c r="V28" s="38">
        <v>9974190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332473</v>
      </c>
      <c r="AD28" s="38">
        <v>332473</v>
      </c>
      <c r="AE28" s="33">
        <v>45383</v>
      </c>
      <c r="AF28" s="33"/>
      <c r="AG28" s="33"/>
      <c r="AH28" s="33">
        <v>45413</v>
      </c>
      <c r="AI28" s="33"/>
      <c r="AJ28" s="42"/>
      <c r="AK28" s="37" t="s">
        <v>1583</v>
      </c>
      <c r="AL28" s="37" t="s">
        <v>1584</v>
      </c>
      <c r="AM28" s="37" t="s">
        <v>1585</v>
      </c>
      <c r="AN28" s="37" t="s">
        <v>50</v>
      </c>
      <c r="AO28" s="43">
        <v>100</v>
      </c>
      <c r="AP28" s="35">
        <v>0</v>
      </c>
      <c r="AQ28" s="35" t="s">
        <v>441</v>
      </c>
      <c r="AR28" s="44">
        <v>30</v>
      </c>
      <c r="AS28" s="37" t="s">
        <v>52</v>
      </c>
    </row>
    <row r="29" spans="1:45" ht="48.75" customHeight="1" x14ac:dyDescent="0.25">
      <c r="A29" s="32" t="s">
        <v>1586</v>
      </c>
      <c r="B29" s="56">
        <v>45313</v>
      </c>
      <c r="C29" s="37" t="s">
        <v>486</v>
      </c>
      <c r="D29" s="36" t="s">
        <v>1587</v>
      </c>
      <c r="E29" s="1" t="s">
        <v>1588</v>
      </c>
      <c r="F29" s="33">
        <v>45334</v>
      </c>
      <c r="G29" s="35" t="s">
        <v>1589</v>
      </c>
      <c r="H29" s="37" t="s">
        <v>138</v>
      </c>
      <c r="I29" s="35" t="s">
        <v>1590</v>
      </c>
      <c r="J29" s="57">
        <v>822463.2</v>
      </c>
      <c r="K29" s="40">
        <v>0</v>
      </c>
      <c r="L29" s="41">
        <v>0</v>
      </c>
      <c r="M29" s="38">
        <v>822463.2</v>
      </c>
      <c r="N29" s="41">
        <v>0</v>
      </c>
      <c r="O29" s="38">
        <v>822463.2</v>
      </c>
      <c r="P29" s="27">
        <v>822463.2</v>
      </c>
      <c r="Q29" s="27">
        <v>822463.2</v>
      </c>
      <c r="R29" s="27">
        <v>33.93</v>
      </c>
      <c r="S29" s="38">
        <v>33.93</v>
      </c>
      <c r="T29" s="38">
        <v>2035.8</v>
      </c>
      <c r="U29" s="38">
        <v>24240</v>
      </c>
      <c r="V29" s="38">
        <v>24240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404</v>
      </c>
      <c r="AD29" s="38">
        <v>404</v>
      </c>
      <c r="AE29" s="33">
        <v>45366</v>
      </c>
      <c r="AF29" s="33"/>
      <c r="AG29" s="33"/>
      <c r="AH29" s="33">
        <v>45397</v>
      </c>
      <c r="AI29" s="33"/>
      <c r="AJ29" s="42"/>
      <c r="AK29" s="37" t="s">
        <v>1591</v>
      </c>
      <c r="AL29" s="37" t="s">
        <v>1592</v>
      </c>
      <c r="AM29" s="37" t="s">
        <v>1593</v>
      </c>
      <c r="AN29" s="37" t="s">
        <v>440</v>
      </c>
      <c r="AO29" s="43">
        <v>0</v>
      </c>
      <c r="AP29" s="35">
        <v>100</v>
      </c>
      <c r="AQ29" s="35" t="s">
        <v>441</v>
      </c>
      <c r="AR29" s="44">
        <v>60</v>
      </c>
      <c r="AS29" s="37" t="s">
        <v>176</v>
      </c>
    </row>
    <row r="30" spans="1:45" ht="48.75" customHeight="1" x14ac:dyDescent="0.25">
      <c r="A30" s="32" t="s">
        <v>1594</v>
      </c>
      <c r="B30" s="56">
        <v>45313</v>
      </c>
      <c r="C30" s="37" t="s">
        <v>486</v>
      </c>
      <c r="D30" s="36" t="s">
        <v>1595</v>
      </c>
      <c r="E30" s="1" t="s">
        <v>1596</v>
      </c>
      <c r="F30" s="33">
        <v>45334</v>
      </c>
      <c r="G30" s="35" t="s">
        <v>1597</v>
      </c>
      <c r="H30" s="37" t="s">
        <v>138</v>
      </c>
      <c r="I30" s="35" t="s">
        <v>1598</v>
      </c>
      <c r="J30" s="57">
        <v>79713664.799999997</v>
      </c>
      <c r="K30" s="40">
        <v>0</v>
      </c>
      <c r="L30" s="41">
        <v>0</v>
      </c>
      <c r="M30" s="38">
        <v>79713664.799999997</v>
      </c>
      <c r="N30" s="41">
        <v>0</v>
      </c>
      <c r="O30" s="38">
        <v>79713664.799999997</v>
      </c>
      <c r="P30" s="27">
        <v>79713664.799999997</v>
      </c>
      <c r="Q30" s="27">
        <v>79713664.799999997</v>
      </c>
      <c r="R30" s="27">
        <v>127.82</v>
      </c>
      <c r="S30" s="38">
        <v>127.82</v>
      </c>
      <c r="T30" s="38">
        <v>7669.2</v>
      </c>
      <c r="U30" s="38">
        <v>623640</v>
      </c>
      <c r="V30" s="38">
        <v>180000</v>
      </c>
      <c r="W30" s="38">
        <v>443640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10394</v>
      </c>
      <c r="AD30" s="38">
        <v>10394</v>
      </c>
      <c r="AE30" s="33">
        <v>45352</v>
      </c>
      <c r="AF30" s="33">
        <v>45397</v>
      </c>
      <c r="AG30" s="33"/>
      <c r="AH30" s="33">
        <v>45383</v>
      </c>
      <c r="AI30" s="33">
        <v>45427</v>
      </c>
      <c r="AJ30" s="42"/>
      <c r="AK30" s="37" t="s">
        <v>1591</v>
      </c>
      <c r="AL30" s="37" t="s">
        <v>1599</v>
      </c>
      <c r="AM30" s="37" t="s">
        <v>1593</v>
      </c>
      <c r="AN30" s="37" t="s">
        <v>440</v>
      </c>
      <c r="AO30" s="43">
        <v>0</v>
      </c>
      <c r="AP30" s="35">
        <v>100</v>
      </c>
      <c r="AQ30" s="35" t="s">
        <v>441</v>
      </c>
      <c r="AR30" s="44">
        <v>60</v>
      </c>
      <c r="AS30" s="37" t="s">
        <v>380</v>
      </c>
    </row>
    <row r="31" spans="1:45" ht="48.75" customHeight="1" x14ac:dyDescent="0.25">
      <c r="A31" s="32" t="s">
        <v>1600</v>
      </c>
      <c r="B31" s="56">
        <v>45313</v>
      </c>
      <c r="C31" s="37" t="s">
        <v>486</v>
      </c>
      <c r="D31" s="36" t="s">
        <v>1601</v>
      </c>
      <c r="E31" s="1" t="s">
        <v>1602</v>
      </c>
      <c r="F31" s="33">
        <v>45348</v>
      </c>
      <c r="G31" s="35" t="s">
        <v>1603</v>
      </c>
      <c r="H31" s="37" t="s">
        <v>291</v>
      </c>
      <c r="I31" s="35" t="s">
        <v>1604</v>
      </c>
      <c r="J31" s="57">
        <v>1115237257.2</v>
      </c>
      <c r="K31" s="40">
        <v>0</v>
      </c>
      <c r="L31" s="41">
        <v>0</v>
      </c>
      <c r="M31" s="57">
        <v>1115237257.2</v>
      </c>
      <c r="N31" s="41">
        <v>0</v>
      </c>
      <c r="O31" s="57">
        <v>1115237257.2</v>
      </c>
      <c r="P31" s="27">
        <v>1115237257.2</v>
      </c>
      <c r="Q31" s="27">
        <v>1115237257.2</v>
      </c>
      <c r="R31" s="27">
        <v>201.96</v>
      </c>
      <c r="S31" s="38">
        <v>201.96</v>
      </c>
      <c r="T31" s="38">
        <v>12117.6</v>
      </c>
      <c r="U31" s="38">
        <v>5522070</v>
      </c>
      <c r="V31" s="38">
        <v>5522070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92034.5</v>
      </c>
      <c r="AD31" s="38">
        <v>92035</v>
      </c>
      <c r="AE31" s="33">
        <v>45383</v>
      </c>
      <c r="AF31" s="33"/>
      <c r="AG31" s="33"/>
      <c r="AH31" s="33">
        <v>45413</v>
      </c>
      <c r="AI31" s="33"/>
      <c r="AJ31" s="42"/>
      <c r="AK31" s="37" t="s">
        <v>1605</v>
      </c>
      <c r="AL31" s="37" t="s">
        <v>1606</v>
      </c>
      <c r="AM31" s="37" t="s">
        <v>1607</v>
      </c>
      <c r="AN31" s="37" t="s">
        <v>50</v>
      </c>
      <c r="AO31" s="43">
        <v>100</v>
      </c>
      <c r="AP31" s="35">
        <v>0</v>
      </c>
      <c r="AQ31" s="35" t="s">
        <v>441</v>
      </c>
      <c r="AR31" s="44">
        <v>60</v>
      </c>
      <c r="AS31" s="37" t="s">
        <v>52</v>
      </c>
    </row>
    <row r="32" spans="1:45" ht="48.75" customHeight="1" x14ac:dyDescent="0.25">
      <c r="A32" s="32" t="s">
        <v>1608</v>
      </c>
      <c r="B32" s="56">
        <v>45313</v>
      </c>
      <c r="C32" s="37" t="s">
        <v>486</v>
      </c>
      <c r="D32" s="36" t="s">
        <v>485</v>
      </c>
      <c r="E32" s="1" t="s">
        <v>1609</v>
      </c>
      <c r="F32" s="33" t="s">
        <v>485</v>
      </c>
      <c r="G32" s="35" t="s">
        <v>485</v>
      </c>
      <c r="H32" s="37" t="s">
        <v>485</v>
      </c>
      <c r="I32" s="35" t="s">
        <v>1610</v>
      </c>
      <c r="J32" s="57">
        <v>64233933</v>
      </c>
      <c r="K32" s="40">
        <v>100</v>
      </c>
      <c r="L32" s="41">
        <v>64233933</v>
      </c>
      <c r="M32" s="38"/>
      <c r="N32" s="41">
        <v>64233933</v>
      </c>
      <c r="O32" s="38">
        <v>0</v>
      </c>
      <c r="P32" s="27">
        <v>0</v>
      </c>
      <c r="Q32" s="27">
        <v>0</v>
      </c>
      <c r="R32" s="27" t="e">
        <v>#DIV/0!</v>
      </c>
      <c r="S32" s="38" t="e">
        <v>#DIV/0!</v>
      </c>
      <c r="T32" s="38" t="e">
        <v>#DIV/0!</v>
      </c>
      <c r="U32" s="38">
        <v>0</v>
      </c>
      <c r="V32" s="38">
        <v>0</v>
      </c>
      <c r="W32" s="38">
        <v>0</v>
      </c>
      <c r="X32" s="38">
        <v>0</v>
      </c>
      <c r="Y32" s="38"/>
      <c r="Z32" s="38" t="e">
        <v>#DIV/0!</v>
      </c>
      <c r="AA32" s="38"/>
      <c r="AB32" s="38" t="e">
        <v>#DIV/0!</v>
      </c>
      <c r="AC32" s="38" t="e">
        <v>#DIV/0!</v>
      </c>
      <c r="AD32" s="38" t="e">
        <v>#DIV/0!</v>
      </c>
      <c r="AE32" s="33">
        <v>45383</v>
      </c>
      <c r="AF32" s="33"/>
      <c r="AG32" s="33"/>
      <c r="AH32" s="33"/>
      <c r="AI32" s="33"/>
      <c r="AJ32" s="42"/>
      <c r="AK32" s="37"/>
      <c r="AL32" s="37"/>
      <c r="AM32" s="37"/>
      <c r="AN32" s="37"/>
      <c r="AO32" s="43"/>
      <c r="AP32" s="35"/>
      <c r="AQ32" s="35"/>
      <c r="AR32" s="44"/>
      <c r="AS32" s="37" t="s">
        <v>485</v>
      </c>
    </row>
    <row r="33" spans="1:45" ht="48.75" customHeight="1" x14ac:dyDescent="0.25">
      <c r="A33" s="32" t="s">
        <v>1611</v>
      </c>
      <c r="B33" s="56">
        <v>45313</v>
      </c>
      <c r="C33" s="37" t="s">
        <v>486</v>
      </c>
      <c r="D33" s="36" t="s">
        <v>1612</v>
      </c>
      <c r="E33" s="1" t="s">
        <v>1613</v>
      </c>
      <c r="F33" s="33">
        <v>45334</v>
      </c>
      <c r="G33" s="35" t="s">
        <v>1614</v>
      </c>
      <c r="H33" s="37" t="s">
        <v>291</v>
      </c>
      <c r="I33" s="37" t="s">
        <v>1615</v>
      </c>
      <c r="J33" s="57">
        <v>113162592</v>
      </c>
      <c r="K33" s="40">
        <v>0</v>
      </c>
      <c r="L33" s="41">
        <v>0</v>
      </c>
      <c r="M33" s="38">
        <v>113162592</v>
      </c>
      <c r="N33" s="41">
        <v>0</v>
      </c>
      <c r="O33" s="38">
        <v>113162592</v>
      </c>
      <c r="P33" s="27">
        <v>113162592</v>
      </c>
      <c r="Q33" s="27">
        <v>113162592</v>
      </c>
      <c r="R33" s="27">
        <v>23.05</v>
      </c>
      <c r="S33" s="38">
        <v>23.05</v>
      </c>
      <c r="T33" s="38" t="e">
        <v>#VALUE!</v>
      </c>
      <c r="U33" s="38">
        <v>4909440</v>
      </c>
      <c r="V33" s="38">
        <v>4909440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 t="e">
        <v>#VALUE!</v>
      </c>
      <c r="AD33" s="38" t="e">
        <v>#VALUE!</v>
      </c>
      <c r="AE33" s="33">
        <v>45383</v>
      </c>
      <c r="AF33" s="33"/>
      <c r="AG33" s="33"/>
      <c r="AH33" s="33">
        <v>45413</v>
      </c>
      <c r="AI33" s="33"/>
      <c r="AJ33" s="42"/>
      <c r="AK33" s="37" t="s">
        <v>1616</v>
      </c>
      <c r="AL33" s="37" t="s">
        <v>1617</v>
      </c>
      <c r="AM33" s="37" t="s">
        <v>1618</v>
      </c>
      <c r="AN33" s="37" t="s">
        <v>50</v>
      </c>
      <c r="AO33" s="43">
        <v>100</v>
      </c>
      <c r="AP33" s="35">
        <v>0</v>
      </c>
      <c r="AQ33" s="35" t="s">
        <v>441</v>
      </c>
      <c r="AR33" s="48" t="s">
        <v>1619</v>
      </c>
      <c r="AS33" s="37" t="s">
        <v>52</v>
      </c>
    </row>
    <row r="34" spans="1:45" ht="48.75" customHeight="1" x14ac:dyDescent="0.25">
      <c r="A34" s="32" t="s">
        <v>1620</v>
      </c>
      <c r="B34" s="56">
        <v>45313</v>
      </c>
      <c r="C34" s="37" t="s">
        <v>486</v>
      </c>
      <c r="D34" s="36" t="s">
        <v>1621</v>
      </c>
      <c r="E34" s="1" t="s">
        <v>1622</v>
      </c>
      <c r="F34" s="33">
        <v>45334</v>
      </c>
      <c r="G34" s="35" t="s">
        <v>1623</v>
      </c>
      <c r="H34" s="37" t="s">
        <v>291</v>
      </c>
      <c r="I34" s="37" t="s">
        <v>1624</v>
      </c>
      <c r="J34" s="57">
        <v>113308.8</v>
      </c>
      <c r="K34" s="40">
        <v>0</v>
      </c>
      <c r="L34" s="41">
        <v>0</v>
      </c>
      <c r="M34" s="38">
        <v>113308.8</v>
      </c>
      <c r="N34" s="41">
        <v>0</v>
      </c>
      <c r="O34" s="38">
        <v>113308.8</v>
      </c>
      <c r="P34" s="27">
        <v>113308.8</v>
      </c>
      <c r="Q34" s="27">
        <v>113308.8</v>
      </c>
      <c r="R34" s="27">
        <v>6.38</v>
      </c>
      <c r="S34" s="38">
        <v>6.38</v>
      </c>
      <c r="T34" s="38">
        <v>382.8</v>
      </c>
      <c r="U34" s="38">
        <v>17760</v>
      </c>
      <c r="V34" s="38">
        <v>17760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296</v>
      </c>
      <c r="AD34" s="38">
        <v>296</v>
      </c>
      <c r="AE34" s="33">
        <v>45366</v>
      </c>
      <c r="AF34" s="33"/>
      <c r="AG34" s="33"/>
      <c r="AH34" s="33">
        <v>45397</v>
      </c>
      <c r="AI34" s="33"/>
      <c r="AJ34" s="42"/>
      <c r="AK34" s="37" t="s">
        <v>1625</v>
      </c>
      <c r="AL34" s="37" t="s">
        <v>1626</v>
      </c>
      <c r="AM34" s="37" t="s">
        <v>1627</v>
      </c>
      <c r="AN34" s="37" t="s">
        <v>50</v>
      </c>
      <c r="AO34" s="43">
        <v>100</v>
      </c>
      <c r="AP34" s="35">
        <v>0</v>
      </c>
      <c r="AQ34" s="35" t="s">
        <v>441</v>
      </c>
      <c r="AR34" s="44">
        <v>60</v>
      </c>
      <c r="AS34" s="37" t="s">
        <v>176</v>
      </c>
    </row>
    <row r="35" spans="1:45" ht="48.75" customHeight="1" x14ac:dyDescent="0.25">
      <c r="A35" s="32" t="s">
        <v>1628</v>
      </c>
      <c r="B35" s="56">
        <v>45313</v>
      </c>
      <c r="C35" s="37" t="s">
        <v>486</v>
      </c>
      <c r="D35" s="36" t="s">
        <v>485</v>
      </c>
      <c r="E35" s="1" t="s">
        <v>1629</v>
      </c>
      <c r="F35" s="33" t="s">
        <v>485</v>
      </c>
      <c r="G35" s="35" t="s">
        <v>485</v>
      </c>
      <c r="H35" s="37" t="s">
        <v>485</v>
      </c>
      <c r="I35" s="37" t="s">
        <v>1630</v>
      </c>
      <c r="J35" s="57">
        <v>6380774.4000000004</v>
      </c>
      <c r="K35" s="40">
        <v>100</v>
      </c>
      <c r="L35" s="41">
        <v>6380774.4000000004</v>
      </c>
      <c r="M35" s="38"/>
      <c r="N35" s="41">
        <v>6380774.4000000004</v>
      </c>
      <c r="O35" s="38">
        <v>0</v>
      </c>
      <c r="P35" s="27">
        <v>0</v>
      </c>
      <c r="Q35" s="27">
        <v>0</v>
      </c>
      <c r="R35" s="27" t="e">
        <v>#DIV/0!</v>
      </c>
      <c r="S35" s="38" t="e">
        <v>#DIV/0!</v>
      </c>
      <c r="T35" s="38" t="e">
        <v>#DIV/0!</v>
      </c>
      <c r="U35" s="38">
        <v>0</v>
      </c>
      <c r="V35" s="38">
        <v>0</v>
      </c>
      <c r="W35" s="38">
        <v>0</v>
      </c>
      <c r="X35" s="38">
        <v>0</v>
      </c>
      <c r="Y35" s="38"/>
      <c r="Z35" s="38" t="e">
        <v>#DIV/0!</v>
      </c>
      <c r="AA35" s="38"/>
      <c r="AB35" s="38" t="e">
        <v>#DIV/0!</v>
      </c>
      <c r="AC35" s="38" t="e">
        <v>#DIV/0!</v>
      </c>
      <c r="AD35" s="38" t="e">
        <v>#DIV/0!</v>
      </c>
      <c r="AE35" s="33">
        <v>45382</v>
      </c>
      <c r="AF35" s="33">
        <v>45473</v>
      </c>
      <c r="AG35" s="33"/>
      <c r="AH35" s="33"/>
      <c r="AI35" s="33"/>
      <c r="AJ35" s="42"/>
      <c r="AK35" s="37"/>
      <c r="AL35" s="37"/>
      <c r="AM35" s="37"/>
      <c r="AN35" s="37"/>
      <c r="AO35" s="43"/>
      <c r="AP35" s="35"/>
      <c r="AQ35" s="35"/>
      <c r="AR35" s="44"/>
      <c r="AS35" s="37" t="s">
        <v>485</v>
      </c>
    </row>
    <row r="36" spans="1:45" ht="48.75" customHeight="1" x14ac:dyDescent="0.25">
      <c r="A36" s="32" t="s">
        <v>1631</v>
      </c>
      <c r="B36" s="56">
        <v>45313</v>
      </c>
      <c r="C36" s="37" t="s">
        <v>486</v>
      </c>
      <c r="D36" s="36" t="s">
        <v>1632</v>
      </c>
      <c r="E36" s="1" t="s">
        <v>1633</v>
      </c>
      <c r="F36" s="33">
        <v>45334</v>
      </c>
      <c r="G36" s="35" t="s">
        <v>1634</v>
      </c>
      <c r="H36" s="37" t="s">
        <v>273</v>
      </c>
      <c r="I36" s="37" t="s">
        <v>1635</v>
      </c>
      <c r="J36" s="57">
        <v>1209780</v>
      </c>
      <c r="K36" s="40">
        <v>0</v>
      </c>
      <c r="L36" s="41">
        <v>0</v>
      </c>
      <c r="M36" s="38">
        <v>1209780</v>
      </c>
      <c r="N36" s="41">
        <v>0</v>
      </c>
      <c r="O36" s="38">
        <v>1209780</v>
      </c>
      <c r="P36" s="27">
        <v>1209780</v>
      </c>
      <c r="Q36" s="27">
        <v>1209780</v>
      </c>
      <c r="R36" s="27">
        <v>336.05</v>
      </c>
      <c r="S36" s="38">
        <v>336.05</v>
      </c>
      <c r="T36" s="38">
        <v>20163</v>
      </c>
      <c r="U36" s="38">
        <v>3600</v>
      </c>
      <c r="V36" s="38">
        <v>3600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60</v>
      </c>
      <c r="AD36" s="38">
        <v>60</v>
      </c>
      <c r="AE36" s="33">
        <v>45366</v>
      </c>
      <c r="AF36" s="33"/>
      <c r="AG36" s="33"/>
      <c r="AH36" s="33">
        <v>45397</v>
      </c>
      <c r="AI36" s="33"/>
      <c r="AJ36" s="42"/>
      <c r="AK36" s="37" t="s">
        <v>1572</v>
      </c>
      <c r="AL36" s="37" t="s">
        <v>1636</v>
      </c>
      <c r="AM36" s="37" t="s">
        <v>1574</v>
      </c>
      <c r="AN36" s="37" t="s">
        <v>174</v>
      </c>
      <c r="AO36" s="43">
        <v>0</v>
      </c>
      <c r="AP36" s="35">
        <v>100</v>
      </c>
      <c r="AQ36" s="35" t="s">
        <v>441</v>
      </c>
      <c r="AR36" s="44">
        <v>60</v>
      </c>
      <c r="AS36" s="37" t="s">
        <v>52</v>
      </c>
    </row>
    <row r="37" spans="1:45" ht="48.75" customHeight="1" x14ac:dyDescent="0.25">
      <c r="A37" s="32" t="s">
        <v>1639</v>
      </c>
      <c r="B37" s="56">
        <v>45313</v>
      </c>
      <c r="C37" s="37" t="s">
        <v>486</v>
      </c>
      <c r="D37" s="36" t="s">
        <v>485</v>
      </c>
      <c r="E37" s="1" t="s">
        <v>1640</v>
      </c>
      <c r="F37" s="33" t="s">
        <v>485</v>
      </c>
      <c r="G37" s="35" t="s">
        <v>485</v>
      </c>
      <c r="H37" s="37" t="s">
        <v>485</v>
      </c>
      <c r="I37" s="37" t="s">
        <v>1641</v>
      </c>
      <c r="J37" s="57">
        <v>64033200</v>
      </c>
      <c r="K37" s="40">
        <v>100</v>
      </c>
      <c r="L37" s="41">
        <v>64033200</v>
      </c>
      <c r="M37" s="38"/>
      <c r="N37" s="41">
        <v>64033200</v>
      </c>
      <c r="O37" s="38">
        <v>0</v>
      </c>
      <c r="P37" s="27">
        <v>0</v>
      </c>
      <c r="Q37" s="27">
        <v>0</v>
      </c>
      <c r="R37" s="27" t="e">
        <v>#DIV/0!</v>
      </c>
      <c r="S37" s="38" t="e">
        <v>#DIV/0!</v>
      </c>
      <c r="T37" s="38" t="e">
        <v>#DIV/0!</v>
      </c>
      <c r="U37" s="38">
        <v>0</v>
      </c>
      <c r="V37" s="38">
        <v>0</v>
      </c>
      <c r="W37" s="38">
        <v>0</v>
      </c>
      <c r="X37" s="38">
        <v>0</v>
      </c>
      <c r="Y37" s="38"/>
      <c r="Z37" s="38" t="e">
        <v>#DIV/0!</v>
      </c>
      <c r="AA37" s="38"/>
      <c r="AB37" s="38" t="e">
        <v>#DIV/0!</v>
      </c>
      <c r="AC37" s="38" t="e">
        <v>#DIV/0!</v>
      </c>
      <c r="AD37" s="38" t="e">
        <v>#DIV/0!</v>
      </c>
      <c r="AE37" s="33">
        <v>45383</v>
      </c>
      <c r="AF37" s="33"/>
      <c r="AG37" s="33"/>
      <c r="AH37" s="33"/>
      <c r="AI37" s="33"/>
      <c r="AJ37" s="42"/>
      <c r="AK37" s="37"/>
      <c r="AL37" s="37"/>
      <c r="AM37" s="37"/>
      <c r="AN37" s="37"/>
      <c r="AO37" s="43"/>
      <c r="AP37" s="35"/>
      <c r="AQ37" s="35"/>
      <c r="AR37" s="44"/>
      <c r="AS37" s="37" t="s">
        <v>485</v>
      </c>
    </row>
    <row r="38" spans="1:45" ht="48.75" customHeight="1" x14ac:dyDescent="0.25">
      <c r="A38" s="32" t="s">
        <v>1658</v>
      </c>
      <c r="B38" s="56">
        <v>45315</v>
      </c>
      <c r="C38" s="37" t="s">
        <v>486</v>
      </c>
      <c r="D38" s="36" t="s">
        <v>1659</v>
      </c>
      <c r="E38" s="1" t="s">
        <v>1660</v>
      </c>
      <c r="F38" s="33">
        <v>45335</v>
      </c>
      <c r="G38" s="35" t="s">
        <v>1661</v>
      </c>
      <c r="H38" s="37" t="s">
        <v>138</v>
      </c>
      <c r="I38" s="37" t="s">
        <v>1662</v>
      </c>
      <c r="J38" s="57">
        <v>13141958.4</v>
      </c>
      <c r="K38" s="40">
        <v>0</v>
      </c>
      <c r="L38" s="41">
        <v>0</v>
      </c>
      <c r="M38" s="38">
        <v>13141958.4</v>
      </c>
      <c r="N38" s="41">
        <v>0</v>
      </c>
      <c r="O38" s="38">
        <v>13141958.4</v>
      </c>
      <c r="P38" s="27">
        <v>13141958.4</v>
      </c>
      <c r="Q38" s="27">
        <v>13141958.4</v>
      </c>
      <c r="R38" s="27">
        <v>54.54</v>
      </c>
      <c r="S38" s="38">
        <v>54.54</v>
      </c>
      <c r="T38" s="38">
        <v>3272.4</v>
      </c>
      <c r="U38" s="38">
        <v>240960</v>
      </c>
      <c r="V38" s="38">
        <v>178920</v>
      </c>
      <c r="W38" s="38">
        <v>62040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4016</v>
      </c>
      <c r="AD38" s="38">
        <v>4016</v>
      </c>
      <c r="AE38" s="33">
        <v>45444</v>
      </c>
      <c r="AF38" s="33">
        <v>45505</v>
      </c>
      <c r="AG38" s="33"/>
      <c r="AH38" s="33">
        <v>45474</v>
      </c>
      <c r="AI38" s="33">
        <v>45536</v>
      </c>
      <c r="AJ38" s="42"/>
      <c r="AK38" s="37" t="s">
        <v>1663</v>
      </c>
      <c r="AL38" s="37" t="s">
        <v>1664</v>
      </c>
      <c r="AM38" s="37" t="s">
        <v>1665</v>
      </c>
      <c r="AN38" s="37" t="s">
        <v>174</v>
      </c>
      <c r="AO38" s="43">
        <v>0</v>
      </c>
      <c r="AP38" s="35">
        <v>100</v>
      </c>
      <c r="AQ38" s="35" t="s">
        <v>441</v>
      </c>
      <c r="AR38" s="44">
        <v>60</v>
      </c>
      <c r="AS38" s="37" t="s">
        <v>380</v>
      </c>
    </row>
    <row r="39" spans="1:45" ht="48.75" customHeight="1" x14ac:dyDescent="0.25">
      <c r="A39" s="32" t="s">
        <v>1666</v>
      </c>
      <c r="B39" s="56">
        <v>45315</v>
      </c>
      <c r="C39" s="37" t="s">
        <v>486</v>
      </c>
      <c r="D39" s="36" t="s">
        <v>1667</v>
      </c>
      <c r="E39" s="1" t="s">
        <v>1668</v>
      </c>
      <c r="F39" s="33">
        <v>45348</v>
      </c>
      <c r="G39" s="35" t="s">
        <v>1669</v>
      </c>
      <c r="H39" s="37" t="s">
        <v>138</v>
      </c>
      <c r="I39" s="37" t="s">
        <v>1670</v>
      </c>
      <c r="J39" s="57">
        <v>1645354403.7</v>
      </c>
      <c r="K39" s="40">
        <v>0</v>
      </c>
      <c r="L39" s="41">
        <v>0</v>
      </c>
      <c r="M39" s="57">
        <v>1645354403.7</v>
      </c>
      <c r="N39" s="41">
        <v>0</v>
      </c>
      <c r="O39" s="57">
        <v>1645354403.7</v>
      </c>
      <c r="P39" s="27">
        <v>1645354403.7</v>
      </c>
      <c r="Q39" s="27">
        <v>1645354403.7</v>
      </c>
      <c r="R39" s="27">
        <v>37.67</v>
      </c>
      <c r="S39" s="38">
        <v>37.67</v>
      </c>
      <c r="T39" s="38">
        <v>4520.4000000000005</v>
      </c>
      <c r="U39" s="38">
        <v>43678110</v>
      </c>
      <c r="V39" s="38">
        <v>21843330</v>
      </c>
      <c r="W39" s="38">
        <v>21834780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363984.25</v>
      </c>
      <c r="AD39" s="38">
        <v>363985</v>
      </c>
      <c r="AE39" s="33">
        <v>45352</v>
      </c>
      <c r="AF39" s="33">
        <v>45474</v>
      </c>
      <c r="AG39" s="33"/>
      <c r="AH39" s="33"/>
      <c r="AI39" s="33">
        <v>45383</v>
      </c>
      <c r="AJ39" s="42">
        <v>45505</v>
      </c>
      <c r="AK39" s="37" t="s">
        <v>1671</v>
      </c>
      <c r="AL39" s="37" t="s">
        <v>1672</v>
      </c>
      <c r="AM39" s="37" t="s">
        <v>1673</v>
      </c>
      <c r="AN39" s="37" t="s">
        <v>50</v>
      </c>
      <c r="AO39" s="43">
        <v>100</v>
      </c>
      <c r="AP39" s="35">
        <v>0</v>
      </c>
      <c r="AQ39" s="35" t="s">
        <v>441</v>
      </c>
      <c r="AR39" s="44">
        <v>120</v>
      </c>
      <c r="AS39" s="37" t="s">
        <v>52</v>
      </c>
    </row>
    <row r="40" spans="1:45" ht="48.75" customHeight="1" x14ac:dyDescent="0.25">
      <c r="A40" s="32" t="s">
        <v>1674</v>
      </c>
      <c r="B40" s="56">
        <v>45315</v>
      </c>
      <c r="C40" s="37" t="s">
        <v>486</v>
      </c>
      <c r="D40" s="36" t="s">
        <v>485</v>
      </c>
      <c r="E40" s="1" t="s">
        <v>1675</v>
      </c>
      <c r="F40" s="33" t="s">
        <v>485</v>
      </c>
      <c r="G40" s="35" t="s">
        <v>485</v>
      </c>
      <c r="H40" s="37" t="s">
        <v>485</v>
      </c>
      <c r="I40" s="37" t="s">
        <v>1676</v>
      </c>
      <c r="J40" s="57">
        <v>25002721.199999999</v>
      </c>
      <c r="K40" s="40">
        <v>100</v>
      </c>
      <c r="L40" s="41">
        <v>25002721.199999999</v>
      </c>
      <c r="M40" s="38"/>
      <c r="N40" s="41">
        <v>25002721.199999999</v>
      </c>
      <c r="O40" s="38">
        <v>0</v>
      </c>
      <c r="P40" s="27">
        <v>0</v>
      </c>
      <c r="Q40" s="27">
        <v>0</v>
      </c>
      <c r="R40" s="27" t="e">
        <v>#DIV/0!</v>
      </c>
      <c r="S40" s="38" t="e">
        <v>#DIV/0!</v>
      </c>
      <c r="T40" s="38" t="e">
        <v>#DIV/0!</v>
      </c>
      <c r="U40" s="38">
        <v>0</v>
      </c>
      <c r="V40" s="38">
        <v>0</v>
      </c>
      <c r="W40" s="38">
        <v>0</v>
      </c>
      <c r="X40" s="38">
        <v>0</v>
      </c>
      <c r="Y40" s="38"/>
      <c r="Z40" s="38" t="e">
        <v>#DIV/0!</v>
      </c>
      <c r="AA40" s="38"/>
      <c r="AB40" s="38" t="e">
        <v>#DIV/0!</v>
      </c>
      <c r="AC40" s="38" t="e">
        <v>#DIV/0!</v>
      </c>
      <c r="AD40" s="38" t="e">
        <v>#DIV/0!</v>
      </c>
      <c r="AE40" s="33">
        <v>45383</v>
      </c>
      <c r="AF40" s="33"/>
      <c r="AG40" s="33"/>
      <c r="AH40" s="33"/>
      <c r="AI40" s="33"/>
      <c r="AJ40" s="42"/>
      <c r="AK40" s="37"/>
      <c r="AL40" s="37"/>
      <c r="AM40" s="37"/>
      <c r="AN40" s="37"/>
      <c r="AO40" s="43"/>
      <c r="AP40" s="35"/>
      <c r="AQ40" s="35"/>
      <c r="AR40" s="44"/>
      <c r="AS40" s="37" t="s">
        <v>485</v>
      </c>
    </row>
    <row r="41" spans="1:45" ht="48.75" customHeight="1" x14ac:dyDescent="0.25">
      <c r="A41" s="32" t="s">
        <v>1677</v>
      </c>
      <c r="B41" s="56">
        <v>45315</v>
      </c>
      <c r="C41" s="37" t="s">
        <v>486</v>
      </c>
      <c r="D41" s="36" t="s">
        <v>1678</v>
      </c>
      <c r="E41" s="1" t="s">
        <v>1679</v>
      </c>
      <c r="F41" s="33">
        <v>45335</v>
      </c>
      <c r="G41" s="35" t="s">
        <v>1680</v>
      </c>
      <c r="H41" s="54" t="s">
        <v>1681</v>
      </c>
      <c r="I41" s="37" t="s">
        <v>1682</v>
      </c>
      <c r="J41" s="57">
        <v>12275383.800000001</v>
      </c>
      <c r="K41" s="40">
        <v>2.5715204114432657</v>
      </c>
      <c r="L41" s="41">
        <v>315664</v>
      </c>
      <c r="M41" s="38">
        <v>11959719.800000001</v>
      </c>
      <c r="N41" s="41">
        <v>315664</v>
      </c>
      <c r="O41" s="38">
        <v>11959719.800000001</v>
      </c>
      <c r="P41" s="27">
        <v>11959719.800000001</v>
      </c>
      <c r="Q41" s="27">
        <v>11959719.800000001</v>
      </c>
      <c r="R41" s="27">
        <v>30.310000000000002</v>
      </c>
      <c r="S41" s="38">
        <v>30.310000000000002</v>
      </c>
      <c r="T41" s="38">
        <v>606.20000000000005</v>
      </c>
      <c r="U41" s="38">
        <v>394580</v>
      </c>
      <c r="V41" s="38">
        <v>394580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19729</v>
      </c>
      <c r="AD41" s="38">
        <v>19729</v>
      </c>
      <c r="AE41" s="33">
        <v>45383</v>
      </c>
      <c r="AF41" s="33"/>
      <c r="AG41" s="33"/>
      <c r="AH41" s="33">
        <v>45413</v>
      </c>
      <c r="AI41" s="33"/>
      <c r="AJ41" s="42"/>
      <c r="AK41" s="37" t="s">
        <v>1683</v>
      </c>
      <c r="AL41" s="37" t="s">
        <v>1684</v>
      </c>
      <c r="AM41" s="37" t="s">
        <v>1685</v>
      </c>
      <c r="AN41" s="37" t="s">
        <v>50</v>
      </c>
      <c r="AO41" s="43">
        <v>100</v>
      </c>
      <c r="AP41" s="35">
        <v>0</v>
      </c>
      <c r="AQ41" s="35" t="s">
        <v>441</v>
      </c>
      <c r="AR41" s="44">
        <v>20</v>
      </c>
      <c r="AS41" s="37" t="s">
        <v>52</v>
      </c>
    </row>
    <row r="42" spans="1:45" ht="48.75" customHeight="1" x14ac:dyDescent="0.25">
      <c r="A42" s="32" t="s">
        <v>1686</v>
      </c>
      <c r="B42" s="56">
        <v>45315</v>
      </c>
      <c r="C42" s="37" t="s">
        <v>486</v>
      </c>
      <c r="D42" s="36" t="s">
        <v>1687</v>
      </c>
      <c r="E42" s="1" t="s">
        <v>1688</v>
      </c>
      <c r="F42" s="33">
        <v>45335</v>
      </c>
      <c r="G42" s="35" t="s">
        <v>1689</v>
      </c>
      <c r="H42" s="37" t="s">
        <v>291</v>
      </c>
      <c r="I42" s="37" t="s">
        <v>1690</v>
      </c>
      <c r="J42" s="57">
        <v>901309.5</v>
      </c>
      <c r="K42" s="40">
        <v>0</v>
      </c>
      <c r="L42" s="41">
        <v>0</v>
      </c>
      <c r="M42" s="38">
        <v>901309.5</v>
      </c>
      <c r="N42" s="41">
        <v>0</v>
      </c>
      <c r="O42" s="38">
        <v>901309.5</v>
      </c>
      <c r="P42" s="27">
        <v>901309.5</v>
      </c>
      <c r="Q42" s="27">
        <v>901309.5</v>
      </c>
      <c r="R42" s="27">
        <v>4.97</v>
      </c>
      <c r="S42" s="38">
        <v>4.97</v>
      </c>
      <c r="T42" s="38">
        <v>298.2</v>
      </c>
      <c r="U42" s="38">
        <v>181350</v>
      </c>
      <c r="V42" s="38">
        <v>181350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3022.5</v>
      </c>
      <c r="AD42" s="38">
        <v>3023</v>
      </c>
      <c r="AE42" s="33">
        <v>45383</v>
      </c>
      <c r="AF42" s="33"/>
      <c r="AG42" s="33"/>
      <c r="AH42" s="33">
        <v>45413</v>
      </c>
      <c r="AI42" s="33"/>
      <c r="AJ42" s="42"/>
      <c r="AK42" s="37" t="s">
        <v>1691</v>
      </c>
      <c r="AL42" s="37" t="s">
        <v>1692</v>
      </c>
      <c r="AM42" s="37" t="s">
        <v>1693</v>
      </c>
      <c r="AN42" s="37" t="s">
        <v>50</v>
      </c>
      <c r="AO42" s="43">
        <v>100</v>
      </c>
      <c r="AP42" s="35">
        <v>0</v>
      </c>
      <c r="AQ42" s="35" t="s">
        <v>441</v>
      </c>
      <c r="AR42" s="44">
        <v>60</v>
      </c>
      <c r="AS42" s="37" t="s">
        <v>176</v>
      </c>
    </row>
    <row r="43" spans="1:45" ht="48.75" customHeight="1" x14ac:dyDescent="0.25">
      <c r="A43" s="32" t="s">
        <v>1694</v>
      </c>
      <c r="B43" s="56">
        <v>45315</v>
      </c>
      <c r="C43" s="37" t="s">
        <v>486</v>
      </c>
      <c r="D43" s="36" t="s">
        <v>1695</v>
      </c>
      <c r="E43" s="1" t="s">
        <v>1696</v>
      </c>
      <c r="F43" s="33">
        <v>45343</v>
      </c>
      <c r="G43" s="35" t="s">
        <v>1697</v>
      </c>
      <c r="H43" s="37" t="s">
        <v>1698</v>
      </c>
      <c r="I43" s="37" t="s">
        <v>1699</v>
      </c>
      <c r="J43" s="57">
        <v>62961254.399999999</v>
      </c>
      <c r="K43" s="40">
        <v>1.1718749999999929</v>
      </c>
      <c r="L43" s="41">
        <v>737827.19999999553</v>
      </c>
      <c r="M43" s="38">
        <v>62223427.200000003</v>
      </c>
      <c r="N43" s="41">
        <v>737827.19999999553</v>
      </c>
      <c r="O43" s="38">
        <v>62223427.200000003</v>
      </c>
      <c r="P43" s="27">
        <v>62223427.200000003</v>
      </c>
      <c r="Q43" s="27">
        <v>62223427.200000003</v>
      </c>
      <c r="R43" s="27">
        <v>27.830000000000002</v>
      </c>
      <c r="S43" s="38">
        <v>27.830000000000002</v>
      </c>
      <c r="T43" s="38">
        <v>556.6</v>
      </c>
      <c r="U43" s="38">
        <v>2235840</v>
      </c>
      <c r="V43" s="38">
        <v>846360</v>
      </c>
      <c r="W43" s="38">
        <v>1389480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111792</v>
      </c>
      <c r="AD43" s="38">
        <v>111792</v>
      </c>
      <c r="AE43" s="33">
        <v>45383</v>
      </c>
      <c r="AF43" s="33">
        <v>45444</v>
      </c>
      <c r="AG43" s="33"/>
      <c r="AH43" s="33">
        <v>45413</v>
      </c>
      <c r="AI43" s="33">
        <v>45474</v>
      </c>
      <c r="AJ43" s="42"/>
      <c r="AK43" s="37" t="s">
        <v>1700</v>
      </c>
      <c r="AL43" s="37" t="s">
        <v>1701</v>
      </c>
      <c r="AM43" s="37" t="s">
        <v>1702</v>
      </c>
      <c r="AN43" s="37" t="s">
        <v>50</v>
      </c>
      <c r="AO43" s="43">
        <v>100</v>
      </c>
      <c r="AP43" s="35">
        <v>0</v>
      </c>
      <c r="AQ43" s="35" t="s">
        <v>441</v>
      </c>
      <c r="AR43" s="44">
        <v>20</v>
      </c>
      <c r="AS43" s="37" t="s">
        <v>52</v>
      </c>
    </row>
    <row r="44" spans="1:45" ht="48.75" customHeight="1" x14ac:dyDescent="0.25">
      <c r="A44" s="32" t="s">
        <v>1703</v>
      </c>
      <c r="B44" s="56">
        <v>45315</v>
      </c>
      <c r="C44" s="37" t="s">
        <v>486</v>
      </c>
      <c r="D44" s="35" t="s">
        <v>485</v>
      </c>
      <c r="E44" s="1" t="s">
        <v>1704</v>
      </c>
      <c r="F44" s="35" t="s">
        <v>485</v>
      </c>
      <c r="G44" s="35" t="s">
        <v>485</v>
      </c>
      <c r="H44" s="35" t="s">
        <v>485</v>
      </c>
      <c r="I44" s="37" t="s">
        <v>1705</v>
      </c>
      <c r="J44" s="57">
        <v>21929927.280000001</v>
      </c>
      <c r="K44" s="40">
        <v>100</v>
      </c>
      <c r="L44" s="41">
        <v>21929927.280000001</v>
      </c>
      <c r="M44" s="38"/>
      <c r="N44" s="41">
        <v>21929927.280000001</v>
      </c>
      <c r="O44" s="38">
        <v>0</v>
      </c>
      <c r="P44" s="27">
        <v>0</v>
      </c>
      <c r="Q44" s="27">
        <v>0</v>
      </c>
      <c r="R44" s="27" t="e">
        <v>#DIV/0!</v>
      </c>
      <c r="S44" s="38" t="e">
        <v>#DIV/0!</v>
      </c>
      <c r="T44" s="38" t="e">
        <v>#DIV/0!</v>
      </c>
      <c r="U44" s="38">
        <v>0</v>
      </c>
      <c r="V44" s="38">
        <v>0</v>
      </c>
      <c r="W44" s="38">
        <v>0</v>
      </c>
      <c r="X44" s="38">
        <v>0</v>
      </c>
      <c r="Y44" s="38"/>
      <c r="Z44" s="38" t="e">
        <v>#DIV/0!</v>
      </c>
      <c r="AA44" s="38"/>
      <c r="AB44" s="38" t="e">
        <v>#DIV/0!</v>
      </c>
      <c r="AC44" s="38" t="e">
        <v>#DIV/0!</v>
      </c>
      <c r="AD44" s="38" t="e">
        <v>#DIV/0!</v>
      </c>
      <c r="AE44" s="33">
        <v>45382</v>
      </c>
      <c r="AF44" s="33"/>
      <c r="AG44" s="33"/>
      <c r="AH44" s="33"/>
      <c r="AI44" s="33"/>
      <c r="AJ44" s="42"/>
      <c r="AK44" s="37"/>
      <c r="AL44" s="37"/>
      <c r="AM44" s="37"/>
      <c r="AN44" s="37"/>
      <c r="AO44" s="43"/>
      <c r="AP44" s="35"/>
      <c r="AQ44" s="35"/>
      <c r="AR44" s="44"/>
      <c r="AS44" s="37" t="s">
        <v>485</v>
      </c>
    </row>
    <row r="45" spans="1:45" ht="48.75" customHeight="1" x14ac:dyDescent="0.25">
      <c r="A45" s="32" t="s">
        <v>1706</v>
      </c>
      <c r="B45" s="56">
        <v>45315</v>
      </c>
      <c r="C45" s="37" t="s">
        <v>486</v>
      </c>
      <c r="D45" s="35" t="s">
        <v>485</v>
      </c>
      <c r="E45" s="1" t="s">
        <v>1707</v>
      </c>
      <c r="F45" s="35" t="s">
        <v>485</v>
      </c>
      <c r="G45" s="35" t="s">
        <v>485</v>
      </c>
      <c r="H45" s="35" t="s">
        <v>485</v>
      </c>
      <c r="I45" s="37" t="s">
        <v>508</v>
      </c>
      <c r="J45" s="57">
        <v>187929721.19999999</v>
      </c>
      <c r="K45" s="40">
        <v>100</v>
      </c>
      <c r="L45" s="41">
        <v>187929721.19999999</v>
      </c>
      <c r="M45" s="38"/>
      <c r="N45" s="41">
        <v>187929721.19999999</v>
      </c>
      <c r="O45" s="38">
        <v>0</v>
      </c>
      <c r="P45" s="27">
        <v>0</v>
      </c>
      <c r="Q45" s="27">
        <v>0</v>
      </c>
      <c r="R45" s="27" t="e">
        <v>#DIV/0!</v>
      </c>
      <c r="S45" s="38" t="e">
        <v>#DIV/0!</v>
      </c>
      <c r="T45" s="38" t="e">
        <v>#DIV/0!</v>
      </c>
      <c r="U45" s="38">
        <v>0</v>
      </c>
      <c r="V45" s="38">
        <v>0</v>
      </c>
      <c r="W45" s="38">
        <v>0</v>
      </c>
      <c r="X45" s="38">
        <v>0</v>
      </c>
      <c r="Y45" s="38"/>
      <c r="Z45" s="38" t="e">
        <v>#DIV/0!</v>
      </c>
      <c r="AA45" s="38"/>
      <c r="AB45" s="38" t="e">
        <v>#DIV/0!</v>
      </c>
      <c r="AC45" s="38" t="e">
        <v>#DIV/0!</v>
      </c>
      <c r="AD45" s="38" t="e">
        <v>#DIV/0!</v>
      </c>
      <c r="AE45" s="33">
        <v>45382</v>
      </c>
      <c r="AF45" s="33"/>
      <c r="AG45" s="33"/>
      <c r="AH45" s="33"/>
      <c r="AI45" s="33"/>
      <c r="AJ45" s="42"/>
      <c r="AK45" s="37"/>
      <c r="AL45" s="37"/>
      <c r="AM45" s="37"/>
      <c r="AN45" s="37"/>
      <c r="AO45" s="43"/>
      <c r="AP45" s="35"/>
      <c r="AQ45" s="35"/>
      <c r="AR45" s="44"/>
      <c r="AS45" s="37" t="s">
        <v>485</v>
      </c>
    </row>
    <row r="46" spans="1:45" ht="48.75" customHeight="1" x14ac:dyDescent="0.25">
      <c r="A46" s="32" t="s">
        <v>1708</v>
      </c>
      <c r="B46" s="56">
        <v>45315</v>
      </c>
      <c r="C46" s="37" t="s">
        <v>486</v>
      </c>
      <c r="D46" s="35" t="s">
        <v>485</v>
      </c>
      <c r="E46" s="1" t="s">
        <v>1709</v>
      </c>
      <c r="F46" s="35" t="s">
        <v>485</v>
      </c>
      <c r="G46" s="35" t="s">
        <v>485</v>
      </c>
      <c r="H46" s="35" t="s">
        <v>485</v>
      </c>
      <c r="I46" s="37" t="s">
        <v>1710</v>
      </c>
      <c r="J46" s="57">
        <v>35170380</v>
      </c>
      <c r="K46" s="40">
        <v>100</v>
      </c>
      <c r="L46" s="41">
        <v>35170380</v>
      </c>
      <c r="M46" s="38"/>
      <c r="N46" s="41">
        <v>35170380</v>
      </c>
      <c r="O46" s="38">
        <v>0</v>
      </c>
      <c r="P46" s="27">
        <v>0</v>
      </c>
      <c r="Q46" s="27">
        <v>0</v>
      </c>
      <c r="R46" s="27" t="e">
        <v>#DIV/0!</v>
      </c>
      <c r="S46" s="38" t="e">
        <v>#DIV/0!</v>
      </c>
      <c r="T46" s="38" t="e">
        <v>#DIV/0!</v>
      </c>
      <c r="U46" s="38">
        <v>0</v>
      </c>
      <c r="V46" s="38">
        <v>0</v>
      </c>
      <c r="W46" s="38">
        <v>0</v>
      </c>
      <c r="X46" s="38">
        <v>0</v>
      </c>
      <c r="Y46" s="38"/>
      <c r="Z46" s="38" t="e">
        <v>#DIV/0!</v>
      </c>
      <c r="AA46" s="38"/>
      <c r="AB46" s="38" t="e">
        <v>#DIV/0!</v>
      </c>
      <c r="AC46" s="38" t="e">
        <v>#DIV/0!</v>
      </c>
      <c r="AD46" s="38" t="e">
        <v>#DIV/0!</v>
      </c>
      <c r="AE46" s="33">
        <v>45383</v>
      </c>
      <c r="AF46" s="33"/>
      <c r="AG46" s="33"/>
      <c r="AH46" s="33"/>
      <c r="AI46" s="33"/>
      <c r="AJ46" s="42"/>
      <c r="AK46" s="37"/>
      <c r="AL46" s="37"/>
      <c r="AM46" s="37"/>
      <c r="AN46" s="37"/>
      <c r="AO46" s="43"/>
      <c r="AP46" s="35"/>
      <c r="AQ46" s="35"/>
      <c r="AR46" s="44"/>
      <c r="AS46" s="37" t="s">
        <v>485</v>
      </c>
    </row>
    <row r="47" spans="1:45" ht="48.75" customHeight="1" x14ac:dyDescent="0.25">
      <c r="A47" s="32" t="s">
        <v>1711</v>
      </c>
      <c r="B47" s="56">
        <v>45315</v>
      </c>
      <c r="C47" s="37" t="s">
        <v>486</v>
      </c>
      <c r="D47" s="35" t="s">
        <v>485</v>
      </c>
      <c r="E47" s="1" t="s">
        <v>1712</v>
      </c>
      <c r="F47" s="35" t="s">
        <v>485</v>
      </c>
      <c r="G47" s="35" t="s">
        <v>485</v>
      </c>
      <c r="H47" s="35" t="s">
        <v>485</v>
      </c>
      <c r="I47" s="37" t="s">
        <v>1713</v>
      </c>
      <c r="J47" s="57">
        <v>1138737.6000000001</v>
      </c>
      <c r="K47" s="40">
        <v>100</v>
      </c>
      <c r="L47" s="41">
        <v>1138737.6000000001</v>
      </c>
      <c r="M47" s="38"/>
      <c r="N47" s="41">
        <v>1138737.6000000001</v>
      </c>
      <c r="O47" s="38">
        <v>0</v>
      </c>
      <c r="P47" s="27">
        <v>0</v>
      </c>
      <c r="Q47" s="27">
        <v>0</v>
      </c>
      <c r="R47" s="27" t="e">
        <v>#DIV/0!</v>
      </c>
      <c r="S47" s="38" t="e">
        <v>#DIV/0!</v>
      </c>
      <c r="T47" s="38" t="e">
        <v>#DIV/0!</v>
      </c>
      <c r="U47" s="38">
        <v>0</v>
      </c>
      <c r="V47" s="38">
        <v>0</v>
      </c>
      <c r="W47" s="38">
        <v>0</v>
      </c>
      <c r="X47" s="38">
        <v>0</v>
      </c>
      <c r="Y47" s="38"/>
      <c r="Z47" s="38" t="e">
        <v>#DIV/0!</v>
      </c>
      <c r="AA47" s="38"/>
      <c r="AB47" s="38" t="e">
        <v>#DIV/0!</v>
      </c>
      <c r="AC47" s="38" t="e">
        <v>#DIV/0!</v>
      </c>
      <c r="AD47" s="38" t="e">
        <v>#DIV/0!</v>
      </c>
      <c r="AE47" s="33">
        <v>45383</v>
      </c>
      <c r="AF47" s="33"/>
      <c r="AG47" s="33"/>
      <c r="AH47" s="33"/>
      <c r="AI47" s="33"/>
      <c r="AJ47" s="42"/>
      <c r="AK47" s="37"/>
      <c r="AL47" s="37"/>
      <c r="AM47" s="37"/>
      <c r="AN47" s="37"/>
      <c r="AO47" s="43"/>
      <c r="AP47" s="35"/>
      <c r="AQ47" s="35"/>
      <c r="AR47" s="44"/>
      <c r="AS47" s="37" t="s">
        <v>485</v>
      </c>
    </row>
    <row r="48" spans="1:45" ht="48.75" customHeight="1" x14ac:dyDescent="0.25">
      <c r="A48" s="32" t="s">
        <v>1714</v>
      </c>
      <c r="B48" s="56">
        <v>45315</v>
      </c>
      <c r="C48" s="37" t="s">
        <v>486</v>
      </c>
      <c r="D48" s="36" t="s">
        <v>1715</v>
      </c>
      <c r="E48" s="1" t="s">
        <v>1716</v>
      </c>
      <c r="F48" s="33">
        <v>45335</v>
      </c>
      <c r="G48" s="35" t="s">
        <v>1717</v>
      </c>
      <c r="H48" s="37" t="s">
        <v>273</v>
      </c>
      <c r="I48" s="37" t="s">
        <v>1351</v>
      </c>
      <c r="J48" s="57">
        <v>8321227.2000000002</v>
      </c>
      <c r="K48" s="40">
        <v>0</v>
      </c>
      <c r="L48" s="41">
        <v>0</v>
      </c>
      <c r="M48" s="38">
        <v>8321227.2000000002</v>
      </c>
      <c r="N48" s="41">
        <v>0</v>
      </c>
      <c r="O48" s="38">
        <v>8321227.2000000002</v>
      </c>
      <c r="P48" s="27">
        <v>8321227.2000000002</v>
      </c>
      <c r="Q48" s="27">
        <v>8321227.2000000002</v>
      </c>
      <c r="R48" s="27">
        <v>25.740000000000002</v>
      </c>
      <c r="S48" s="38">
        <v>25.740000000000002</v>
      </c>
      <c r="T48" s="38">
        <v>1544.4</v>
      </c>
      <c r="U48" s="38">
        <v>323280</v>
      </c>
      <c r="V48" s="38">
        <v>323280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5388</v>
      </c>
      <c r="AD48" s="38">
        <v>5388</v>
      </c>
      <c r="AE48" s="33">
        <v>45382</v>
      </c>
      <c r="AF48" s="33"/>
      <c r="AG48" s="33"/>
      <c r="AH48" s="33">
        <v>45413</v>
      </c>
      <c r="AI48" s="33"/>
      <c r="AJ48" s="42"/>
      <c r="AK48" s="37" t="s">
        <v>1718</v>
      </c>
      <c r="AL48" s="37" t="s">
        <v>1719</v>
      </c>
      <c r="AM48" s="37" t="s">
        <v>1720</v>
      </c>
      <c r="AN48" s="37" t="s">
        <v>50</v>
      </c>
      <c r="AO48" s="43">
        <v>100</v>
      </c>
      <c r="AP48" s="35">
        <v>0</v>
      </c>
      <c r="AQ48" s="35" t="s">
        <v>441</v>
      </c>
      <c r="AR48" s="44">
        <v>60</v>
      </c>
      <c r="AS48" s="37" t="s">
        <v>52</v>
      </c>
    </row>
    <row r="49" spans="1:45" ht="48.75" customHeight="1" x14ac:dyDescent="0.25">
      <c r="A49" s="32" t="s">
        <v>1721</v>
      </c>
      <c r="B49" s="56">
        <v>45315</v>
      </c>
      <c r="C49" s="37" t="s">
        <v>486</v>
      </c>
      <c r="D49" s="36" t="s">
        <v>1722</v>
      </c>
      <c r="E49" s="1" t="s">
        <v>1723</v>
      </c>
      <c r="F49" s="33">
        <v>45335</v>
      </c>
      <c r="G49" s="35" t="s">
        <v>1724</v>
      </c>
      <c r="H49" s="37" t="s">
        <v>273</v>
      </c>
      <c r="I49" s="37" t="s">
        <v>1725</v>
      </c>
      <c r="J49" s="57">
        <v>7038016</v>
      </c>
      <c r="K49" s="40">
        <v>0</v>
      </c>
      <c r="L49" s="41">
        <v>0</v>
      </c>
      <c r="M49" s="38">
        <v>7038016</v>
      </c>
      <c r="N49" s="41">
        <v>0</v>
      </c>
      <c r="O49" s="38">
        <v>7038016</v>
      </c>
      <c r="P49" s="27">
        <v>6987200</v>
      </c>
      <c r="Q49" s="27">
        <v>6987200</v>
      </c>
      <c r="R49" s="27">
        <v>11</v>
      </c>
      <c r="S49" s="38">
        <v>11</v>
      </c>
      <c r="T49" s="38">
        <v>3300</v>
      </c>
      <c r="U49" s="38">
        <v>635200</v>
      </c>
      <c r="V49" s="38">
        <v>635200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2117.3333333333335</v>
      </c>
      <c r="AD49" s="38">
        <v>2118</v>
      </c>
      <c r="AE49" s="33">
        <v>45366</v>
      </c>
      <c r="AF49" s="33"/>
      <c r="AG49" s="33"/>
      <c r="AH49" s="33">
        <v>45397</v>
      </c>
      <c r="AI49" s="33"/>
      <c r="AJ49" s="42"/>
      <c r="AK49" s="37" t="s">
        <v>1726</v>
      </c>
      <c r="AL49" s="37" t="s">
        <v>1727</v>
      </c>
      <c r="AM49" s="37" t="s">
        <v>1728</v>
      </c>
      <c r="AN49" s="37" t="s">
        <v>50</v>
      </c>
      <c r="AO49" s="43">
        <v>100</v>
      </c>
      <c r="AP49" s="35">
        <v>0</v>
      </c>
      <c r="AQ49" s="35" t="s">
        <v>164</v>
      </c>
      <c r="AR49" s="44">
        <v>300</v>
      </c>
      <c r="AS49" s="37" t="s">
        <v>52</v>
      </c>
    </row>
    <row r="50" spans="1:45" ht="48.75" customHeight="1" x14ac:dyDescent="0.25">
      <c r="A50" s="32" t="s">
        <v>1729</v>
      </c>
      <c r="B50" s="56">
        <v>45316</v>
      </c>
      <c r="C50" s="37" t="s">
        <v>486</v>
      </c>
      <c r="D50" s="36" t="s">
        <v>1730</v>
      </c>
      <c r="E50" s="1" t="s">
        <v>1731</v>
      </c>
      <c r="F50" s="33">
        <v>45335</v>
      </c>
      <c r="G50" s="35" t="s">
        <v>1732</v>
      </c>
      <c r="H50" s="37" t="s">
        <v>291</v>
      </c>
      <c r="I50" s="37" t="s">
        <v>1733</v>
      </c>
      <c r="J50" s="57">
        <v>12870732</v>
      </c>
      <c r="K50" s="40">
        <v>0</v>
      </c>
      <c r="L50" s="41">
        <v>0</v>
      </c>
      <c r="M50" s="38">
        <v>12870732</v>
      </c>
      <c r="N50" s="41">
        <v>0</v>
      </c>
      <c r="O50" s="38">
        <v>12870732</v>
      </c>
      <c r="P50" s="27">
        <v>12870732</v>
      </c>
      <c r="Q50" s="27">
        <v>12870732</v>
      </c>
      <c r="R50" s="27">
        <v>62.54</v>
      </c>
      <c r="S50" s="38">
        <v>62.54</v>
      </c>
      <c r="T50" s="38">
        <v>7504.8</v>
      </c>
      <c r="U50" s="38">
        <v>205800</v>
      </c>
      <c r="V50" s="38">
        <v>205800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1715</v>
      </c>
      <c r="AD50" s="38">
        <v>1715</v>
      </c>
      <c r="AE50" s="33">
        <v>45366</v>
      </c>
      <c r="AF50" s="33"/>
      <c r="AG50" s="33"/>
      <c r="AH50" s="33">
        <v>45397</v>
      </c>
      <c r="AI50" s="33"/>
      <c r="AJ50" s="42"/>
      <c r="AK50" s="37" t="s">
        <v>1734</v>
      </c>
      <c r="AL50" s="37" t="s">
        <v>1735</v>
      </c>
      <c r="AM50" s="37" t="s">
        <v>1736</v>
      </c>
      <c r="AN50" s="37" t="s">
        <v>50</v>
      </c>
      <c r="AO50" s="43">
        <v>100</v>
      </c>
      <c r="AP50" s="35">
        <v>0</v>
      </c>
      <c r="AQ50" s="35" t="s">
        <v>441</v>
      </c>
      <c r="AR50" s="44">
        <v>120</v>
      </c>
      <c r="AS50" s="37" t="s">
        <v>176</v>
      </c>
    </row>
    <row r="51" spans="1:45" ht="48.75" customHeight="1" x14ac:dyDescent="0.25">
      <c r="A51" s="32" t="s">
        <v>1737</v>
      </c>
      <c r="B51" s="56">
        <v>45316</v>
      </c>
      <c r="C51" s="37" t="s">
        <v>486</v>
      </c>
      <c r="D51" s="36" t="s">
        <v>1738</v>
      </c>
      <c r="E51" s="1" t="s">
        <v>1739</v>
      </c>
      <c r="F51" s="33">
        <v>45335</v>
      </c>
      <c r="G51" s="35" t="s">
        <v>1740</v>
      </c>
      <c r="H51" s="37" t="s">
        <v>291</v>
      </c>
      <c r="I51" s="37" t="s">
        <v>1741</v>
      </c>
      <c r="J51" s="57">
        <v>10821789</v>
      </c>
      <c r="K51" s="40">
        <v>0</v>
      </c>
      <c r="L51" s="41">
        <v>0</v>
      </c>
      <c r="M51" s="38">
        <v>10821789</v>
      </c>
      <c r="N51" s="41">
        <v>0</v>
      </c>
      <c r="O51" s="38">
        <v>10821789</v>
      </c>
      <c r="P51" s="27">
        <v>10821789</v>
      </c>
      <c r="Q51" s="27">
        <v>10821789</v>
      </c>
      <c r="R51" s="27">
        <v>9.1300000000000008</v>
      </c>
      <c r="S51" s="38">
        <v>9.1300000000000008</v>
      </c>
      <c r="T51" s="38">
        <v>547.80000000000007</v>
      </c>
      <c r="U51" s="38">
        <v>1185300</v>
      </c>
      <c r="V51" s="38">
        <v>1185300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19755</v>
      </c>
      <c r="AD51" s="38">
        <v>19755</v>
      </c>
      <c r="AE51" s="33">
        <v>45383</v>
      </c>
      <c r="AF51" s="33"/>
      <c r="AG51" s="33"/>
      <c r="AH51" s="33">
        <v>45413</v>
      </c>
      <c r="AI51" s="33"/>
      <c r="AJ51" s="42"/>
      <c r="AK51" s="37" t="s">
        <v>1691</v>
      </c>
      <c r="AL51" s="37" t="s">
        <v>1742</v>
      </c>
      <c r="AM51" s="37" t="s">
        <v>1693</v>
      </c>
      <c r="AN51" s="37" t="s">
        <v>50</v>
      </c>
      <c r="AO51" s="43">
        <v>100</v>
      </c>
      <c r="AP51" s="35">
        <v>0</v>
      </c>
      <c r="AQ51" s="35" t="s">
        <v>441</v>
      </c>
      <c r="AR51" s="44">
        <v>60</v>
      </c>
      <c r="AS51" s="37" t="s">
        <v>52</v>
      </c>
    </row>
    <row r="52" spans="1:45" ht="48.75" customHeight="1" x14ac:dyDescent="0.25">
      <c r="A52" s="32" t="s">
        <v>1743</v>
      </c>
      <c r="B52" s="56">
        <v>45316</v>
      </c>
      <c r="C52" s="37" t="s">
        <v>486</v>
      </c>
      <c r="D52" s="36" t="s">
        <v>1744</v>
      </c>
      <c r="E52" s="1" t="s">
        <v>1745</v>
      </c>
      <c r="F52" s="33">
        <v>45335</v>
      </c>
      <c r="G52" s="35" t="s">
        <v>1746</v>
      </c>
      <c r="H52" s="37" t="s">
        <v>291</v>
      </c>
      <c r="I52" s="37" t="s">
        <v>1747</v>
      </c>
      <c r="J52" s="57">
        <v>2895874.56</v>
      </c>
      <c r="K52" s="40">
        <v>0</v>
      </c>
      <c r="L52" s="41">
        <v>0</v>
      </c>
      <c r="M52" s="38">
        <v>2895874.56</v>
      </c>
      <c r="N52" s="41">
        <v>0</v>
      </c>
      <c r="O52" s="38">
        <v>2895874.56</v>
      </c>
      <c r="P52" s="27">
        <v>2895874.56</v>
      </c>
      <c r="Q52" s="27">
        <v>2895874.56</v>
      </c>
      <c r="R52" s="27">
        <v>2.58</v>
      </c>
      <c r="S52" s="38">
        <v>2.58</v>
      </c>
      <c r="T52" s="38">
        <v>154.80000000000001</v>
      </c>
      <c r="U52" s="38">
        <v>1122432</v>
      </c>
      <c r="V52" s="38">
        <v>1122432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18707.2</v>
      </c>
      <c r="AD52" s="38">
        <v>18708</v>
      </c>
      <c r="AE52" s="33">
        <v>45366</v>
      </c>
      <c r="AF52" s="33"/>
      <c r="AG52" s="33"/>
      <c r="AH52" s="33">
        <v>45397</v>
      </c>
      <c r="AI52" s="33"/>
      <c r="AJ52" s="42"/>
      <c r="AK52" s="37" t="s">
        <v>1748</v>
      </c>
      <c r="AL52" s="37" t="s">
        <v>1749</v>
      </c>
      <c r="AM52" s="37" t="s">
        <v>1750</v>
      </c>
      <c r="AN52" s="37" t="s">
        <v>50</v>
      </c>
      <c r="AO52" s="43">
        <v>100</v>
      </c>
      <c r="AP52" s="35">
        <v>0</v>
      </c>
      <c r="AQ52" s="35" t="s">
        <v>441</v>
      </c>
      <c r="AR52" s="44">
        <v>60</v>
      </c>
      <c r="AS52" s="37" t="s">
        <v>52</v>
      </c>
    </row>
    <row r="53" spans="1:45" ht="48.75" customHeight="1" x14ac:dyDescent="0.25">
      <c r="A53" s="32" t="s">
        <v>1751</v>
      </c>
      <c r="B53" s="56">
        <v>45316</v>
      </c>
      <c r="C53" s="37" t="s">
        <v>486</v>
      </c>
      <c r="D53" s="36" t="s">
        <v>485</v>
      </c>
      <c r="E53" s="1" t="s">
        <v>1752</v>
      </c>
      <c r="F53" s="33" t="s">
        <v>485</v>
      </c>
      <c r="G53" s="35" t="s">
        <v>485</v>
      </c>
      <c r="H53" s="37" t="s">
        <v>485</v>
      </c>
      <c r="I53" s="37" t="s">
        <v>1753</v>
      </c>
      <c r="J53" s="57">
        <v>95225220</v>
      </c>
      <c r="K53" s="40">
        <v>100</v>
      </c>
      <c r="L53" s="41">
        <v>95225220</v>
      </c>
      <c r="M53" s="38"/>
      <c r="N53" s="41">
        <v>95225220</v>
      </c>
      <c r="O53" s="38">
        <v>0</v>
      </c>
      <c r="P53" s="27">
        <v>0</v>
      </c>
      <c r="Q53" s="27">
        <v>0</v>
      </c>
      <c r="R53" s="27" t="e">
        <v>#DIV/0!</v>
      </c>
      <c r="S53" s="38" t="e">
        <v>#DIV/0!</v>
      </c>
      <c r="T53" s="38" t="e">
        <v>#DIV/0!</v>
      </c>
      <c r="U53" s="38">
        <v>0</v>
      </c>
      <c r="V53" s="38">
        <v>0</v>
      </c>
      <c r="W53" s="38">
        <v>0</v>
      </c>
      <c r="X53" s="38">
        <v>0</v>
      </c>
      <c r="Y53" s="38"/>
      <c r="Z53" s="38" t="e">
        <v>#DIV/0!</v>
      </c>
      <c r="AA53" s="38"/>
      <c r="AB53" s="38" t="e">
        <v>#DIV/0!</v>
      </c>
      <c r="AC53" s="38" t="e">
        <v>#DIV/0!</v>
      </c>
      <c r="AD53" s="38" t="e">
        <v>#DIV/0!</v>
      </c>
      <c r="AE53" s="33">
        <v>45383</v>
      </c>
      <c r="AF53" s="33"/>
      <c r="AG53" s="33"/>
      <c r="AH53" s="33"/>
      <c r="AI53" s="33"/>
      <c r="AJ53" s="42"/>
      <c r="AK53" s="37"/>
      <c r="AL53" s="37"/>
      <c r="AM53" s="37"/>
      <c r="AN53" s="37"/>
      <c r="AO53" s="43"/>
      <c r="AP53" s="35"/>
      <c r="AQ53" s="35"/>
      <c r="AR53" s="44"/>
      <c r="AS53" s="37" t="s">
        <v>485</v>
      </c>
    </row>
    <row r="54" spans="1:45" ht="48.75" customHeight="1" x14ac:dyDescent="0.25">
      <c r="A54" s="32" t="s">
        <v>1754</v>
      </c>
      <c r="B54" s="56">
        <v>45316</v>
      </c>
      <c r="C54" s="37" t="s">
        <v>486</v>
      </c>
      <c r="D54" s="36" t="s">
        <v>1755</v>
      </c>
      <c r="E54" s="1" t="s">
        <v>1756</v>
      </c>
      <c r="F54" s="33">
        <v>45335</v>
      </c>
      <c r="G54" s="35" t="s">
        <v>1757</v>
      </c>
      <c r="H54" s="37" t="s">
        <v>291</v>
      </c>
      <c r="I54" s="37" t="s">
        <v>1758</v>
      </c>
      <c r="J54" s="57">
        <v>78794.100000000006</v>
      </c>
      <c r="K54" s="40">
        <v>0</v>
      </c>
      <c r="L54" s="41">
        <v>0</v>
      </c>
      <c r="M54" s="57">
        <v>78794.100000000006</v>
      </c>
      <c r="N54" s="41">
        <v>0</v>
      </c>
      <c r="O54" s="57">
        <v>78794.100000000006</v>
      </c>
      <c r="P54" s="27">
        <v>78794.100000000006</v>
      </c>
      <c r="Q54" s="27">
        <v>78794.100000000006</v>
      </c>
      <c r="R54" s="27">
        <v>2.31</v>
      </c>
      <c r="S54" s="38">
        <v>2.31</v>
      </c>
      <c r="T54" s="38">
        <v>69.3</v>
      </c>
      <c r="U54" s="38">
        <v>34110</v>
      </c>
      <c r="V54" s="38">
        <v>34110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1137</v>
      </c>
      <c r="AD54" s="38">
        <v>1137</v>
      </c>
      <c r="AE54" s="33">
        <v>45383</v>
      </c>
      <c r="AF54" s="33"/>
      <c r="AG54" s="33"/>
      <c r="AH54" s="33">
        <v>45413</v>
      </c>
      <c r="AI54" s="33"/>
      <c r="AJ54" s="42"/>
      <c r="AK54" s="37" t="s">
        <v>1583</v>
      </c>
      <c r="AL54" s="37" t="s">
        <v>1427</v>
      </c>
      <c r="AM54" s="37" t="s">
        <v>1585</v>
      </c>
      <c r="AN54" s="37" t="s">
        <v>50</v>
      </c>
      <c r="AO54" s="43">
        <v>100</v>
      </c>
      <c r="AP54" s="35">
        <v>0</v>
      </c>
      <c r="AQ54" s="35" t="s">
        <v>441</v>
      </c>
      <c r="AR54" s="44">
        <v>30</v>
      </c>
      <c r="AS54" s="37" t="s">
        <v>176</v>
      </c>
    </row>
    <row r="55" spans="1:45" ht="48.75" customHeight="1" x14ac:dyDescent="0.25">
      <c r="A55" s="32" t="s">
        <v>1759</v>
      </c>
      <c r="B55" s="56">
        <v>45316</v>
      </c>
      <c r="C55" s="37" t="s">
        <v>486</v>
      </c>
      <c r="D55" s="36" t="s">
        <v>1760</v>
      </c>
      <c r="E55" s="1" t="s">
        <v>1761</v>
      </c>
      <c r="F55" s="33">
        <v>45335</v>
      </c>
      <c r="G55" s="35" t="s">
        <v>1762</v>
      </c>
      <c r="H55" s="37" t="s">
        <v>138</v>
      </c>
      <c r="I55" s="37" t="s">
        <v>1763</v>
      </c>
      <c r="J55" s="57">
        <v>1866913.68</v>
      </c>
      <c r="K55" s="40">
        <v>0</v>
      </c>
      <c r="L55" s="41">
        <v>0</v>
      </c>
      <c r="M55" s="38">
        <v>1866913.68</v>
      </c>
      <c r="N55" s="41">
        <v>0</v>
      </c>
      <c r="O55" s="38">
        <v>1866913.68</v>
      </c>
      <c r="P55" s="27">
        <v>1866913.68</v>
      </c>
      <c r="Q55" s="27">
        <v>1866913.68</v>
      </c>
      <c r="R55" s="27">
        <v>2.92</v>
      </c>
      <c r="S55" s="38">
        <v>2.92</v>
      </c>
      <c r="T55" s="38">
        <v>700.8</v>
      </c>
      <c r="U55" s="38">
        <v>639354</v>
      </c>
      <c r="V55" s="38">
        <v>639354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2663.9749999999999</v>
      </c>
      <c r="AD55" s="38">
        <v>2664</v>
      </c>
      <c r="AE55" s="33">
        <v>45383</v>
      </c>
      <c r="AF55" s="33"/>
      <c r="AG55" s="33"/>
      <c r="AH55" s="33">
        <v>45413</v>
      </c>
      <c r="AI55" s="33"/>
      <c r="AJ55" s="42"/>
      <c r="AK55" s="37" t="s">
        <v>1764</v>
      </c>
      <c r="AL55" s="37" t="s">
        <v>1765</v>
      </c>
      <c r="AM55" s="37" t="s">
        <v>1766</v>
      </c>
      <c r="AN55" s="37" t="s">
        <v>440</v>
      </c>
      <c r="AO55" s="43">
        <v>0</v>
      </c>
      <c r="AP55" s="35">
        <v>100</v>
      </c>
      <c r="AQ55" s="35" t="s">
        <v>164</v>
      </c>
      <c r="AR55" s="44">
        <v>240</v>
      </c>
      <c r="AS55" s="37" t="s">
        <v>52</v>
      </c>
    </row>
    <row r="56" spans="1:45" ht="48.75" customHeight="1" x14ac:dyDescent="0.25">
      <c r="A56" s="32" t="s">
        <v>1782</v>
      </c>
      <c r="B56" s="56">
        <v>45316</v>
      </c>
      <c r="C56" s="37" t="s">
        <v>486</v>
      </c>
      <c r="D56" s="36" t="s">
        <v>485</v>
      </c>
      <c r="E56" s="1" t="s">
        <v>1783</v>
      </c>
      <c r="F56" s="33" t="s">
        <v>485</v>
      </c>
      <c r="G56" s="35" t="s">
        <v>485</v>
      </c>
      <c r="H56" s="37" t="s">
        <v>485</v>
      </c>
      <c r="I56" s="35" t="s">
        <v>1784</v>
      </c>
      <c r="J56" s="57">
        <v>7532379.6900000004</v>
      </c>
      <c r="K56" s="40">
        <v>100</v>
      </c>
      <c r="L56" s="41">
        <v>7532379.6900000004</v>
      </c>
      <c r="M56" s="38"/>
      <c r="N56" s="41">
        <v>7532379.6900000004</v>
      </c>
      <c r="O56" s="38">
        <v>0</v>
      </c>
      <c r="P56" s="27">
        <v>0</v>
      </c>
      <c r="Q56" s="27">
        <v>0</v>
      </c>
      <c r="R56" s="27" t="e">
        <v>#DIV/0!</v>
      </c>
      <c r="S56" s="38" t="e">
        <v>#DIV/0!</v>
      </c>
      <c r="T56" s="38" t="e">
        <v>#DIV/0!</v>
      </c>
      <c r="U56" s="38">
        <v>0</v>
      </c>
      <c r="V56" s="38">
        <v>0</v>
      </c>
      <c r="W56" s="38">
        <v>0</v>
      </c>
      <c r="X56" s="38">
        <v>0</v>
      </c>
      <c r="Y56" s="38"/>
      <c r="Z56" s="38" t="e">
        <v>#DIV/0!</v>
      </c>
      <c r="AA56" s="38"/>
      <c r="AB56" s="38" t="e">
        <v>#DIV/0!</v>
      </c>
      <c r="AC56" s="38" t="e">
        <v>#DIV/0!</v>
      </c>
      <c r="AD56" s="38" t="e">
        <v>#DIV/0!</v>
      </c>
      <c r="AE56" s="33">
        <v>45382</v>
      </c>
      <c r="AF56" s="33"/>
      <c r="AG56" s="33"/>
      <c r="AH56" s="33"/>
      <c r="AI56" s="33"/>
      <c r="AJ56" s="42"/>
      <c r="AK56" s="37"/>
      <c r="AL56" s="37"/>
      <c r="AM56" s="37"/>
      <c r="AN56" s="37"/>
      <c r="AO56" s="43"/>
      <c r="AP56" s="35"/>
      <c r="AQ56" s="35"/>
      <c r="AR56" s="44"/>
      <c r="AS56" s="37" t="s">
        <v>485</v>
      </c>
    </row>
    <row r="57" spans="1:45" ht="58.5" customHeight="1" x14ac:dyDescent="0.25">
      <c r="A57" s="32" t="s">
        <v>1822</v>
      </c>
      <c r="B57" s="56">
        <v>45320</v>
      </c>
      <c r="C57" s="37" t="s">
        <v>486</v>
      </c>
      <c r="D57" s="36" t="s">
        <v>1823</v>
      </c>
      <c r="E57" s="1" t="s">
        <v>1824</v>
      </c>
      <c r="F57" s="33">
        <v>45342</v>
      </c>
      <c r="G57" s="35" t="s">
        <v>1825</v>
      </c>
      <c r="H57" s="37" t="s">
        <v>138</v>
      </c>
      <c r="I57" s="37" t="s">
        <v>1826</v>
      </c>
      <c r="J57" s="57">
        <v>71990384.400000006</v>
      </c>
      <c r="K57" s="40">
        <v>0</v>
      </c>
      <c r="L57" s="41">
        <v>0</v>
      </c>
      <c r="M57" s="38">
        <v>71990384.400000006</v>
      </c>
      <c r="N57" s="41">
        <v>0</v>
      </c>
      <c r="O57" s="38">
        <v>71990384.400000006</v>
      </c>
      <c r="P57" s="27">
        <v>71990384.400000006</v>
      </c>
      <c r="Q57" s="27">
        <v>71990384.400000006</v>
      </c>
      <c r="R57" s="27">
        <v>387.42</v>
      </c>
      <c r="S57" s="38">
        <v>387.42</v>
      </c>
      <c r="T57" s="38">
        <v>11622.6</v>
      </c>
      <c r="U57" s="38">
        <v>185820</v>
      </c>
      <c r="V57" s="38">
        <v>185820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6194</v>
      </c>
      <c r="AD57" s="38">
        <v>6194</v>
      </c>
      <c r="AE57" s="33">
        <v>45383</v>
      </c>
      <c r="AF57" s="33"/>
      <c r="AG57" s="33"/>
      <c r="AH57" s="33">
        <v>45413</v>
      </c>
      <c r="AI57" s="33"/>
      <c r="AJ57" s="42"/>
      <c r="AK57" s="37" t="s">
        <v>1827</v>
      </c>
      <c r="AL57" s="37" t="s">
        <v>1828</v>
      </c>
      <c r="AM57" s="37" t="s">
        <v>1829</v>
      </c>
      <c r="AN57" s="37" t="s">
        <v>143</v>
      </c>
      <c r="AO57" s="43">
        <v>0</v>
      </c>
      <c r="AP57" s="35">
        <v>100</v>
      </c>
      <c r="AQ57" s="35" t="s">
        <v>441</v>
      </c>
      <c r="AR57" s="44">
        <v>30</v>
      </c>
      <c r="AS57" s="37" t="s">
        <v>52</v>
      </c>
    </row>
    <row r="58" spans="1:45" ht="48.75" customHeight="1" x14ac:dyDescent="0.25">
      <c r="A58" s="32" t="s">
        <v>1834</v>
      </c>
      <c r="B58" s="56">
        <v>45320</v>
      </c>
      <c r="C58" s="37" t="s">
        <v>486</v>
      </c>
      <c r="D58" s="35" t="s">
        <v>485</v>
      </c>
      <c r="E58" s="1" t="s">
        <v>1835</v>
      </c>
      <c r="F58" s="35" t="s">
        <v>485</v>
      </c>
      <c r="G58" s="35" t="s">
        <v>485</v>
      </c>
      <c r="H58" s="35" t="s">
        <v>485</v>
      </c>
      <c r="I58" s="37" t="s">
        <v>1836</v>
      </c>
      <c r="J58" s="57">
        <v>1051214.3999999999</v>
      </c>
      <c r="K58" s="40">
        <v>100</v>
      </c>
      <c r="L58" s="41">
        <v>1051214.3999999999</v>
      </c>
      <c r="M58" s="38"/>
      <c r="N58" s="41">
        <v>1051214.3999999999</v>
      </c>
      <c r="O58" s="38">
        <v>0</v>
      </c>
      <c r="P58" s="27">
        <v>0</v>
      </c>
      <c r="Q58" s="27">
        <v>0</v>
      </c>
      <c r="R58" s="27">
        <v>0.37</v>
      </c>
      <c r="S58" s="38">
        <v>0</v>
      </c>
      <c r="T58" s="38">
        <v>0</v>
      </c>
      <c r="U58" s="38">
        <v>2841120</v>
      </c>
      <c r="V58" s="38">
        <v>2841120</v>
      </c>
      <c r="W58" s="38">
        <v>0</v>
      </c>
      <c r="X58" s="38">
        <v>0</v>
      </c>
      <c r="Y58" s="38"/>
      <c r="Z58" s="38">
        <v>0</v>
      </c>
      <c r="AA58" s="38"/>
      <c r="AB58" s="38">
        <v>0</v>
      </c>
      <c r="AC58" s="38" t="e">
        <v>#DIV/0!</v>
      </c>
      <c r="AD58" s="38" t="e">
        <v>#DIV/0!</v>
      </c>
      <c r="AE58" s="33">
        <v>45366</v>
      </c>
      <c r="AF58" s="33"/>
      <c r="AG58" s="33"/>
      <c r="AH58" s="33"/>
      <c r="AI58" s="33"/>
      <c r="AJ58" s="42"/>
      <c r="AK58" s="37"/>
      <c r="AL58" s="37"/>
      <c r="AM58" s="37"/>
      <c r="AN58" s="37"/>
      <c r="AO58" s="43"/>
      <c r="AP58" s="35"/>
      <c r="AQ58" s="35"/>
      <c r="AR58" s="44"/>
      <c r="AS58" s="37" t="s">
        <v>485</v>
      </c>
    </row>
    <row r="59" spans="1:45" ht="48.75" customHeight="1" x14ac:dyDescent="0.25">
      <c r="A59" s="32" t="s">
        <v>1837</v>
      </c>
      <c r="B59" s="56">
        <v>45320</v>
      </c>
      <c r="C59" s="37" t="s">
        <v>486</v>
      </c>
      <c r="D59" s="35" t="s">
        <v>485</v>
      </c>
      <c r="E59" s="1" t="s">
        <v>1835</v>
      </c>
      <c r="F59" s="35" t="s">
        <v>485</v>
      </c>
      <c r="G59" s="35" t="s">
        <v>485</v>
      </c>
      <c r="H59" s="35" t="s">
        <v>485</v>
      </c>
      <c r="I59" s="37" t="s">
        <v>1838</v>
      </c>
      <c r="J59" s="57">
        <v>62318490</v>
      </c>
      <c r="K59" s="40">
        <v>100</v>
      </c>
      <c r="L59" s="41">
        <v>62318490</v>
      </c>
      <c r="M59" s="38"/>
      <c r="N59" s="41">
        <v>62318490</v>
      </c>
      <c r="O59" s="38">
        <v>0</v>
      </c>
      <c r="P59" s="27">
        <v>0</v>
      </c>
      <c r="Q59" s="27">
        <v>0</v>
      </c>
      <c r="R59" s="27">
        <v>6.5</v>
      </c>
      <c r="S59" s="38">
        <v>0</v>
      </c>
      <c r="T59" s="38">
        <v>0</v>
      </c>
      <c r="U59" s="38">
        <v>9587460</v>
      </c>
      <c r="V59" s="38">
        <v>9587460</v>
      </c>
      <c r="W59" s="38">
        <v>0</v>
      </c>
      <c r="X59" s="38">
        <v>0</v>
      </c>
      <c r="Y59" s="38"/>
      <c r="Z59" s="38">
        <v>0</v>
      </c>
      <c r="AA59" s="38"/>
      <c r="AB59" s="38">
        <v>0</v>
      </c>
      <c r="AC59" s="38" t="e">
        <v>#DIV/0!</v>
      </c>
      <c r="AD59" s="38" t="e">
        <v>#DIV/0!</v>
      </c>
      <c r="AE59" s="33">
        <v>45383</v>
      </c>
      <c r="AF59" s="33"/>
      <c r="AG59" s="33"/>
      <c r="AH59" s="33"/>
      <c r="AI59" s="33"/>
      <c r="AJ59" s="42"/>
      <c r="AK59" s="37"/>
      <c r="AL59" s="37"/>
      <c r="AM59" s="37"/>
      <c r="AN59" s="37"/>
      <c r="AO59" s="43"/>
      <c r="AP59" s="35"/>
      <c r="AQ59" s="35"/>
      <c r="AR59" s="44"/>
      <c r="AS59" s="37" t="s">
        <v>485</v>
      </c>
    </row>
    <row r="60" spans="1:45" ht="48.75" customHeight="1" x14ac:dyDescent="0.25">
      <c r="A60" s="32" t="s">
        <v>1852</v>
      </c>
      <c r="B60" s="56">
        <v>45320</v>
      </c>
      <c r="C60" s="37" t="s">
        <v>486</v>
      </c>
      <c r="D60" s="35" t="s">
        <v>485</v>
      </c>
      <c r="E60" s="1" t="s">
        <v>1853</v>
      </c>
      <c r="F60" s="35" t="s">
        <v>485</v>
      </c>
      <c r="G60" s="35" t="s">
        <v>485</v>
      </c>
      <c r="H60" s="35" t="s">
        <v>485</v>
      </c>
      <c r="I60" s="37" t="s">
        <v>1854</v>
      </c>
      <c r="J60" s="57">
        <v>4590227.4000000004</v>
      </c>
      <c r="K60" s="40">
        <v>100</v>
      </c>
      <c r="L60" s="41">
        <v>4590227.4000000004</v>
      </c>
      <c r="M60" s="38"/>
      <c r="N60" s="41">
        <v>4590227.4000000004</v>
      </c>
      <c r="O60" s="38">
        <v>0</v>
      </c>
      <c r="P60" s="27">
        <v>0</v>
      </c>
      <c r="Q60" s="27">
        <v>0</v>
      </c>
      <c r="R60" s="27">
        <v>45477</v>
      </c>
      <c r="S60" s="38">
        <v>0</v>
      </c>
      <c r="T60" s="38">
        <v>0</v>
      </c>
      <c r="U60" s="38">
        <v>1127820</v>
      </c>
      <c r="V60" s="38">
        <v>1127820</v>
      </c>
      <c r="W60" s="38">
        <v>0</v>
      </c>
      <c r="X60" s="38">
        <v>0</v>
      </c>
      <c r="Y60" s="38"/>
      <c r="Z60" s="38">
        <v>0</v>
      </c>
      <c r="AA60" s="38"/>
      <c r="AB60" s="38">
        <v>0</v>
      </c>
      <c r="AC60" s="38" t="e">
        <v>#DIV/0!</v>
      </c>
      <c r="AD60" s="38" t="e">
        <v>#DIV/0!</v>
      </c>
      <c r="AE60" s="33">
        <v>45383</v>
      </c>
      <c r="AF60" s="33"/>
      <c r="AG60" s="33"/>
      <c r="AH60" s="33"/>
      <c r="AI60" s="33"/>
      <c r="AJ60" s="42"/>
      <c r="AK60" s="37"/>
      <c r="AL60" s="37"/>
      <c r="AM60" s="37"/>
      <c r="AN60" s="37"/>
      <c r="AO60" s="43"/>
      <c r="AP60" s="35"/>
      <c r="AQ60" s="35"/>
      <c r="AR60" s="44"/>
      <c r="AS60" s="37" t="s">
        <v>485</v>
      </c>
    </row>
    <row r="61" spans="1:45" ht="48" customHeight="1" x14ac:dyDescent="0.25">
      <c r="A61" s="32" t="s">
        <v>1884</v>
      </c>
      <c r="B61" s="56">
        <v>45322</v>
      </c>
      <c r="C61" s="37" t="s">
        <v>486</v>
      </c>
      <c r="D61" s="35" t="s">
        <v>485</v>
      </c>
      <c r="E61" s="1" t="s">
        <v>1885</v>
      </c>
      <c r="F61" s="35" t="s">
        <v>485</v>
      </c>
      <c r="G61" s="35" t="s">
        <v>485</v>
      </c>
      <c r="H61" s="35" t="s">
        <v>485</v>
      </c>
      <c r="I61" s="59" t="s">
        <v>1311</v>
      </c>
      <c r="J61" s="57">
        <v>2935272</v>
      </c>
      <c r="K61" s="40">
        <v>100</v>
      </c>
      <c r="L61" s="41">
        <v>2935272</v>
      </c>
      <c r="M61" s="38"/>
      <c r="N61" s="41">
        <v>2935272</v>
      </c>
      <c r="O61" s="38">
        <v>0</v>
      </c>
      <c r="P61" s="27">
        <v>0</v>
      </c>
      <c r="Q61" s="27">
        <v>0</v>
      </c>
      <c r="R61" s="27">
        <v>64.37</v>
      </c>
      <c r="S61" s="38">
        <v>0</v>
      </c>
      <c r="T61" s="38">
        <v>0</v>
      </c>
      <c r="U61" s="38">
        <v>45600</v>
      </c>
      <c r="V61" s="38">
        <v>45600</v>
      </c>
      <c r="W61" s="38">
        <v>0</v>
      </c>
      <c r="X61" s="38">
        <v>0</v>
      </c>
      <c r="Y61" s="38"/>
      <c r="Z61" s="38">
        <v>0</v>
      </c>
      <c r="AA61" s="38"/>
      <c r="AB61" s="38">
        <v>0</v>
      </c>
      <c r="AC61" s="38" t="e">
        <v>#DIV/0!</v>
      </c>
      <c r="AD61" s="38" t="e">
        <v>#DIV/0!</v>
      </c>
      <c r="AE61" s="33">
        <v>45505</v>
      </c>
      <c r="AF61" s="33"/>
      <c r="AG61" s="33"/>
      <c r="AH61" s="33"/>
      <c r="AI61" s="33"/>
      <c r="AJ61" s="42"/>
      <c r="AK61" s="37"/>
      <c r="AL61" s="37"/>
      <c r="AM61" s="37"/>
      <c r="AN61" s="37"/>
      <c r="AO61" s="43"/>
      <c r="AP61" s="35"/>
      <c r="AQ61" s="35"/>
      <c r="AR61" s="44"/>
      <c r="AS61" s="37" t="s">
        <v>485</v>
      </c>
    </row>
    <row r="62" spans="1:45" ht="48" customHeight="1" x14ac:dyDescent="0.25">
      <c r="A62" s="32" t="s">
        <v>1886</v>
      </c>
      <c r="B62" s="56">
        <v>45322</v>
      </c>
      <c r="C62" s="37" t="s">
        <v>486</v>
      </c>
      <c r="D62" s="36"/>
      <c r="E62" s="1" t="s">
        <v>1887</v>
      </c>
      <c r="F62" s="33">
        <v>45352</v>
      </c>
      <c r="G62" s="35" t="s">
        <v>1888</v>
      </c>
      <c r="H62" s="37" t="s">
        <v>291</v>
      </c>
      <c r="I62" s="58" t="s">
        <v>1889</v>
      </c>
      <c r="J62" s="57">
        <v>2261169228.5999999</v>
      </c>
      <c r="K62" s="40">
        <v>0</v>
      </c>
      <c r="L62" s="41">
        <v>0</v>
      </c>
      <c r="M62" s="57">
        <v>2261169228.5999999</v>
      </c>
      <c r="N62" s="41">
        <v>0</v>
      </c>
      <c r="O62" s="57">
        <v>2261169228.5999999</v>
      </c>
      <c r="P62" s="27">
        <v>2261169228.5999999</v>
      </c>
      <c r="Q62" s="27">
        <v>2261169228.5999999</v>
      </c>
      <c r="R62" s="27">
        <v>206.94</v>
      </c>
      <c r="S62" s="38">
        <v>206.94</v>
      </c>
      <c r="T62" s="38">
        <v>12416.4</v>
      </c>
      <c r="U62" s="38">
        <v>10926690</v>
      </c>
      <c r="V62" s="38">
        <v>10926690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182111.5</v>
      </c>
      <c r="AD62" s="38">
        <v>182112</v>
      </c>
      <c r="AE62" s="33">
        <v>45383</v>
      </c>
      <c r="AF62" s="33"/>
      <c r="AG62" s="33"/>
      <c r="AH62" s="33">
        <v>45413</v>
      </c>
      <c r="AI62" s="33"/>
      <c r="AJ62" s="42"/>
      <c r="AK62" s="37" t="s">
        <v>1890</v>
      </c>
      <c r="AL62" s="37" t="s">
        <v>1891</v>
      </c>
      <c r="AM62" s="37" t="s">
        <v>1892</v>
      </c>
      <c r="AN62" s="37" t="s">
        <v>50</v>
      </c>
      <c r="AO62" s="43">
        <v>100</v>
      </c>
      <c r="AP62" s="35">
        <v>0</v>
      </c>
      <c r="AQ62" s="35" t="s">
        <v>441</v>
      </c>
      <c r="AR62" s="44">
        <v>60</v>
      </c>
      <c r="AS62" s="37" t="s">
        <v>52</v>
      </c>
    </row>
    <row r="63" spans="1:45" ht="48" customHeight="1" x14ac:dyDescent="0.25">
      <c r="A63" s="32" t="s">
        <v>1937</v>
      </c>
      <c r="B63" s="56">
        <v>45323</v>
      </c>
      <c r="C63" s="37" t="s">
        <v>486</v>
      </c>
      <c r="D63" s="36"/>
      <c r="E63" s="1" t="s">
        <v>1938</v>
      </c>
      <c r="F63" s="33">
        <v>45352</v>
      </c>
      <c r="G63" s="35" t="s">
        <v>1939</v>
      </c>
      <c r="H63" s="37" t="s">
        <v>219</v>
      </c>
      <c r="I63" s="59" t="s">
        <v>1940</v>
      </c>
      <c r="J63" s="57">
        <v>2453204734.1999998</v>
      </c>
      <c r="K63" s="40">
        <v>0</v>
      </c>
      <c r="L63" s="41">
        <v>0</v>
      </c>
      <c r="M63" s="38">
        <v>2453204734.1999998</v>
      </c>
      <c r="N63" s="41">
        <v>0</v>
      </c>
      <c r="O63" s="38">
        <v>2453204734.1999998</v>
      </c>
      <c r="P63" s="27">
        <v>2453204734.1999998</v>
      </c>
      <c r="Q63" s="27">
        <v>2453204734.1999998</v>
      </c>
      <c r="R63" s="27">
        <v>183.31</v>
      </c>
      <c r="S63" s="38">
        <v>183.30999999999997</v>
      </c>
      <c r="T63" s="38">
        <v>5499.2999999999993</v>
      </c>
      <c r="U63" s="38">
        <v>13382820</v>
      </c>
      <c r="V63" s="38">
        <v>13382820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446094</v>
      </c>
      <c r="AD63" s="38">
        <v>446094</v>
      </c>
      <c r="AE63" s="33">
        <v>45397</v>
      </c>
      <c r="AF63" s="33"/>
      <c r="AG63" s="33"/>
      <c r="AH63" s="33">
        <v>45427</v>
      </c>
      <c r="AI63" s="33"/>
      <c r="AJ63" s="42"/>
      <c r="AK63" s="37" t="s">
        <v>1941</v>
      </c>
      <c r="AL63" s="37" t="s">
        <v>1942</v>
      </c>
      <c r="AM63" s="37" t="s">
        <v>1943</v>
      </c>
      <c r="AN63" s="37" t="s">
        <v>50</v>
      </c>
      <c r="AO63" s="43">
        <v>100</v>
      </c>
      <c r="AP63" s="35">
        <v>0</v>
      </c>
      <c r="AQ63" s="35" t="s">
        <v>441</v>
      </c>
      <c r="AR63" s="44">
        <v>30</v>
      </c>
      <c r="AS63" s="37" t="s">
        <v>52</v>
      </c>
    </row>
    <row r="64" spans="1:45" ht="39" customHeight="1" x14ac:dyDescent="0.25">
      <c r="A64" s="32" t="s">
        <v>2065</v>
      </c>
      <c r="B64" s="56">
        <v>45328</v>
      </c>
      <c r="C64" s="37" t="s">
        <v>2066</v>
      </c>
      <c r="D64" s="35" t="s">
        <v>485</v>
      </c>
      <c r="E64" s="1" t="s">
        <v>2067</v>
      </c>
      <c r="F64" s="35" t="s">
        <v>485</v>
      </c>
      <c r="G64" s="35" t="s">
        <v>485</v>
      </c>
      <c r="H64" s="35" t="s">
        <v>485</v>
      </c>
      <c r="I64" s="60" t="s">
        <v>2068</v>
      </c>
      <c r="J64" s="61">
        <v>9820.7999999999993</v>
      </c>
      <c r="K64" s="40">
        <v>100</v>
      </c>
      <c r="L64" s="41">
        <v>9820.7999999999993</v>
      </c>
      <c r="M64" s="38"/>
      <c r="N64" s="41">
        <v>9820.7999999999993</v>
      </c>
      <c r="O64" s="38">
        <v>0</v>
      </c>
      <c r="P64" s="27">
        <v>0</v>
      </c>
      <c r="Q64" s="27">
        <v>0</v>
      </c>
      <c r="R64" s="27" t="e">
        <v>#DIV/0!</v>
      </c>
      <c r="S64" s="38" t="e">
        <v>#DIV/0!</v>
      </c>
      <c r="T64" s="38" t="e">
        <v>#DIV/0!</v>
      </c>
      <c r="U64" s="38">
        <v>0</v>
      </c>
      <c r="V64" s="38">
        <v>0</v>
      </c>
      <c r="W64" s="38">
        <v>0</v>
      </c>
      <c r="X64" s="38">
        <v>0</v>
      </c>
      <c r="Y64" s="38"/>
      <c r="Z64" s="38" t="e">
        <v>#DIV/0!</v>
      </c>
      <c r="AA64" s="38"/>
      <c r="AB64" s="38" t="e">
        <v>#DIV/0!</v>
      </c>
      <c r="AC64" s="38" t="e">
        <v>#DIV/0!</v>
      </c>
      <c r="AD64" s="38" t="e">
        <v>#DIV/0!</v>
      </c>
      <c r="AE64" s="33">
        <v>45397</v>
      </c>
      <c r="AF64" s="33"/>
      <c r="AG64" s="33"/>
      <c r="AH64" s="33"/>
      <c r="AI64" s="33"/>
      <c r="AJ64" s="42"/>
      <c r="AK64" s="37"/>
      <c r="AL64" s="37"/>
      <c r="AM64" s="37"/>
      <c r="AN64" s="37"/>
      <c r="AO64" s="43"/>
      <c r="AP64" s="35"/>
      <c r="AQ64" s="35"/>
      <c r="AR64" s="44"/>
      <c r="AS64" s="37" t="s">
        <v>485</v>
      </c>
    </row>
    <row r="65" spans="1:45" ht="39" customHeight="1" x14ac:dyDescent="0.25">
      <c r="A65" s="32" t="s">
        <v>2076</v>
      </c>
      <c r="B65" s="56">
        <v>45329</v>
      </c>
      <c r="C65" s="37" t="s">
        <v>2066</v>
      </c>
      <c r="D65" s="36" t="s">
        <v>2077</v>
      </c>
      <c r="E65" s="1" t="s">
        <v>2078</v>
      </c>
      <c r="F65" s="33">
        <v>45341</v>
      </c>
      <c r="G65" s="35" t="s">
        <v>2079</v>
      </c>
      <c r="H65" s="54" t="s">
        <v>2080</v>
      </c>
      <c r="I65" s="58" t="s">
        <v>1615</v>
      </c>
      <c r="J65" s="57">
        <v>2434080</v>
      </c>
      <c r="K65" s="40">
        <v>14.099783080260304</v>
      </c>
      <c r="L65" s="41">
        <v>343200</v>
      </c>
      <c r="M65" s="38">
        <v>2090880</v>
      </c>
      <c r="N65" s="41">
        <v>343200</v>
      </c>
      <c r="O65" s="38">
        <v>2090880</v>
      </c>
      <c r="P65" s="27">
        <v>2090880</v>
      </c>
      <c r="Q65" s="27">
        <v>2090880</v>
      </c>
      <c r="R65" s="27">
        <v>19.8</v>
      </c>
      <c r="S65" s="38">
        <v>19.8</v>
      </c>
      <c r="T65" s="38">
        <v>990</v>
      </c>
      <c r="U65" s="38">
        <v>105600</v>
      </c>
      <c r="V65" s="38">
        <v>105600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2112</v>
      </c>
      <c r="AD65" s="38">
        <v>2112</v>
      </c>
      <c r="AE65" s="33">
        <v>45397</v>
      </c>
      <c r="AF65" s="33"/>
      <c r="AG65" s="33"/>
      <c r="AH65" s="33">
        <v>45427</v>
      </c>
      <c r="AI65" s="33"/>
      <c r="AJ65" s="42"/>
      <c r="AK65" s="37" t="s">
        <v>2081</v>
      </c>
      <c r="AL65" s="37" t="s">
        <v>2082</v>
      </c>
      <c r="AM65" s="37" t="s">
        <v>2083</v>
      </c>
      <c r="AN65" s="37" t="s">
        <v>50</v>
      </c>
      <c r="AO65" s="43">
        <v>100</v>
      </c>
      <c r="AP65" s="35">
        <v>0</v>
      </c>
      <c r="AQ65" s="35" t="s">
        <v>441</v>
      </c>
      <c r="AR65" s="44">
        <v>50</v>
      </c>
      <c r="AS65" s="37" t="s">
        <v>52</v>
      </c>
    </row>
    <row r="66" spans="1:45" ht="39" customHeight="1" x14ac:dyDescent="0.25">
      <c r="A66" s="32" t="s">
        <v>2084</v>
      </c>
      <c r="B66" s="56">
        <v>45329</v>
      </c>
      <c r="C66" s="37" t="s">
        <v>2066</v>
      </c>
      <c r="D66" s="35" t="s">
        <v>485</v>
      </c>
      <c r="E66" s="1" t="s">
        <v>2085</v>
      </c>
      <c r="F66" s="35" t="s">
        <v>485</v>
      </c>
      <c r="G66" s="35" t="s">
        <v>485</v>
      </c>
      <c r="H66" s="35" t="s">
        <v>485</v>
      </c>
      <c r="I66" s="58" t="s">
        <v>1753</v>
      </c>
      <c r="J66" s="57">
        <v>4644</v>
      </c>
      <c r="K66" s="40">
        <v>100</v>
      </c>
      <c r="L66" s="41">
        <v>4644</v>
      </c>
      <c r="M66" s="38"/>
      <c r="N66" s="41">
        <v>4644</v>
      </c>
      <c r="O66" s="38">
        <v>0</v>
      </c>
      <c r="P66" s="27">
        <v>0</v>
      </c>
      <c r="Q66" s="27">
        <v>0</v>
      </c>
      <c r="R66" s="27" t="e">
        <v>#DIV/0!</v>
      </c>
      <c r="S66" s="38" t="e">
        <v>#DIV/0!</v>
      </c>
      <c r="T66" s="38" t="e">
        <v>#DIV/0!</v>
      </c>
      <c r="U66" s="38">
        <v>0</v>
      </c>
      <c r="V66" s="38">
        <v>0</v>
      </c>
      <c r="W66" s="38">
        <v>0</v>
      </c>
      <c r="X66" s="38">
        <v>0</v>
      </c>
      <c r="Y66" s="38"/>
      <c r="Z66" s="38" t="e">
        <v>#DIV/0!</v>
      </c>
      <c r="AA66" s="38"/>
      <c r="AB66" s="38" t="e">
        <v>#DIV/0!</v>
      </c>
      <c r="AC66" s="38" t="e">
        <v>#DIV/0!</v>
      </c>
      <c r="AD66" s="38" t="e">
        <v>#DIV/0!</v>
      </c>
      <c r="AE66" s="33">
        <v>45397</v>
      </c>
      <c r="AF66" s="33"/>
      <c r="AG66" s="33"/>
      <c r="AH66" s="33"/>
      <c r="AI66" s="33"/>
      <c r="AJ66" s="42"/>
      <c r="AK66" s="37"/>
      <c r="AL66" s="37"/>
      <c r="AM66" s="37"/>
      <c r="AN66" s="37"/>
      <c r="AO66" s="43"/>
      <c r="AP66" s="35"/>
      <c r="AQ66" s="35"/>
      <c r="AR66" s="44"/>
      <c r="AS66" s="37"/>
    </row>
    <row r="67" spans="1:45" ht="39" customHeight="1" x14ac:dyDescent="0.25">
      <c r="A67" s="32" t="s">
        <v>2097</v>
      </c>
      <c r="B67" s="56">
        <v>45329</v>
      </c>
      <c r="C67" s="37" t="s">
        <v>2066</v>
      </c>
      <c r="D67" s="35" t="s">
        <v>485</v>
      </c>
      <c r="E67" s="1" t="s">
        <v>2098</v>
      </c>
      <c r="F67" s="35" t="s">
        <v>485</v>
      </c>
      <c r="G67" s="35" t="s">
        <v>485</v>
      </c>
      <c r="H67" s="35" t="s">
        <v>485</v>
      </c>
      <c r="I67" s="59" t="s">
        <v>545</v>
      </c>
      <c r="J67" s="57">
        <v>18191.7</v>
      </c>
      <c r="K67" s="40">
        <v>100</v>
      </c>
      <c r="L67" s="41">
        <v>18191.7</v>
      </c>
      <c r="M67" s="38"/>
      <c r="N67" s="41">
        <v>18191.7</v>
      </c>
      <c r="O67" s="38">
        <v>0</v>
      </c>
      <c r="P67" s="27">
        <v>0</v>
      </c>
      <c r="Q67" s="27">
        <v>0</v>
      </c>
      <c r="R67" s="27" t="e">
        <v>#DIV/0!</v>
      </c>
      <c r="S67" s="38" t="e">
        <v>#DIV/0!</v>
      </c>
      <c r="T67" s="38" t="e">
        <v>#DIV/0!</v>
      </c>
      <c r="U67" s="38">
        <v>0</v>
      </c>
      <c r="V67" s="38">
        <v>0</v>
      </c>
      <c r="W67" s="38">
        <v>0</v>
      </c>
      <c r="X67" s="38">
        <v>0</v>
      </c>
      <c r="Y67" s="38"/>
      <c r="Z67" s="38" t="e">
        <v>#DIV/0!</v>
      </c>
      <c r="AA67" s="38"/>
      <c r="AB67" s="38" t="e">
        <v>#DIV/0!</v>
      </c>
      <c r="AC67" s="38" t="e">
        <v>#DIV/0!</v>
      </c>
      <c r="AD67" s="38" t="e">
        <v>#DIV/0!</v>
      </c>
      <c r="AE67" s="33">
        <v>45397</v>
      </c>
      <c r="AF67" s="33"/>
      <c r="AG67" s="33"/>
      <c r="AH67" s="33"/>
      <c r="AI67" s="33"/>
      <c r="AJ67" s="42"/>
      <c r="AK67" s="37"/>
      <c r="AL67" s="37"/>
      <c r="AM67" s="37"/>
      <c r="AN67" s="37"/>
      <c r="AO67" s="43"/>
      <c r="AP67" s="35"/>
      <c r="AQ67" s="35"/>
      <c r="AR67" s="44"/>
      <c r="AS67" s="37" t="s">
        <v>485</v>
      </c>
    </row>
    <row r="68" spans="1:45" ht="39" customHeight="1" x14ac:dyDescent="0.25">
      <c r="A68" s="32" t="s">
        <v>2102</v>
      </c>
      <c r="B68" s="56">
        <v>45329</v>
      </c>
      <c r="C68" s="37" t="s">
        <v>2066</v>
      </c>
      <c r="D68" s="35" t="s">
        <v>485</v>
      </c>
      <c r="E68" s="1" t="s">
        <v>2103</v>
      </c>
      <c r="F68" s="35" t="s">
        <v>485</v>
      </c>
      <c r="G68" s="35" t="s">
        <v>485</v>
      </c>
      <c r="H68" s="35" t="s">
        <v>485</v>
      </c>
      <c r="I68" s="58" t="s">
        <v>1662</v>
      </c>
      <c r="J68" s="57">
        <v>80173.8</v>
      </c>
      <c r="K68" s="40">
        <v>100</v>
      </c>
      <c r="L68" s="41">
        <v>80173.8</v>
      </c>
      <c r="M68" s="38"/>
      <c r="N68" s="41">
        <v>80173.8</v>
      </c>
      <c r="O68" s="38">
        <v>0</v>
      </c>
      <c r="P68" s="27">
        <v>0</v>
      </c>
      <c r="Q68" s="27">
        <v>0</v>
      </c>
      <c r="R68" s="27" t="e">
        <v>#DIV/0!</v>
      </c>
      <c r="S68" s="38" t="e">
        <v>#DIV/0!</v>
      </c>
      <c r="T68" s="38" t="e">
        <v>#DIV/0!</v>
      </c>
      <c r="U68" s="38">
        <v>0</v>
      </c>
      <c r="V68" s="38">
        <v>0</v>
      </c>
      <c r="W68" s="38">
        <v>0</v>
      </c>
      <c r="X68" s="38">
        <v>0</v>
      </c>
      <c r="Y68" s="38"/>
      <c r="Z68" s="38" t="e">
        <v>#DIV/0!</v>
      </c>
      <c r="AA68" s="38"/>
      <c r="AB68" s="38" t="e">
        <v>#DIV/0!</v>
      </c>
      <c r="AC68" s="38" t="e">
        <v>#DIV/0!</v>
      </c>
      <c r="AD68" s="38" t="e">
        <v>#DIV/0!</v>
      </c>
      <c r="AE68" s="33">
        <v>45444</v>
      </c>
      <c r="AF68" s="33"/>
      <c r="AG68" s="33"/>
      <c r="AH68" s="33"/>
      <c r="AI68" s="33"/>
      <c r="AJ68" s="42"/>
      <c r="AK68" s="37"/>
      <c r="AL68" s="37"/>
      <c r="AM68" s="37"/>
      <c r="AN68" s="37"/>
      <c r="AO68" s="43"/>
      <c r="AP68" s="35"/>
      <c r="AQ68" s="35"/>
      <c r="AR68" s="44"/>
      <c r="AS68" s="37" t="s">
        <v>485</v>
      </c>
    </row>
    <row r="69" spans="1:45" ht="39" customHeight="1" x14ac:dyDescent="0.25">
      <c r="A69" s="32" t="s">
        <v>2104</v>
      </c>
      <c r="B69" s="56">
        <v>45329</v>
      </c>
      <c r="C69" s="37" t="s">
        <v>2066</v>
      </c>
      <c r="D69" s="35" t="s">
        <v>485</v>
      </c>
      <c r="E69" s="1" t="s">
        <v>2105</v>
      </c>
      <c r="F69" s="35" t="s">
        <v>485</v>
      </c>
      <c r="G69" s="35" t="s">
        <v>485</v>
      </c>
      <c r="H69" s="35" t="s">
        <v>485</v>
      </c>
      <c r="I69" s="58" t="s">
        <v>1670</v>
      </c>
      <c r="J69" s="57">
        <v>4143700</v>
      </c>
      <c r="K69" s="40">
        <v>100</v>
      </c>
      <c r="L69" s="41">
        <v>4143700</v>
      </c>
      <c r="M69" s="38"/>
      <c r="N69" s="41">
        <v>4143700</v>
      </c>
      <c r="O69" s="38">
        <v>0</v>
      </c>
      <c r="P69" s="27">
        <v>0</v>
      </c>
      <c r="Q69" s="27">
        <v>0</v>
      </c>
      <c r="R69" s="27" t="e">
        <v>#DIV/0!</v>
      </c>
      <c r="S69" s="38" t="e">
        <v>#DIV/0!</v>
      </c>
      <c r="T69" s="38" t="e">
        <v>#DIV/0!</v>
      </c>
      <c r="U69" s="38">
        <v>0</v>
      </c>
      <c r="V69" s="38">
        <v>0</v>
      </c>
      <c r="W69" s="38">
        <v>0</v>
      </c>
      <c r="X69" s="38">
        <v>0</v>
      </c>
      <c r="Y69" s="38"/>
      <c r="Z69" s="38" t="e">
        <v>#DIV/0!</v>
      </c>
      <c r="AA69" s="38"/>
      <c r="AB69" s="38" t="e">
        <v>#DIV/0!</v>
      </c>
      <c r="AC69" s="38" t="e">
        <v>#DIV/0!</v>
      </c>
      <c r="AD69" s="38" t="e">
        <v>#DIV/0!</v>
      </c>
      <c r="AE69" s="33">
        <v>45474</v>
      </c>
      <c r="AF69" s="33"/>
      <c r="AG69" s="33"/>
      <c r="AH69" s="33"/>
      <c r="AI69" s="33"/>
      <c r="AJ69" s="42"/>
      <c r="AK69" s="37"/>
      <c r="AL69" s="37"/>
      <c r="AM69" s="37"/>
      <c r="AN69" s="37"/>
      <c r="AO69" s="43"/>
      <c r="AP69" s="35"/>
      <c r="AQ69" s="35"/>
      <c r="AR69" s="44"/>
      <c r="AS69" s="37" t="s">
        <v>485</v>
      </c>
    </row>
    <row r="70" spans="1:45" ht="39" customHeight="1" x14ac:dyDescent="0.25">
      <c r="A70" s="32" t="s">
        <v>2121</v>
      </c>
      <c r="B70" s="56">
        <v>45330</v>
      </c>
      <c r="C70" s="37" t="s">
        <v>2066</v>
      </c>
      <c r="D70" s="35" t="s">
        <v>485</v>
      </c>
      <c r="E70" s="1" t="s">
        <v>2122</v>
      </c>
      <c r="F70" s="35" t="s">
        <v>485</v>
      </c>
      <c r="G70" s="35" t="s">
        <v>485</v>
      </c>
      <c r="H70" s="35" t="s">
        <v>485</v>
      </c>
      <c r="I70" s="58" t="s">
        <v>508</v>
      </c>
      <c r="J70" s="57">
        <v>10444.200000000001</v>
      </c>
      <c r="K70" s="40">
        <v>100</v>
      </c>
      <c r="L70" s="41">
        <v>10444.200000000001</v>
      </c>
      <c r="M70" s="38"/>
      <c r="N70" s="41">
        <v>10444.200000000001</v>
      </c>
      <c r="O70" s="38">
        <v>0</v>
      </c>
      <c r="P70" s="27">
        <v>0</v>
      </c>
      <c r="Q70" s="27">
        <v>0</v>
      </c>
      <c r="R70" s="27" t="e">
        <v>#DIV/0!</v>
      </c>
      <c r="S70" s="38" t="e">
        <v>#DIV/0!</v>
      </c>
      <c r="T70" s="38" t="e">
        <v>#DIV/0!</v>
      </c>
      <c r="U70" s="38">
        <v>0</v>
      </c>
      <c r="V70" s="38">
        <v>0</v>
      </c>
      <c r="W70" s="38">
        <v>0</v>
      </c>
      <c r="X70" s="38">
        <v>0</v>
      </c>
      <c r="Y70" s="38"/>
      <c r="Z70" s="38" t="e">
        <v>#DIV/0!</v>
      </c>
      <c r="AA70" s="38"/>
      <c r="AB70" s="38" t="e">
        <v>#DIV/0!</v>
      </c>
      <c r="AC70" s="38" t="e">
        <v>#DIV/0!</v>
      </c>
      <c r="AD70" s="38" t="e">
        <v>#DIV/0!</v>
      </c>
      <c r="AE70" s="33">
        <v>45397</v>
      </c>
      <c r="AF70" s="33"/>
      <c r="AG70" s="33"/>
      <c r="AH70" s="33"/>
      <c r="AI70" s="33"/>
      <c r="AJ70" s="42"/>
      <c r="AK70" s="37"/>
      <c r="AL70" s="37"/>
      <c r="AM70" s="37"/>
      <c r="AN70" s="37"/>
      <c r="AO70" s="43"/>
      <c r="AP70" s="35"/>
      <c r="AQ70" s="35"/>
      <c r="AR70" s="44"/>
      <c r="AS70" s="37"/>
    </row>
    <row r="71" spans="1:45" ht="39" customHeight="1" x14ac:dyDescent="0.25">
      <c r="A71" s="32" t="s">
        <v>2126</v>
      </c>
      <c r="B71" s="56">
        <v>45330</v>
      </c>
      <c r="C71" s="37" t="s">
        <v>2066</v>
      </c>
      <c r="D71" s="35" t="s">
        <v>485</v>
      </c>
      <c r="E71" s="1" t="s">
        <v>2127</v>
      </c>
      <c r="F71" s="35" t="s">
        <v>485</v>
      </c>
      <c r="G71" s="35" t="s">
        <v>485</v>
      </c>
      <c r="H71" s="35" t="s">
        <v>485</v>
      </c>
      <c r="I71" s="59" t="s">
        <v>1784</v>
      </c>
      <c r="J71" s="57">
        <v>106913.4</v>
      </c>
      <c r="K71" s="40">
        <v>100</v>
      </c>
      <c r="L71" s="41">
        <v>106913.4</v>
      </c>
      <c r="M71" s="38"/>
      <c r="N71" s="41">
        <v>106913.4</v>
      </c>
      <c r="O71" s="38">
        <v>0</v>
      </c>
      <c r="P71" s="27">
        <v>0</v>
      </c>
      <c r="Q71" s="27">
        <v>0</v>
      </c>
      <c r="R71" s="27" t="e">
        <v>#DIV/0!</v>
      </c>
      <c r="S71" s="38" t="e">
        <v>#DIV/0!</v>
      </c>
      <c r="T71" s="38" t="e">
        <v>#DIV/0!</v>
      </c>
      <c r="U71" s="38">
        <v>0</v>
      </c>
      <c r="V71" s="38">
        <v>0</v>
      </c>
      <c r="W71" s="38">
        <v>0</v>
      </c>
      <c r="X71" s="38">
        <v>0</v>
      </c>
      <c r="Y71" s="38"/>
      <c r="Z71" s="38" t="e">
        <v>#DIV/0!</v>
      </c>
      <c r="AA71" s="38"/>
      <c r="AB71" s="38" t="e">
        <v>#DIV/0!</v>
      </c>
      <c r="AC71" s="38" t="e">
        <v>#DIV/0!</v>
      </c>
      <c r="AD71" s="38" t="e">
        <v>#DIV/0!</v>
      </c>
      <c r="AE71" s="33">
        <v>45397</v>
      </c>
      <c r="AF71" s="33"/>
      <c r="AG71" s="33"/>
      <c r="AH71" s="33"/>
      <c r="AI71" s="33"/>
      <c r="AJ71" s="42"/>
      <c r="AK71" s="37"/>
      <c r="AL71" s="37"/>
      <c r="AM71" s="37"/>
      <c r="AN71" s="37"/>
      <c r="AO71" s="43"/>
      <c r="AP71" s="35"/>
      <c r="AQ71" s="35"/>
      <c r="AR71" s="44"/>
      <c r="AS71" s="37" t="s">
        <v>485</v>
      </c>
    </row>
    <row r="72" spans="1:45" ht="39" customHeight="1" x14ac:dyDescent="0.25">
      <c r="A72" s="32" t="s">
        <v>2128</v>
      </c>
      <c r="B72" s="56">
        <v>45330</v>
      </c>
      <c r="C72" s="37" t="s">
        <v>2066</v>
      </c>
      <c r="D72" s="35" t="s">
        <v>485</v>
      </c>
      <c r="E72" s="1" t="s">
        <v>2129</v>
      </c>
      <c r="F72" s="35" t="s">
        <v>485</v>
      </c>
      <c r="G72" s="35" t="s">
        <v>485</v>
      </c>
      <c r="H72" s="35" t="s">
        <v>485</v>
      </c>
      <c r="I72" s="58" t="s">
        <v>1725</v>
      </c>
      <c r="J72" s="57">
        <v>28586.400000000001</v>
      </c>
      <c r="K72" s="40">
        <v>100</v>
      </c>
      <c r="L72" s="41">
        <v>28586.400000000001</v>
      </c>
      <c r="M72" s="38"/>
      <c r="N72" s="41">
        <v>28586.400000000001</v>
      </c>
      <c r="O72" s="38">
        <v>0</v>
      </c>
      <c r="P72" s="27">
        <v>0</v>
      </c>
      <c r="Q72" s="27">
        <v>0</v>
      </c>
      <c r="R72" s="27" t="e">
        <v>#DIV/0!</v>
      </c>
      <c r="S72" s="38" t="e">
        <v>#DIV/0!</v>
      </c>
      <c r="T72" s="38" t="e">
        <v>#DIV/0!</v>
      </c>
      <c r="U72" s="38">
        <v>0</v>
      </c>
      <c r="V72" s="38">
        <v>0</v>
      </c>
      <c r="W72" s="38">
        <v>0</v>
      </c>
      <c r="X72" s="38">
        <v>0</v>
      </c>
      <c r="Y72" s="38"/>
      <c r="Z72" s="38" t="e">
        <v>#DIV/0!</v>
      </c>
      <c r="AA72" s="38"/>
      <c r="AB72" s="38" t="e">
        <v>#DIV/0!</v>
      </c>
      <c r="AC72" s="38" t="e">
        <v>#DIV/0!</v>
      </c>
      <c r="AD72" s="38" t="e">
        <v>#DIV/0!</v>
      </c>
      <c r="AE72" s="33">
        <v>45397</v>
      </c>
      <c r="AF72" s="33"/>
      <c r="AG72" s="33"/>
      <c r="AH72" s="33"/>
      <c r="AI72" s="33"/>
      <c r="AJ72" s="42"/>
      <c r="AK72" s="37"/>
      <c r="AL72" s="37"/>
      <c r="AM72" s="37"/>
      <c r="AN72" s="37"/>
      <c r="AO72" s="43"/>
      <c r="AP72" s="35"/>
      <c r="AQ72" s="35"/>
      <c r="AR72" s="44"/>
      <c r="AS72" s="37" t="s">
        <v>485</v>
      </c>
    </row>
    <row r="73" spans="1:45" ht="39" customHeight="1" x14ac:dyDescent="0.25">
      <c r="A73" s="32" t="s">
        <v>2136</v>
      </c>
      <c r="B73" s="56">
        <v>45330</v>
      </c>
      <c r="C73" s="37" t="s">
        <v>2066</v>
      </c>
      <c r="D73" s="35" t="s">
        <v>485</v>
      </c>
      <c r="E73" s="1" t="s">
        <v>2137</v>
      </c>
      <c r="F73" s="35" t="s">
        <v>485</v>
      </c>
      <c r="G73" s="35" t="s">
        <v>485</v>
      </c>
      <c r="H73" s="35" t="s">
        <v>485</v>
      </c>
      <c r="I73" s="58" t="s">
        <v>1763</v>
      </c>
      <c r="J73" s="57">
        <v>38544</v>
      </c>
      <c r="K73" s="40">
        <v>100</v>
      </c>
      <c r="L73" s="41">
        <v>38544</v>
      </c>
      <c r="M73" s="38"/>
      <c r="N73" s="41">
        <v>38544</v>
      </c>
      <c r="O73" s="38">
        <v>0</v>
      </c>
      <c r="P73" s="27">
        <v>0</v>
      </c>
      <c r="Q73" s="27">
        <v>0</v>
      </c>
      <c r="R73" s="27" t="e">
        <v>#DIV/0!</v>
      </c>
      <c r="S73" s="38" t="e">
        <v>#DIV/0!</v>
      </c>
      <c r="T73" s="38" t="e">
        <v>#DIV/0!</v>
      </c>
      <c r="U73" s="38">
        <v>0</v>
      </c>
      <c r="V73" s="38">
        <v>0</v>
      </c>
      <c r="W73" s="38">
        <v>0</v>
      </c>
      <c r="X73" s="38">
        <v>0</v>
      </c>
      <c r="Y73" s="38"/>
      <c r="Z73" s="38" t="e">
        <v>#DIV/0!</v>
      </c>
      <c r="AA73" s="38"/>
      <c r="AB73" s="38" t="e">
        <v>#DIV/0!</v>
      </c>
      <c r="AC73" s="38" t="e">
        <v>#DIV/0!</v>
      </c>
      <c r="AD73" s="38" t="e">
        <v>#DIV/0!</v>
      </c>
      <c r="AE73" s="33">
        <v>45397</v>
      </c>
      <c r="AF73" s="33"/>
      <c r="AG73" s="33"/>
      <c r="AH73" s="33"/>
      <c r="AI73" s="33"/>
      <c r="AJ73" s="42"/>
      <c r="AK73" s="37"/>
      <c r="AL73" s="37"/>
      <c r="AM73" s="37"/>
      <c r="AN73" s="37"/>
      <c r="AO73" s="43"/>
      <c r="AP73" s="35"/>
      <c r="AQ73" s="35"/>
      <c r="AR73" s="44"/>
      <c r="AS73" s="37" t="s">
        <v>485</v>
      </c>
    </row>
    <row r="74" spans="1:45" ht="39" customHeight="1" x14ac:dyDescent="0.25">
      <c r="A74" s="32" t="s">
        <v>2138</v>
      </c>
      <c r="B74" s="56">
        <v>45330</v>
      </c>
      <c r="C74" s="37" t="s">
        <v>2066</v>
      </c>
      <c r="D74" s="35" t="s">
        <v>485</v>
      </c>
      <c r="E74" s="1" t="s">
        <v>2139</v>
      </c>
      <c r="F74" s="35" t="s">
        <v>485</v>
      </c>
      <c r="G74" s="35" t="s">
        <v>485</v>
      </c>
      <c r="H74" s="35" t="s">
        <v>485</v>
      </c>
      <c r="I74" s="58" t="s">
        <v>1563</v>
      </c>
      <c r="J74" s="57">
        <v>23408</v>
      </c>
      <c r="K74" s="40">
        <v>100</v>
      </c>
      <c r="L74" s="41">
        <v>23408</v>
      </c>
      <c r="M74" s="38"/>
      <c r="N74" s="41">
        <v>23408</v>
      </c>
      <c r="O74" s="38">
        <v>0</v>
      </c>
      <c r="P74" s="27">
        <v>0</v>
      </c>
      <c r="Q74" s="27">
        <v>0</v>
      </c>
      <c r="R74" s="27" t="e">
        <v>#DIV/0!</v>
      </c>
      <c r="S74" s="38" t="e">
        <v>#DIV/0!</v>
      </c>
      <c r="T74" s="38" t="e">
        <v>#DIV/0!</v>
      </c>
      <c r="U74" s="38">
        <v>0</v>
      </c>
      <c r="V74" s="38">
        <v>0</v>
      </c>
      <c r="W74" s="38">
        <v>0</v>
      </c>
      <c r="X74" s="38">
        <v>0</v>
      </c>
      <c r="Y74" s="38"/>
      <c r="Z74" s="38" t="e">
        <v>#DIV/0!</v>
      </c>
      <c r="AA74" s="38"/>
      <c r="AB74" s="38" t="e">
        <v>#DIV/0!</v>
      </c>
      <c r="AC74" s="38" t="e">
        <v>#DIV/0!</v>
      </c>
      <c r="AD74" s="38" t="e">
        <v>#DIV/0!</v>
      </c>
      <c r="AE74" s="33">
        <v>45397</v>
      </c>
      <c r="AF74" s="33"/>
      <c r="AG74" s="33"/>
      <c r="AH74" s="33"/>
      <c r="AI74" s="33"/>
      <c r="AJ74" s="42"/>
      <c r="AK74" s="37"/>
      <c r="AL74" s="37"/>
      <c r="AM74" s="37"/>
      <c r="AN74" s="37"/>
      <c r="AO74" s="43"/>
      <c r="AP74" s="35"/>
      <c r="AQ74" s="35"/>
      <c r="AR74" s="44"/>
      <c r="AS74" s="37" t="s">
        <v>485</v>
      </c>
    </row>
    <row r="75" spans="1:45" ht="39" customHeight="1" x14ac:dyDescent="0.25">
      <c r="A75" s="32" t="s">
        <v>2140</v>
      </c>
      <c r="B75" s="56">
        <v>45330</v>
      </c>
      <c r="C75" s="37" t="s">
        <v>2066</v>
      </c>
      <c r="D75" s="35" t="s">
        <v>485</v>
      </c>
      <c r="E75" s="1" t="s">
        <v>2141</v>
      </c>
      <c r="F75" s="35" t="s">
        <v>485</v>
      </c>
      <c r="G75" s="35" t="s">
        <v>485</v>
      </c>
      <c r="H75" s="35" t="s">
        <v>485</v>
      </c>
      <c r="I75" s="58" t="s">
        <v>1838</v>
      </c>
      <c r="J75" s="57">
        <v>36465</v>
      </c>
      <c r="K75" s="40">
        <v>100</v>
      </c>
      <c r="L75" s="41">
        <v>36465</v>
      </c>
      <c r="M75" s="38"/>
      <c r="N75" s="41">
        <v>36465</v>
      </c>
      <c r="O75" s="38">
        <v>0</v>
      </c>
      <c r="P75" s="27">
        <v>0</v>
      </c>
      <c r="Q75" s="27">
        <v>0</v>
      </c>
      <c r="R75" s="27" t="e">
        <v>#DIV/0!</v>
      </c>
      <c r="S75" s="38" t="e">
        <v>#DIV/0!</v>
      </c>
      <c r="T75" s="38" t="e">
        <v>#DIV/0!</v>
      </c>
      <c r="U75" s="38">
        <v>0</v>
      </c>
      <c r="V75" s="38">
        <v>0</v>
      </c>
      <c r="W75" s="38">
        <v>0</v>
      </c>
      <c r="X75" s="38">
        <v>0</v>
      </c>
      <c r="Y75" s="38"/>
      <c r="Z75" s="38" t="e">
        <v>#DIV/0!</v>
      </c>
      <c r="AA75" s="38"/>
      <c r="AB75" s="38" t="e">
        <v>#DIV/0!</v>
      </c>
      <c r="AC75" s="38" t="e">
        <v>#DIV/0!</v>
      </c>
      <c r="AD75" s="38" t="e">
        <v>#DIV/0!</v>
      </c>
      <c r="AE75" s="33">
        <v>45397</v>
      </c>
      <c r="AF75" s="33"/>
      <c r="AG75" s="33"/>
      <c r="AH75" s="33"/>
      <c r="AI75" s="33"/>
      <c r="AJ75" s="42"/>
      <c r="AK75" s="37"/>
      <c r="AL75" s="37"/>
      <c r="AM75" s="37"/>
      <c r="AN75" s="37"/>
      <c r="AO75" s="43"/>
      <c r="AP75" s="35"/>
      <c r="AQ75" s="35"/>
      <c r="AR75" s="44"/>
      <c r="AS75" s="37" t="s">
        <v>485</v>
      </c>
    </row>
    <row r="76" spans="1:45" ht="41.25" customHeight="1" x14ac:dyDescent="0.25">
      <c r="A76" s="36" t="s">
        <v>2150</v>
      </c>
      <c r="B76" s="33">
        <v>45331</v>
      </c>
      <c r="C76" s="37" t="s">
        <v>2066</v>
      </c>
      <c r="D76" s="35" t="s">
        <v>485</v>
      </c>
      <c r="E76" s="1" t="s">
        <v>2151</v>
      </c>
      <c r="F76" s="35" t="s">
        <v>485</v>
      </c>
      <c r="G76" s="35" t="s">
        <v>485</v>
      </c>
      <c r="H76" s="35" t="s">
        <v>485</v>
      </c>
      <c r="I76" s="31" t="s">
        <v>1590</v>
      </c>
      <c r="J76" s="38">
        <v>48859.199999999997</v>
      </c>
      <c r="K76" s="40">
        <v>100</v>
      </c>
      <c r="L76" s="41">
        <v>48859.199999999997</v>
      </c>
      <c r="M76" s="38"/>
      <c r="N76" s="41">
        <v>48859.199999999997</v>
      </c>
      <c r="O76" s="38">
        <v>0</v>
      </c>
      <c r="P76" s="27">
        <v>0</v>
      </c>
      <c r="Q76" s="27">
        <v>0</v>
      </c>
      <c r="R76" s="27" t="e">
        <v>#DIV/0!</v>
      </c>
      <c r="S76" s="38" t="e">
        <v>#DIV/0!</v>
      </c>
      <c r="T76" s="38" t="e">
        <v>#DIV/0!</v>
      </c>
      <c r="U76" s="38">
        <v>0</v>
      </c>
      <c r="V76" s="38">
        <v>0</v>
      </c>
      <c r="W76" s="38">
        <v>0</v>
      </c>
      <c r="X76" s="38">
        <v>0</v>
      </c>
      <c r="Y76" s="38"/>
      <c r="Z76" s="38" t="e">
        <v>#DIV/0!</v>
      </c>
      <c r="AA76" s="38"/>
      <c r="AB76" s="38" t="e">
        <v>#DIV/0!</v>
      </c>
      <c r="AC76" s="38" t="e">
        <v>#DIV/0!</v>
      </c>
      <c r="AD76" s="38" t="e">
        <v>#DIV/0!</v>
      </c>
      <c r="AE76" s="33">
        <v>45397</v>
      </c>
      <c r="AF76" s="33"/>
      <c r="AG76" s="33"/>
      <c r="AH76" s="33"/>
      <c r="AI76" s="33"/>
      <c r="AJ76" s="42"/>
      <c r="AK76" s="37"/>
      <c r="AL76" s="37"/>
      <c r="AM76" s="37"/>
      <c r="AN76" s="37"/>
      <c r="AO76" s="43"/>
      <c r="AP76" s="35"/>
      <c r="AQ76" s="35"/>
      <c r="AR76" s="44"/>
      <c r="AS76" s="37" t="s">
        <v>485</v>
      </c>
    </row>
    <row r="77" spans="1:45" ht="41.25" customHeight="1" x14ac:dyDescent="0.25">
      <c r="A77" s="36" t="s">
        <v>2152</v>
      </c>
      <c r="B77" s="33">
        <v>45331</v>
      </c>
      <c r="C77" s="37" t="s">
        <v>2066</v>
      </c>
      <c r="D77" s="35" t="s">
        <v>485</v>
      </c>
      <c r="E77" s="1" t="s">
        <v>2153</v>
      </c>
      <c r="F77" s="35" t="s">
        <v>485</v>
      </c>
      <c r="G77" s="35" t="s">
        <v>485</v>
      </c>
      <c r="H77" s="35" t="s">
        <v>485</v>
      </c>
      <c r="I77" s="45" t="s">
        <v>2154</v>
      </c>
      <c r="J77" s="38">
        <v>10567.2</v>
      </c>
      <c r="K77" s="40">
        <v>100</v>
      </c>
      <c r="L77" s="41">
        <v>10567.2</v>
      </c>
      <c r="M77" s="38"/>
      <c r="N77" s="41">
        <v>10567.2</v>
      </c>
      <c r="O77" s="38">
        <v>0</v>
      </c>
      <c r="P77" s="27">
        <v>0</v>
      </c>
      <c r="Q77" s="27">
        <v>0</v>
      </c>
      <c r="R77" s="27" t="e">
        <v>#DIV/0!</v>
      </c>
      <c r="S77" s="38" t="e">
        <v>#DIV/0!</v>
      </c>
      <c r="T77" s="38" t="e">
        <v>#DIV/0!</v>
      </c>
      <c r="U77" s="38">
        <v>0</v>
      </c>
      <c r="V77" s="38">
        <v>0</v>
      </c>
      <c r="W77" s="38">
        <v>0</v>
      </c>
      <c r="X77" s="38">
        <v>0</v>
      </c>
      <c r="Y77" s="38"/>
      <c r="Z77" s="38" t="e">
        <v>#DIV/0!</v>
      </c>
      <c r="AA77" s="38"/>
      <c r="AB77" s="38" t="e">
        <v>#DIV/0!</v>
      </c>
      <c r="AC77" s="38" t="e">
        <v>#DIV/0!</v>
      </c>
      <c r="AD77" s="38" t="e">
        <v>#DIV/0!</v>
      </c>
      <c r="AE77" s="33">
        <v>45397</v>
      </c>
      <c r="AF77" s="33"/>
      <c r="AG77" s="33"/>
      <c r="AH77" s="33"/>
      <c r="AI77" s="33"/>
      <c r="AJ77" s="42"/>
      <c r="AK77" s="37"/>
      <c r="AL77" s="37"/>
      <c r="AM77" s="37"/>
      <c r="AN77" s="37"/>
      <c r="AO77" s="43"/>
      <c r="AP77" s="35"/>
      <c r="AQ77" s="35"/>
      <c r="AR77" s="44"/>
      <c r="AS77" s="37" t="s">
        <v>485</v>
      </c>
    </row>
    <row r="78" spans="1:45" ht="41.25" customHeight="1" x14ac:dyDescent="0.25">
      <c r="A78" s="36" t="s">
        <v>2157</v>
      </c>
      <c r="B78" s="33">
        <v>45331</v>
      </c>
      <c r="C78" s="37" t="s">
        <v>2066</v>
      </c>
      <c r="D78" s="35" t="s">
        <v>485</v>
      </c>
      <c r="E78" s="1" t="s">
        <v>2158</v>
      </c>
      <c r="F78" s="35" t="s">
        <v>485</v>
      </c>
      <c r="G78" s="35" t="s">
        <v>485</v>
      </c>
      <c r="H78" s="35" t="s">
        <v>485</v>
      </c>
      <c r="I78" s="31" t="s">
        <v>1598</v>
      </c>
      <c r="J78" s="38">
        <v>3240237</v>
      </c>
      <c r="K78" s="40">
        <v>100</v>
      </c>
      <c r="L78" s="41">
        <v>3240237</v>
      </c>
      <c r="M78" s="38"/>
      <c r="N78" s="41">
        <v>3240237</v>
      </c>
      <c r="O78" s="38">
        <v>0</v>
      </c>
      <c r="P78" s="27">
        <v>0</v>
      </c>
      <c r="Q78" s="27">
        <v>0</v>
      </c>
      <c r="R78" s="27" t="e">
        <v>#DIV/0!</v>
      </c>
      <c r="S78" s="38" t="e">
        <v>#DIV/0!</v>
      </c>
      <c r="T78" s="38" t="e">
        <v>#DIV/0!</v>
      </c>
      <c r="U78" s="38">
        <v>0</v>
      </c>
      <c r="V78" s="38">
        <v>0</v>
      </c>
      <c r="W78" s="38">
        <v>0</v>
      </c>
      <c r="X78" s="38">
        <v>0</v>
      </c>
      <c r="Y78" s="38"/>
      <c r="Z78" s="38" t="e">
        <v>#DIV/0!</v>
      </c>
      <c r="AA78" s="38"/>
      <c r="AB78" s="38" t="e">
        <v>#DIV/0!</v>
      </c>
      <c r="AC78" s="38" t="e">
        <v>#DIV/0!</v>
      </c>
      <c r="AD78" s="38" t="e">
        <v>#DIV/0!</v>
      </c>
      <c r="AE78" s="33">
        <v>45397</v>
      </c>
      <c r="AF78" s="33"/>
      <c r="AG78" s="33"/>
      <c r="AH78" s="33"/>
      <c r="AI78" s="33"/>
      <c r="AJ78" s="42"/>
      <c r="AK78" s="37"/>
      <c r="AL78" s="37"/>
      <c r="AM78" s="37"/>
      <c r="AN78" s="37"/>
      <c r="AO78" s="43"/>
      <c r="AP78" s="35"/>
      <c r="AQ78" s="35"/>
      <c r="AR78" s="44"/>
      <c r="AS78" s="37" t="s">
        <v>485</v>
      </c>
    </row>
    <row r="79" spans="1:45" ht="41.25" customHeight="1" x14ac:dyDescent="0.25">
      <c r="A79" s="36" t="s">
        <v>2161</v>
      </c>
      <c r="B79" s="33">
        <v>45335</v>
      </c>
      <c r="C79" s="37" t="s">
        <v>2066</v>
      </c>
      <c r="D79" s="35" t="s">
        <v>485</v>
      </c>
      <c r="E79" s="1" t="s">
        <v>2162</v>
      </c>
      <c r="F79" s="35" t="s">
        <v>485</v>
      </c>
      <c r="G79" s="35" t="s">
        <v>485</v>
      </c>
      <c r="H79" s="35" t="s">
        <v>485</v>
      </c>
      <c r="I79" s="31" t="s">
        <v>1311</v>
      </c>
      <c r="J79" s="38">
        <v>92692.800000000003</v>
      </c>
      <c r="K79" s="40">
        <v>100</v>
      </c>
      <c r="L79" s="41">
        <v>92692.800000000003</v>
      </c>
      <c r="M79" s="38"/>
      <c r="N79" s="41">
        <v>92692.800000000003</v>
      </c>
      <c r="O79" s="38">
        <v>0</v>
      </c>
      <c r="P79" s="27">
        <v>0</v>
      </c>
      <c r="Q79" s="27">
        <v>0</v>
      </c>
      <c r="R79" s="27" t="e">
        <v>#DIV/0!</v>
      </c>
      <c r="S79" s="38" t="e">
        <v>#DIV/0!</v>
      </c>
      <c r="T79" s="38" t="e">
        <v>#DIV/0!</v>
      </c>
      <c r="U79" s="38">
        <v>0</v>
      </c>
      <c r="V79" s="38">
        <v>0</v>
      </c>
      <c r="W79" s="38">
        <v>0</v>
      </c>
      <c r="X79" s="38">
        <v>0</v>
      </c>
      <c r="Y79" s="38"/>
      <c r="Z79" s="38" t="e">
        <v>#DIV/0!</v>
      </c>
      <c r="AA79" s="38"/>
      <c r="AB79" s="38" t="e">
        <v>#DIV/0!</v>
      </c>
      <c r="AC79" s="38" t="e">
        <v>#DIV/0!</v>
      </c>
      <c r="AD79" s="38" t="e">
        <v>#DIV/0!</v>
      </c>
      <c r="AE79" s="33">
        <v>45505</v>
      </c>
      <c r="AF79" s="33"/>
      <c r="AG79" s="33"/>
      <c r="AH79" s="33"/>
      <c r="AI79" s="33"/>
      <c r="AJ79" s="42"/>
      <c r="AK79" s="37"/>
      <c r="AL79" s="37"/>
      <c r="AM79" s="37"/>
      <c r="AN79" s="37"/>
      <c r="AO79" s="43"/>
      <c r="AP79" s="35"/>
      <c r="AQ79" s="35"/>
      <c r="AR79" s="44"/>
      <c r="AS79" s="37" t="s">
        <v>485</v>
      </c>
    </row>
    <row r="80" spans="1:45" ht="41.25" customHeight="1" x14ac:dyDescent="0.25">
      <c r="A80" s="36" t="s">
        <v>2163</v>
      </c>
      <c r="B80" s="33">
        <v>45335</v>
      </c>
      <c r="C80" s="35" t="s">
        <v>486</v>
      </c>
      <c r="D80" s="35" t="s">
        <v>485</v>
      </c>
      <c r="E80" s="1" t="s">
        <v>2164</v>
      </c>
      <c r="F80" s="35" t="s">
        <v>485</v>
      </c>
      <c r="G80" s="35" t="s">
        <v>485</v>
      </c>
      <c r="H80" s="35" t="s">
        <v>485</v>
      </c>
      <c r="I80" s="45" t="s">
        <v>1676</v>
      </c>
      <c r="J80" s="38">
        <v>45744464.399999999</v>
      </c>
      <c r="K80" s="40">
        <v>100</v>
      </c>
      <c r="L80" s="41">
        <v>45744464.399999999</v>
      </c>
      <c r="M80" s="38"/>
      <c r="N80" s="41">
        <v>45744464.399999999</v>
      </c>
      <c r="O80" s="38">
        <v>0</v>
      </c>
      <c r="P80" s="27">
        <v>0</v>
      </c>
      <c r="Q80" s="27">
        <v>0</v>
      </c>
      <c r="R80" s="27" t="e">
        <v>#DIV/0!</v>
      </c>
      <c r="S80" s="38" t="e">
        <v>#DIV/0!</v>
      </c>
      <c r="T80" s="38" t="e">
        <v>#DIV/0!</v>
      </c>
      <c r="U80" s="38">
        <v>0</v>
      </c>
      <c r="V80" s="38">
        <v>0</v>
      </c>
      <c r="W80" s="38">
        <v>0</v>
      </c>
      <c r="X80" s="38">
        <v>0</v>
      </c>
      <c r="Y80" s="38"/>
      <c r="Z80" s="38" t="e">
        <v>#DIV/0!</v>
      </c>
      <c r="AA80" s="38"/>
      <c r="AB80" s="38" t="e">
        <v>#DIV/0!</v>
      </c>
      <c r="AC80" s="38" t="e">
        <v>#DIV/0!</v>
      </c>
      <c r="AD80" s="38" t="e">
        <v>#DIV/0!</v>
      </c>
      <c r="AE80" s="33">
        <v>45397</v>
      </c>
      <c r="AF80" s="33"/>
      <c r="AG80" s="33"/>
      <c r="AH80" s="33"/>
      <c r="AI80" s="33"/>
      <c r="AJ80" s="42"/>
      <c r="AK80" s="37"/>
      <c r="AL80" s="37"/>
      <c r="AM80" s="37"/>
      <c r="AN80" s="37"/>
      <c r="AO80" s="43"/>
      <c r="AP80" s="35"/>
      <c r="AQ80" s="35"/>
      <c r="AR80" s="44"/>
      <c r="AS80" s="37" t="s">
        <v>485</v>
      </c>
    </row>
    <row r="81" spans="1:45" ht="41.25" customHeight="1" x14ac:dyDescent="0.25">
      <c r="A81" s="36" t="s">
        <v>2165</v>
      </c>
      <c r="B81" s="33">
        <v>45335</v>
      </c>
      <c r="C81" s="35" t="s">
        <v>486</v>
      </c>
      <c r="D81" s="36"/>
      <c r="E81" s="1" t="s">
        <v>2166</v>
      </c>
      <c r="F81" s="33">
        <v>45355</v>
      </c>
      <c r="G81" s="35" t="s">
        <v>2167</v>
      </c>
      <c r="H81" s="37" t="s">
        <v>1166</v>
      </c>
      <c r="I81" s="45" t="s">
        <v>1889</v>
      </c>
      <c r="J81" s="38">
        <v>48392919</v>
      </c>
      <c r="K81" s="40">
        <v>0</v>
      </c>
      <c r="L81" s="41">
        <v>0</v>
      </c>
      <c r="M81" s="38">
        <v>48392919</v>
      </c>
      <c r="N81" s="41">
        <v>0</v>
      </c>
      <c r="O81" s="38">
        <v>48392919</v>
      </c>
      <c r="P81" s="27">
        <v>48392919</v>
      </c>
      <c r="Q81" s="27">
        <v>48392919</v>
      </c>
      <c r="R81" s="27">
        <v>206.94</v>
      </c>
      <c r="S81" s="38">
        <v>206.94</v>
      </c>
      <c r="T81" s="38">
        <v>12416.4</v>
      </c>
      <c r="U81" s="38">
        <v>233850</v>
      </c>
      <c r="V81" s="38">
        <v>233850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3897.5</v>
      </c>
      <c r="AD81" s="38">
        <v>3898</v>
      </c>
      <c r="AE81" s="33">
        <v>45397</v>
      </c>
      <c r="AF81" s="33"/>
      <c r="AG81" s="33"/>
      <c r="AH81" s="33">
        <v>45427</v>
      </c>
      <c r="AI81" s="33"/>
      <c r="AJ81" s="42"/>
      <c r="AK81" s="37" t="s">
        <v>2168</v>
      </c>
      <c r="AL81" s="37" t="s">
        <v>2169</v>
      </c>
      <c r="AM81" s="37" t="s">
        <v>2170</v>
      </c>
      <c r="AN81" s="37" t="s">
        <v>50</v>
      </c>
      <c r="AO81" s="43">
        <v>100</v>
      </c>
      <c r="AP81" s="35">
        <v>0</v>
      </c>
      <c r="AQ81" s="35" t="s">
        <v>441</v>
      </c>
      <c r="AR81" s="44">
        <v>60</v>
      </c>
      <c r="AS81" s="37" t="s">
        <v>176</v>
      </c>
    </row>
    <row r="82" spans="1:45" ht="41.25" customHeight="1" x14ac:dyDescent="0.25">
      <c r="A82" s="36" t="s">
        <v>2171</v>
      </c>
      <c r="B82" s="33">
        <v>45335</v>
      </c>
      <c r="C82" s="35" t="s">
        <v>486</v>
      </c>
      <c r="D82" s="36" t="s">
        <v>485</v>
      </c>
      <c r="E82" s="1" t="s">
        <v>2172</v>
      </c>
      <c r="F82" s="36" t="s">
        <v>485</v>
      </c>
      <c r="G82" s="36" t="s">
        <v>485</v>
      </c>
      <c r="H82" s="36" t="s">
        <v>485</v>
      </c>
      <c r="I82" s="45" t="s">
        <v>1641</v>
      </c>
      <c r="J82" s="38">
        <v>126853650</v>
      </c>
      <c r="K82" s="40">
        <v>100</v>
      </c>
      <c r="L82" s="41">
        <v>126853650</v>
      </c>
      <c r="M82" s="38"/>
      <c r="N82" s="41">
        <v>126853650</v>
      </c>
      <c r="O82" s="38">
        <v>0</v>
      </c>
      <c r="P82" s="27">
        <v>0</v>
      </c>
      <c r="Q82" s="27">
        <v>0</v>
      </c>
      <c r="R82" s="27" t="e">
        <v>#DIV/0!</v>
      </c>
      <c r="S82" s="38" t="e">
        <v>#DIV/0!</v>
      </c>
      <c r="T82" s="38" t="e">
        <v>#DIV/0!</v>
      </c>
      <c r="U82" s="38">
        <v>0</v>
      </c>
      <c r="V82" s="38">
        <v>0</v>
      </c>
      <c r="W82" s="38">
        <v>0</v>
      </c>
      <c r="X82" s="38">
        <v>0</v>
      </c>
      <c r="Y82" s="38"/>
      <c r="Z82" s="38" t="e">
        <v>#DIV/0!</v>
      </c>
      <c r="AA82" s="38"/>
      <c r="AB82" s="38" t="e">
        <v>#DIV/0!</v>
      </c>
      <c r="AC82" s="38" t="e">
        <v>#DIV/0!</v>
      </c>
      <c r="AD82" s="38" t="e">
        <v>#DIV/0!</v>
      </c>
      <c r="AE82" s="33">
        <v>45397</v>
      </c>
      <c r="AF82" s="33"/>
      <c r="AG82" s="33"/>
      <c r="AH82" s="33"/>
      <c r="AI82" s="33"/>
      <c r="AJ82" s="42"/>
      <c r="AK82" s="37"/>
      <c r="AL82" s="37"/>
      <c r="AM82" s="37"/>
      <c r="AN82" s="37"/>
      <c r="AO82" s="43"/>
      <c r="AP82" s="35"/>
      <c r="AQ82" s="35"/>
      <c r="AR82" s="44"/>
      <c r="AS82" s="37" t="s">
        <v>485</v>
      </c>
    </row>
    <row r="83" spans="1:45" ht="41.25" customHeight="1" x14ac:dyDescent="0.25">
      <c r="A83" s="36" t="s">
        <v>2173</v>
      </c>
      <c r="B83" s="33">
        <v>45335</v>
      </c>
      <c r="C83" s="35" t="s">
        <v>486</v>
      </c>
      <c r="D83" s="36"/>
      <c r="E83" s="1" t="s">
        <v>2174</v>
      </c>
      <c r="F83" s="33">
        <v>45355</v>
      </c>
      <c r="G83" s="35" t="s">
        <v>2175</v>
      </c>
      <c r="H83" s="37" t="s">
        <v>2176</v>
      </c>
      <c r="I83" s="45" t="s">
        <v>1409</v>
      </c>
      <c r="J83" s="38">
        <v>42046110</v>
      </c>
      <c r="K83" s="40">
        <v>0</v>
      </c>
      <c r="L83" s="41">
        <v>0</v>
      </c>
      <c r="M83" s="38">
        <v>42046110</v>
      </c>
      <c r="N83" s="41">
        <v>0</v>
      </c>
      <c r="O83" s="38">
        <v>42046110</v>
      </c>
      <c r="P83" s="27">
        <v>42046110</v>
      </c>
      <c r="Q83" s="27">
        <v>42046110</v>
      </c>
      <c r="R83" s="27">
        <v>201.66</v>
      </c>
      <c r="S83" s="38">
        <v>201.66</v>
      </c>
      <c r="T83" s="38">
        <v>6049.8</v>
      </c>
      <c r="U83" s="38">
        <v>208500</v>
      </c>
      <c r="V83" s="38">
        <v>208500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6950</v>
      </c>
      <c r="AD83" s="38">
        <v>6950</v>
      </c>
      <c r="AE83" s="33">
        <v>45397</v>
      </c>
      <c r="AF83" s="33"/>
      <c r="AG83" s="33"/>
      <c r="AH83" s="33">
        <v>45427</v>
      </c>
      <c r="AI83" s="33"/>
      <c r="AJ83" s="42"/>
      <c r="AK83" s="37" t="s">
        <v>2177</v>
      </c>
      <c r="AL83" s="37" t="s">
        <v>2178</v>
      </c>
      <c r="AM83" s="37" t="s">
        <v>2179</v>
      </c>
      <c r="AN83" s="37" t="s">
        <v>50</v>
      </c>
      <c r="AO83" s="43">
        <v>100</v>
      </c>
      <c r="AP83" s="35">
        <v>0</v>
      </c>
      <c r="AQ83" s="35" t="s">
        <v>441</v>
      </c>
      <c r="AR83" s="44">
        <v>30</v>
      </c>
      <c r="AS83" s="37" t="s">
        <v>52</v>
      </c>
    </row>
    <row r="84" spans="1:45" ht="41.25" customHeight="1" x14ac:dyDescent="0.25">
      <c r="A84" s="36" t="s">
        <v>2180</v>
      </c>
      <c r="B84" s="33">
        <v>45335</v>
      </c>
      <c r="C84" s="37" t="s">
        <v>2066</v>
      </c>
      <c r="D84" s="36" t="s">
        <v>485</v>
      </c>
      <c r="E84" s="1" t="s">
        <v>2181</v>
      </c>
      <c r="F84" s="36" t="s">
        <v>485</v>
      </c>
      <c r="G84" s="36" t="s">
        <v>485</v>
      </c>
      <c r="H84" s="36" t="s">
        <v>485</v>
      </c>
      <c r="I84" s="45" t="s">
        <v>1577</v>
      </c>
      <c r="J84" s="38">
        <v>4695840</v>
      </c>
      <c r="K84" s="40">
        <v>100</v>
      </c>
      <c r="L84" s="41">
        <v>4695840</v>
      </c>
      <c r="M84" s="38"/>
      <c r="N84" s="41">
        <v>4695840</v>
      </c>
      <c r="O84" s="38">
        <v>0</v>
      </c>
      <c r="P84" s="27">
        <v>0</v>
      </c>
      <c r="Q84" s="27">
        <v>0</v>
      </c>
      <c r="R84" s="27" t="e">
        <v>#DIV/0!</v>
      </c>
      <c r="S84" s="38" t="e">
        <v>#DIV/0!</v>
      </c>
      <c r="T84" s="38" t="e">
        <v>#DIV/0!</v>
      </c>
      <c r="U84" s="38">
        <v>0</v>
      </c>
      <c r="V84" s="38">
        <v>0</v>
      </c>
      <c r="W84" s="38">
        <v>0</v>
      </c>
      <c r="X84" s="38">
        <v>0</v>
      </c>
      <c r="Y84" s="38"/>
      <c r="Z84" s="38" t="e">
        <v>#DIV/0!</v>
      </c>
      <c r="AA84" s="38"/>
      <c r="AB84" s="38" t="e">
        <v>#DIV/0!</v>
      </c>
      <c r="AC84" s="38" t="e">
        <v>#DIV/0!</v>
      </c>
      <c r="AD84" s="38" t="e">
        <v>#DIV/0!</v>
      </c>
      <c r="AE84" s="33">
        <v>45397</v>
      </c>
      <c r="AF84" s="33"/>
      <c r="AG84" s="33"/>
      <c r="AH84" s="33"/>
      <c r="AI84" s="33"/>
      <c r="AJ84" s="42"/>
      <c r="AK84" s="37"/>
      <c r="AL84" s="37"/>
      <c r="AM84" s="37"/>
      <c r="AN84" s="37"/>
      <c r="AO84" s="43"/>
      <c r="AP84" s="35"/>
      <c r="AQ84" s="35"/>
      <c r="AR84" s="44"/>
      <c r="AS84" s="37" t="s">
        <v>485</v>
      </c>
    </row>
    <row r="85" spans="1:45" ht="41.25" customHeight="1" x14ac:dyDescent="0.25">
      <c r="A85" s="36" t="s">
        <v>2182</v>
      </c>
      <c r="B85" s="33">
        <v>45335</v>
      </c>
      <c r="C85" s="35" t="s">
        <v>486</v>
      </c>
      <c r="D85" s="36"/>
      <c r="E85" s="1" t="s">
        <v>2183</v>
      </c>
      <c r="F85" s="33">
        <v>45370</v>
      </c>
      <c r="G85" s="35" t="s">
        <v>2184</v>
      </c>
      <c r="H85" s="37" t="s">
        <v>291</v>
      </c>
      <c r="I85" s="45" t="s">
        <v>508</v>
      </c>
      <c r="J85" s="38">
        <v>367438394.39999998</v>
      </c>
      <c r="K85" s="40">
        <v>0</v>
      </c>
      <c r="L85" s="41">
        <v>0</v>
      </c>
      <c r="M85" s="38">
        <v>367438394.39999998</v>
      </c>
      <c r="N85" s="41">
        <v>0</v>
      </c>
      <c r="O85" s="38">
        <v>367438394.39999998</v>
      </c>
      <c r="P85" s="27">
        <v>367438394.39999998</v>
      </c>
      <c r="Q85" s="27">
        <v>367438394.39999998</v>
      </c>
      <c r="R85" s="27">
        <v>52.36</v>
      </c>
      <c r="S85" s="38">
        <v>52.36</v>
      </c>
      <c r="T85" s="38">
        <v>3141.6</v>
      </c>
      <c r="U85" s="38">
        <v>7017540</v>
      </c>
      <c r="V85" s="38">
        <v>7017540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116959</v>
      </c>
      <c r="AD85" s="38">
        <v>116959</v>
      </c>
      <c r="AE85" s="33">
        <v>45458</v>
      </c>
      <c r="AF85" s="33"/>
      <c r="AG85" s="33"/>
      <c r="AH85" s="33">
        <v>45488</v>
      </c>
      <c r="AI85" s="33"/>
      <c r="AJ85" s="42"/>
      <c r="AK85" s="37" t="s">
        <v>1718</v>
      </c>
      <c r="AL85" s="37" t="s">
        <v>2185</v>
      </c>
      <c r="AM85" s="37" t="s">
        <v>2186</v>
      </c>
      <c r="AN85" s="37" t="s">
        <v>50</v>
      </c>
      <c r="AO85" s="43">
        <v>100</v>
      </c>
      <c r="AP85" s="35">
        <v>0</v>
      </c>
      <c r="AQ85" s="35" t="s">
        <v>441</v>
      </c>
      <c r="AR85" s="44">
        <v>60</v>
      </c>
      <c r="AS85" s="37" t="s">
        <v>52</v>
      </c>
    </row>
    <row r="86" spans="1:45" ht="41.25" customHeight="1" x14ac:dyDescent="0.25">
      <c r="A86" s="36" t="s">
        <v>2187</v>
      </c>
      <c r="B86" s="33">
        <v>45335</v>
      </c>
      <c r="C86" s="37" t="s">
        <v>2066</v>
      </c>
      <c r="D86" s="36"/>
      <c r="E86" s="1" t="s">
        <v>2188</v>
      </c>
      <c r="F86" s="33">
        <v>45348</v>
      </c>
      <c r="G86" s="35" t="s">
        <v>2189</v>
      </c>
      <c r="H86" s="37" t="s">
        <v>1166</v>
      </c>
      <c r="I86" s="31" t="s">
        <v>1301</v>
      </c>
      <c r="J86" s="38">
        <v>399096</v>
      </c>
      <c r="K86" s="40">
        <v>0</v>
      </c>
      <c r="L86" s="41">
        <v>0</v>
      </c>
      <c r="M86" s="38">
        <v>399096</v>
      </c>
      <c r="N86" s="41">
        <v>0</v>
      </c>
      <c r="O86" s="38">
        <v>399096</v>
      </c>
      <c r="P86" s="27">
        <v>399096</v>
      </c>
      <c r="Q86" s="27">
        <v>399096</v>
      </c>
      <c r="R86" s="27">
        <v>110.86</v>
      </c>
      <c r="S86" s="38">
        <v>110.86</v>
      </c>
      <c r="T86" s="38">
        <v>13303.2</v>
      </c>
      <c r="U86" s="38">
        <v>3600</v>
      </c>
      <c r="V86" s="38">
        <v>3600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30</v>
      </c>
      <c r="AD86" s="38">
        <v>30</v>
      </c>
      <c r="AE86" s="33">
        <v>45397</v>
      </c>
      <c r="AF86" s="33"/>
      <c r="AG86" s="33"/>
      <c r="AH86" s="33">
        <v>45427</v>
      </c>
      <c r="AI86" s="33"/>
      <c r="AJ86" s="42"/>
      <c r="AK86" s="37" t="s">
        <v>1302</v>
      </c>
      <c r="AL86" s="37" t="s">
        <v>1303</v>
      </c>
      <c r="AM86" s="37" t="s">
        <v>1304</v>
      </c>
      <c r="AN86" s="37" t="s">
        <v>50</v>
      </c>
      <c r="AO86" s="43">
        <v>100</v>
      </c>
      <c r="AP86" s="35">
        <v>0</v>
      </c>
      <c r="AQ86" s="35" t="s">
        <v>441</v>
      </c>
      <c r="AR86" s="44">
        <v>120</v>
      </c>
      <c r="AS86" s="37" t="s">
        <v>52</v>
      </c>
    </row>
    <row r="87" spans="1:45" ht="41.25" customHeight="1" x14ac:dyDescent="0.25">
      <c r="A87" s="36" t="s">
        <v>2190</v>
      </c>
      <c r="B87" s="33">
        <v>45335</v>
      </c>
      <c r="C87" s="35" t="s">
        <v>486</v>
      </c>
      <c r="D87" s="36" t="s">
        <v>485</v>
      </c>
      <c r="E87" s="1" t="s">
        <v>2191</v>
      </c>
      <c r="F87" s="36" t="s">
        <v>485</v>
      </c>
      <c r="G87" s="36" t="s">
        <v>485</v>
      </c>
      <c r="H87" s="36" t="s">
        <v>485</v>
      </c>
      <c r="I87" s="31" t="s">
        <v>1610</v>
      </c>
      <c r="J87" s="38">
        <v>65903003.700000003</v>
      </c>
      <c r="K87" s="40">
        <v>100</v>
      </c>
      <c r="L87" s="41">
        <v>65903003.700000003</v>
      </c>
      <c r="M87" s="38"/>
      <c r="N87" s="41">
        <v>65903003.700000003</v>
      </c>
      <c r="O87" s="38">
        <v>0</v>
      </c>
      <c r="P87" s="27">
        <v>0</v>
      </c>
      <c r="Q87" s="27">
        <v>0</v>
      </c>
      <c r="R87" s="27" t="e">
        <v>#DIV/0!</v>
      </c>
      <c r="S87" s="38" t="e">
        <v>#DIV/0!</v>
      </c>
      <c r="T87" s="38" t="e">
        <v>#DIV/0!</v>
      </c>
      <c r="U87" s="38">
        <v>0</v>
      </c>
      <c r="V87" s="38">
        <v>0</v>
      </c>
      <c r="W87" s="38">
        <v>0</v>
      </c>
      <c r="X87" s="38">
        <v>0</v>
      </c>
      <c r="Y87" s="38"/>
      <c r="Z87" s="38" t="e">
        <v>#DIV/0!</v>
      </c>
      <c r="AA87" s="38"/>
      <c r="AB87" s="38" t="e">
        <v>#DIV/0!</v>
      </c>
      <c r="AC87" s="38" t="e">
        <v>#DIV/0!</v>
      </c>
      <c r="AD87" s="38" t="e">
        <v>#DIV/0!</v>
      </c>
      <c r="AE87" s="33">
        <v>45397</v>
      </c>
      <c r="AF87" s="33"/>
      <c r="AG87" s="33"/>
      <c r="AH87" s="33"/>
      <c r="AI87" s="33"/>
      <c r="AJ87" s="42"/>
      <c r="AK87" s="37"/>
      <c r="AL87" s="37"/>
      <c r="AM87" s="37"/>
      <c r="AN87" s="37"/>
      <c r="AO87" s="43"/>
      <c r="AP87" s="35"/>
      <c r="AQ87" s="35"/>
      <c r="AR87" s="44"/>
      <c r="AS87" s="37" t="s">
        <v>485</v>
      </c>
    </row>
    <row r="88" spans="1:45" ht="41.25" customHeight="1" x14ac:dyDescent="0.25">
      <c r="A88" s="36" t="s">
        <v>2194</v>
      </c>
      <c r="B88" s="33">
        <v>45337</v>
      </c>
      <c r="C88" s="35" t="s">
        <v>486</v>
      </c>
      <c r="D88" s="36" t="s">
        <v>485</v>
      </c>
      <c r="E88" s="1" t="s">
        <v>2195</v>
      </c>
      <c r="F88" s="36" t="s">
        <v>485</v>
      </c>
      <c r="G88" s="36" t="s">
        <v>485</v>
      </c>
      <c r="H88" s="36" t="s">
        <v>485</v>
      </c>
      <c r="I88" s="45" t="s">
        <v>1710</v>
      </c>
      <c r="J88" s="38">
        <v>51248268</v>
      </c>
      <c r="K88" s="40">
        <v>100</v>
      </c>
      <c r="L88" s="41">
        <v>51248268</v>
      </c>
      <c r="M88" s="38"/>
      <c r="N88" s="41">
        <v>51248268</v>
      </c>
      <c r="O88" s="38">
        <v>0</v>
      </c>
      <c r="P88" s="27">
        <v>0</v>
      </c>
      <c r="Q88" s="27">
        <v>0</v>
      </c>
      <c r="R88" s="27" t="e">
        <v>#DIV/0!</v>
      </c>
      <c r="S88" s="38" t="e">
        <v>#DIV/0!</v>
      </c>
      <c r="T88" s="38" t="e">
        <v>#DIV/0!</v>
      </c>
      <c r="U88" s="38">
        <v>0</v>
      </c>
      <c r="V88" s="38">
        <v>0</v>
      </c>
      <c r="W88" s="38">
        <v>0</v>
      </c>
      <c r="X88" s="38">
        <v>0</v>
      </c>
      <c r="Y88" s="38"/>
      <c r="Z88" s="38" t="e">
        <v>#DIV/0!</v>
      </c>
      <c r="AA88" s="38"/>
      <c r="AB88" s="38" t="e">
        <v>#DIV/0!</v>
      </c>
      <c r="AC88" s="38" t="e">
        <v>#DIV/0!</v>
      </c>
      <c r="AD88" s="38" t="e">
        <v>#DIV/0!</v>
      </c>
      <c r="AE88" s="33">
        <v>45397</v>
      </c>
      <c r="AF88" s="33"/>
      <c r="AG88" s="33"/>
      <c r="AH88" s="33"/>
      <c r="AI88" s="33"/>
      <c r="AJ88" s="42"/>
      <c r="AK88" s="37"/>
      <c r="AL88" s="37"/>
      <c r="AM88" s="37"/>
      <c r="AN88" s="37"/>
      <c r="AO88" s="43"/>
      <c r="AP88" s="35"/>
      <c r="AQ88" s="35"/>
      <c r="AR88" s="44"/>
      <c r="AS88" s="37" t="s">
        <v>485</v>
      </c>
    </row>
    <row r="89" spans="1:45" ht="41.25" customHeight="1" x14ac:dyDescent="0.25">
      <c r="A89" s="36" t="s">
        <v>2196</v>
      </c>
      <c r="B89" s="33">
        <v>45337</v>
      </c>
      <c r="C89" s="35" t="s">
        <v>486</v>
      </c>
      <c r="D89" s="36"/>
      <c r="E89" s="1" t="s">
        <v>2197</v>
      </c>
      <c r="F89" s="33">
        <v>45363</v>
      </c>
      <c r="G89" s="35" t="s">
        <v>2198</v>
      </c>
      <c r="H89" s="37" t="s">
        <v>291</v>
      </c>
      <c r="I89" s="45" t="s">
        <v>1630</v>
      </c>
      <c r="J89" s="38">
        <v>200538624</v>
      </c>
      <c r="K89" s="40">
        <v>0.51652892561983477</v>
      </c>
      <c r="L89" s="41">
        <v>1035840</v>
      </c>
      <c r="M89" s="38">
        <v>199502784</v>
      </c>
      <c r="N89" s="41">
        <v>1035840</v>
      </c>
      <c r="O89" s="38">
        <v>199502784</v>
      </c>
      <c r="P89" s="27">
        <v>199502784</v>
      </c>
      <c r="Q89" s="27">
        <v>199502784</v>
      </c>
      <c r="R89" s="27">
        <v>48.15</v>
      </c>
      <c r="S89" s="38">
        <v>48.15</v>
      </c>
      <c r="T89" s="38">
        <v>2889</v>
      </c>
      <c r="U89" s="38">
        <v>4143360</v>
      </c>
      <c r="V89" s="38">
        <v>2073120</v>
      </c>
      <c r="W89" s="38">
        <v>2070240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69056</v>
      </c>
      <c r="AD89" s="38">
        <v>69056</v>
      </c>
      <c r="AE89" s="33">
        <v>45397</v>
      </c>
      <c r="AF89" s="33">
        <v>45473</v>
      </c>
      <c r="AG89" s="33"/>
      <c r="AH89" s="33">
        <v>45427</v>
      </c>
      <c r="AI89" s="33">
        <v>45505</v>
      </c>
      <c r="AJ89" s="42"/>
      <c r="AK89" s="37" t="s">
        <v>2199</v>
      </c>
      <c r="AL89" s="37" t="s">
        <v>2200</v>
      </c>
      <c r="AM89" s="37" t="s">
        <v>2201</v>
      </c>
      <c r="AN89" s="37" t="s">
        <v>50</v>
      </c>
      <c r="AO89" s="43">
        <v>100</v>
      </c>
      <c r="AP89" s="35">
        <v>0</v>
      </c>
      <c r="AQ89" s="35" t="s">
        <v>441</v>
      </c>
      <c r="AR89" s="44">
        <v>60</v>
      </c>
      <c r="AS89" s="37" t="s">
        <v>52</v>
      </c>
    </row>
    <row r="90" spans="1:45" ht="41.25" customHeight="1" x14ac:dyDescent="0.25">
      <c r="A90" s="36" t="s">
        <v>2202</v>
      </c>
      <c r="B90" s="33">
        <v>45337</v>
      </c>
      <c r="C90" s="35" t="s">
        <v>486</v>
      </c>
      <c r="D90" s="36"/>
      <c r="E90" s="1" t="s">
        <v>2203</v>
      </c>
      <c r="F90" s="33">
        <v>45362</v>
      </c>
      <c r="G90" s="35" t="s">
        <v>2204</v>
      </c>
      <c r="H90" s="37" t="s">
        <v>291</v>
      </c>
      <c r="I90" s="45" t="s">
        <v>1705</v>
      </c>
      <c r="J90" s="38">
        <v>48569637.600000001</v>
      </c>
      <c r="K90" s="40">
        <v>0</v>
      </c>
      <c r="L90" s="41">
        <v>0</v>
      </c>
      <c r="M90" s="38">
        <v>48569637.600000001</v>
      </c>
      <c r="N90" s="41">
        <v>0</v>
      </c>
      <c r="O90" s="38">
        <v>48569637.600000001</v>
      </c>
      <c r="P90" s="27">
        <v>48569637.600000001</v>
      </c>
      <c r="Q90" s="27">
        <v>48569637.600000001</v>
      </c>
      <c r="R90" s="27">
        <v>3.3000000000000003</v>
      </c>
      <c r="S90" s="38">
        <v>3.3000000000000003</v>
      </c>
      <c r="T90" s="38">
        <v>198.00000000000003</v>
      </c>
      <c r="U90" s="38">
        <v>14718072</v>
      </c>
      <c r="V90" s="38">
        <v>14718072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245301.2</v>
      </c>
      <c r="AD90" s="38">
        <v>245302</v>
      </c>
      <c r="AE90" s="33">
        <v>45397</v>
      </c>
      <c r="AF90" s="33"/>
      <c r="AG90" s="33"/>
      <c r="AH90" s="33">
        <v>45427</v>
      </c>
      <c r="AI90" s="33"/>
      <c r="AJ90" s="42"/>
      <c r="AK90" s="37" t="s">
        <v>2205</v>
      </c>
      <c r="AL90" s="37" t="s">
        <v>2206</v>
      </c>
      <c r="AM90" s="37" t="s">
        <v>2207</v>
      </c>
      <c r="AN90" s="37" t="s">
        <v>50</v>
      </c>
      <c r="AO90" s="43">
        <v>100</v>
      </c>
      <c r="AP90" s="35">
        <v>0</v>
      </c>
      <c r="AQ90" s="35" t="s">
        <v>441</v>
      </c>
      <c r="AR90" s="44">
        <v>60</v>
      </c>
      <c r="AS90" s="37" t="s">
        <v>52</v>
      </c>
    </row>
    <row r="91" spans="1:45" ht="41.25" customHeight="1" x14ac:dyDescent="0.25">
      <c r="A91" s="36" t="s">
        <v>2218</v>
      </c>
      <c r="B91" s="33">
        <v>45337</v>
      </c>
      <c r="C91" s="37" t="s">
        <v>2066</v>
      </c>
      <c r="D91" s="36"/>
      <c r="E91" s="1" t="s">
        <v>2219</v>
      </c>
      <c r="F91" s="33">
        <v>45350</v>
      </c>
      <c r="G91" s="35" t="s">
        <v>2220</v>
      </c>
      <c r="H91" s="37" t="s">
        <v>1166</v>
      </c>
      <c r="I91" s="45" t="s">
        <v>1582</v>
      </c>
      <c r="J91" s="38">
        <v>2490397.2000000002</v>
      </c>
      <c r="K91" s="40">
        <v>0</v>
      </c>
      <c r="L91" s="41">
        <v>0</v>
      </c>
      <c r="M91" s="38">
        <v>2490397.2000000002</v>
      </c>
      <c r="N91" s="41">
        <v>0</v>
      </c>
      <c r="O91" s="38">
        <v>2490397.2000000002</v>
      </c>
      <c r="P91" s="27">
        <v>2490397.2000000002</v>
      </c>
      <c r="Q91" s="27">
        <v>2490397.2000000002</v>
      </c>
      <c r="R91" s="27">
        <v>4.66</v>
      </c>
      <c r="S91" s="38">
        <v>4.66</v>
      </c>
      <c r="T91" s="38">
        <v>139.80000000000001</v>
      </c>
      <c r="U91" s="38">
        <v>534420</v>
      </c>
      <c r="V91" s="38">
        <v>534420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17814</v>
      </c>
      <c r="AD91" s="38">
        <v>17814</v>
      </c>
      <c r="AE91" s="33">
        <v>45397</v>
      </c>
      <c r="AF91" s="33"/>
      <c r="AG91" s="33"/>
      <c r="AH91" s="33">
        <v>45427</v>
      </c>
      <c r="AI91" s="33"/>
      <c r="AJ91" s="42"/>
      <c r="AK91" s="37" t="s">
        <v>1583</v>
      </c>
      <c r="AL91" s="37" t="s">
        <v>2221</v>
      </c>
      <c r="AM91" s="37" t="s">
        <v>1585</v>
      </c>
      <c r="AN91" s="37" t="s">
        <v>50</v>
      </c>
      <c r="AO91" s="43">
        <v>100</v>
      </c>
      <c r="AP91" s="35">
        <v>0</v>
      </c>
      <c r="AQ91" s="35" t="s">
        <v>441</v>
      </c>
      <c r="AR91" s="44">
        <v>30</v>
      </c>
      <c r="AS91" s="37" t="s">
        <v>176</v>
      </c>
    </row>
    <row r="92" spans="1:45" ht="41.25" customHeight="1" x14ac:dyDescent="0.25">
      <c r="A92" s="36" t="s">
        <v>2222</v>
      </c>
      <c r="B92" s="33">
        <v>45337</v>
      </c>
      <c r="C92" s="37" t="s">
        <v>2066</v>
      </c>
      <c r="D92" s="36"/>
      <c r="E92" s="1" t="s">
        <v>2223</v>
      </c>
      <c r="F92" s="33">
        <v>45350</v>
      </c>
      <c r="G92" s="35" t="s">
        <v>2224</v>
      </c>
      <c r="H92" s="37" t="s">
        <v>1166</v>
      </c>
      <c r="I92" s="45" t="s">
        <v>1630</v>
      </c>
      <c r="J92" s="38">
        <v>17424</v>
      </c>
      <c r="K92" s="40">
        <v>0</v>
      </c>
      <c r="L92" s="41">
        <v>0</v>
      </c>
      <c r="M92" s="38">
        <v>17424</v>
      </c>
      <c r="N92" s="41">
        <v>0</v>
      </c>
      <c r="O92" s="38">
        <v>17424</v>
      </c>
      <c r="P92" s="27">
        <v>17424</v>
      </c>
      <c r="Q92" s="27">
        <v>17424</v>
      </c>
      <c r="R92" s="27">
        <v>48.4</v>
      </c>
      <c r="S92" s="38">
        <v>48.4</v>
      </c>
      <c r="T92" s="38">
        <v>2904</v>
      </c>
      <c r="U92" s="38">
        <v>360</v>
      </c>
      <c r="V92" s="38">
        <v>360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6</v>
      </c>
      <c r="AD92" s="38">
        <v>6</v>
      </c>
      <c r="AE92" s="33">
        <v>45397</v>
      </c>
      <c r="AF92" s="33"/>
      <c r="AG92" s="33"/>
      <c r="AH92" s="33">
        <v>45427</v>
      </c>
      <c r="AI92" s="33"/>
      <c r="AJ92" s="42"/>
      <c r="AK92" s="37" t="s">
        <v>2225</v>
      </c>
      <c r="AL92" s="37" t="s">
        <v>2226</v>
      </c>
      <c r="AM92" s="37" t="s">
        <v>2227</v>
      </c>
      <c r="AN92" s="37" t="s">
        <v>50</v>
      </c>
      <c r="AO92" s="43">
        <v>100</v>
      </c>
      <c r="AP92" s="35">
        <v>0</v>
      </c>
      <c r="AQ92" s="35" t="s">
        <v>441</v>
      </c>
      <c r="AR92" s="44">
        <v>60</v>
      </c>
      <c r="AS92" s="37" t="s">
        <v>176</v>
      </c>
    </row>
    <row r="93" spans="1:45" ht="41.25" customHeight="1" x14ac:dyDescent="0.25">
      <c r="A93" s="36" t="s">
        <v>2234</v>
      </c>
      <c r="B93" s="33">
        <v>45337</v>
      </c>
      <c r="C93" s="37" t="s">
        <v>2066</v>
      </c>
      <c r="D93" s="36" t="s">
        <v>485</v>
      </c>
      <c r="E93" s="1" t="s">
        <v>2235</v>
      </c>
      <c r="F93" s="36" t="s">
        <v>485</v>
      </c>
      <c r="G93" s="36" t="s">
        <v>485</v>
      </c>
      <c r="H93" s="36" t="s">
        <v>485</v>
      </c>
      <c r="I93" s="45" t="s">
        <v>1710</v>
      </c>
      <c r="J93" s="38">
        <v>46909.8</v>
      </c>
      <c r="K93" s="40">
        <v>100</v>
      </c>
      <c r="L93" s="41">
        <v>46909.8</v>
      </c>
      <c r="M93" s="38"/>
      <c r="N93" s="41">
        <v>46909.8</v>
      </c>
      <c r="O93" s="38">
        <v>0</v>
      </c>
      <c r="P93" s="27">
        <v>0</v>
      </c>
      <c r="Q93" s="27">
        <v>0</v>
      </c>
      <c r="R93" s="27" t="e">
        <v>#DIV/0!</v>
      </c>
      <c r="S93" s="38" t="e">
        <v>#DIV/0!</v>
      </c>
      <c r="T93" s="38" t="e">
        <v>#DIV/0!</v>
      </c>
      <c r="U93" s="38">
        <v>0</v>
      </c>
      <c r="V93" s="38">
        <v>0</v>
      </c>
      <c r="W93" s="38">
        <v>0</v>
      </c>
      <c r="X93" s="38">
        <v>0</v>
      </c>
      <c r="Y93" s="38"/>
      <c r="Z93" s="38" t="e">
        <v>#DIV/0!</v>
      </c>
      <c r="AA93" s="38"/>
      <c r="AB93" s="38" t="e">
        <v>#DIV/0!</v>
      </c>
      <c r="AC93" s="38" t="e">
        <v>#DIV/0!</v>
      </c>
      <c r="AD93" s="38" t="e">
        <v>#DIV/0!</v>
      </c>
      <c r="AE93" s="33">
        <v>45397</v>
      </c>
      <c r="AF93" s="33"/>
      <c r="AG93" s="33"/>
      <c r="AH93" s="33"/>
      <c r="AI93" s="33"/>
      <c r="AJ93" s="42"/>
      <c r="AK93" s="37"/>
      <c r="AL93" s="37"/>
      <c r="AM93" s="37"/>
      <c r="AN93" s="37"/>
      <c r="AO93" s="43"/>
      <c r="AP93" s="35"/>
      <c r="AQ93" s="35"/>
      <c r="AR93" s="44"/>
      <c r="AS93" s="37" t="s">
        <v>485</v>
      </c>
    </row>
    <row r="94" spans="1:45" ht="41.25" customHeight="1" x14ac:dyDescent="0.25">
      <c r="A94" s="36" t="s">
        <v>2236</v>
      </c>
      <c r="B94" s="33">
        <v>45337</v>
      </c>
      <c r="C94" s="37" t="s">
        <v>2066</v>
      </c>
      <c r="D94" s="36" t="s">
        <v>485</v>
      </c>
      <c r="E94" s="1" t="s">
        <v>2237</v>
      </c>
      <c r="F94" s="36" t="s">
        <v>485</v>
      </c>
      <c r="G94" s="36" t="s">
        <v>485</v>
      </c>
      <c r="H94" s="36" t="s">
        <v>485</v>
      </c>
      <c r="I94" s="45" t="s">
        <v>1558</v>
      </c>
      <c r="J94" s="38">
        <v>3838479.3</v>
      </c>
      <c r="K94" s="40">
        <v>100</v>
      </c>
      <c r="L94" s="41">
        <v>3838479.3</v>
      </c>
      <c r="M94" s="38"/>
      <c r="N94" s="41">
        <v>3838479.3</v>
      </c>
      <c r="O94" s="38">
        <v>0</v>
      </c>
      <c r="P94" s="27">
        <v>0</v>
      </c>
      <c r="Q94" s="27">
        <v>0</v>
      </c>
      <c r="R94" s="27" t="e">
        <v>#DIV/0!</v>
      </c>
      <c r="S94" s="38" t="e">
        <v>#DIV/0!</v>
      </c>
      <c r="T94" s="38" t="e">
        <v>#DIV/0!</v>
      </c>
      <c r="U94" s="38">
        <v>0</v>
      </c>
      <c r="V94" s="38">
        <v>0</v>
      </c>
      <c r="W94" s="38">
        <v>0</v>
      </c>
      <c r="X94" s="38">
        <v>0</v>
      </c>
      <c r="Y94" s="38"/>
      <c r="Z94" s="38" t="e">
        <v>#DIV/0!</v>
      </c>
      <c r="AA94" s="38"/>
      <c r="AB94" s="38" t="e">
        <v>#DIV/0!</v>
      </c>
      <c r="AC94" s="38" t="e">
        <v>#DIV/0!</v>
      </c>
      <c r="AD94" s="38" t="e">
        <v>#DIV/0!</v>
      </c>
      <c r="AE94" s="33">
        <v>45397</v>
      </c>
      <c r="AF94" s="33"/>
      <c r="AG94" s="33"/>
      <c r="AH94" s="33"/>
      <c r="AI94" s="33"/>
      <c r="AJ94" s="42"/>
      <c r="AK94" s="37"/>
      <c r="AL94" s="37"/>
      <c r="AM94" s="37"/>
      <c r="AN94" s="37"/>
      <c r="AO94" s="43"/>
      <c r="AP94" s="35"/>
      <c r="AQ94" s="35"/>
      <c r="AR94" s="44"/>
      <c r="AS94" s="37" t="s">
        <v>485</v>
      </c>
    </row>
    <row r="95" spans="1:45" ht="48" customHeight="1" x14ac:dyDescent="0.25">
      <c r="A95" s="32" t="s">
        <v>2245</v>
      </c>
      <c r="B95" s="56">
        <v>45338</v>
      </c>
      <c r="C95" s="35" t="s">
        <v>486</v>
      </c>
      <c r="D95" s="36"/>
      <c r="E95" s="1" t="s">
        <v>2246</v>
      </c>
      <c r="F95" s="33">
        <v>45362</v>
      </c>
      <c r="G95" s="35" t="s">
        <v>2247</v>
      </c>
      <c r="H95" s="37" t="s">
        <v>2176</v>
      </c>
      <c r="I95" s="59" t="s">
        <v>1940</v>
      </c>
      <c r="J95" s="57">
        <v>26264656.800000001</v>
      </c>
      <c r="K95" s="40">
        <v>0</v>
      </c>
      <c r="L95" s="41">
        <v>0</v>
      </c>
      <c r="M95" s="57">
        <v>26264656.800000001</v>
      </c>
      <c r="N95" s="41">
        <v>0</v>
      </c>
      <c r="O95" s="57">
        <v>26264656.800000001</v>
      </c>
      <c r="P95" s="27">
        <v>26264656.800000001</v>
      </c>
      <c r="Q95" s="27">
        <v>26264656.800000001</v>
      </c>
      <c r="R95" s="27">
        <v>183.31</v>
      </c>
      <c r="S95" s="38">
        <v>183.31</v>
      </c>
      <c r="T95" s="38">
        <v>5499.3</v>
      </c>
      <c r="U95" s="38">
        <v>143280</v>
      </c>
      <c r="V95" s="38">
        <v>143280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4776</v>
      </c>
      <c r="AD95" s="38">
        <v>4776</v>
      </c>
      <c r="AE95" s="33">
        <v>45397</v>
      </c>
      <c r="AF95" s="33"/>
      <c r="AG95" s="33"/>
      <c r="AH95" s="33">
        <v>45427</v>
      </c>
      <c r="AI95" s="33"/>
      <c r="AJ95" s="42"/>
      <c r="AK95" s="37" t="s">
        <v>1941</v>
      </c>
      <c r="AL95" s="37" t="s">
        <v>1942</v>
      </c>
      <c r="AM95" s="37" t="s">
        <v>1943</v>
      </c>
      <c r="AN95" s="37" t="s">
        <v>50</v>
      </c>
      <c r="AO95" s="43">
        <v>100</v>
      </c>
      <c r="AP95" s="35">
        <v>0</v>
      </c>
      <c r="AQ95" s="35" t="s">
        <v>441</v>
      </c>
      <c r="AR95" s="44">
        <v>30</v>
      </c>
      <c r="AS95" s="37" t="s">
        <v>52</v>
      </c>
    </row>
    <row r="96" spans="1:45" ht="48" customHeight="1" x14ac:dyDescent="0.25">
      <c r="A96" s="32" t="s">
        <v>2248</v>
      </c>
      <c r="B96" s="56">
        <v>45338</v>
      </c>
      <c r="C96" s="35" t="s">
        <v>486</v>
      </c>
      <c r="D96" s="35" t="s">
        <v>485</v>
      </c>
      <c r="E96" s="1" t="s">
        <v>2249</v>
      </c>
      <c r="F96" s="35" t="s">
        <v>485</v>
      </c>
      <c r="G96" s="35" t="s">
        <v>485</v>
      </c>
      <c r="H96" s="35" t="s">
        <v>485</v>
      </c>
      <c r="I96" s="58" t="s">
        <v>1713</v>
      </c>
      <c r="J96" s="57">
        <v>2657054.4</v>
      </c>
      <c r="K96" s="40">
        <v>100</v>
      </c>
      <c r="L96" s="41">
        <v>2657054.4</v>
      </c>
      <c r="M96" s="38"/>
      <c r="N96" s="41">
        <v>2657054.4</v>
      </c>
      <c r="O96" s="38">
        <v>0</v>
      </c>
      <c r="P96" s="27">
        <v>0</v>
      </c>
      <c r="Q96" s="27">
        <v>0</v>
      </c>
      <c r="R96" s="27" t="e">
        <v>#DIV/0!</v>
      </c>
      <c r="S96" s="38" t="e">
        <v>#DIV/0!</v>
      </c>
      <c r="T96" s="38" t="e">
        <v>#DIV/0!</v>
      </c>
      <c r="U96" s="38">
        <v>0</v>
      </c>
      <c r="V96" s="38">
        <v>0</v>
      </c>
      <c r="W96" s="38">
        <v>0</v>
      </c>
      <c r="X96" s="38">
        <v>0</v>
      </c>
      <c r="Y96" s="38"/>
      <c r="Z96" s="38" t="e">
        <v>#DIV/0!</v>
      </c>
      <c r="AA96" s="38"/>
      <c r="AB96" s="38" t="e">
        <v>#DIV/0!</v>
      </c>
      <c r="AC96" s="38" t="e">
        <v>#DIV/0!</v>
      </c>
      <c r="AD96" s="38" t="e">
        <v>#DIV/0!</v>
      </c>
      <c r="AE96" s="33">
        <v>45397</v>
      </c>
      <c r="AF96" s="33"/>
      <c r="AG96" s="33"/>
      <c r="AH96" s="33"/>
      <c r="AI96" s="33"/>
      <c r="AJ96" s="42"/>
      <c r="AK96" s="37"/>
      <c r="AL96" s="37"/>
      <c r="AM96" s="37"/>
      <c r="AN96" s="37"/>
      <c r="AO96" s="43"/>
      <c r="AP96" s="35"/>
      <c r="AQ96" s="35"/>
      <c r="AR96" s="44"/>
      <c r="AS96" s="37" t="s">
        <v>485</v>
      </c>
    </row>
    <row r="97" spans="1:45" ht="48" customHeight="1" x14ac:dyDescent="0.25">
      <c r="A97" s="32" t="s">
        <v>2264</v>
      </c>
      <c r="B97" s="56">
        <v>45338</v>
      </c>
      <c r="C97" s="35" t="s">
        <v>486</v>
      </c>
      <c r="D97" s="35" t="s">
        <v>485</v>
      </c>
      <c r="E97" s="1" t="s">
        <v>2265</v>
      </c>
      <c r="F97" s="35" t="s">
        <v>485</v>
      </c>
      <c r="G97" s="35" t="s">
        <v>485</v>
      </c>
      <c r="H97" s="35" t="s">
        <v>485</v>
      </c>
      <c r="I97" s="58" t="s">
        <v>1558</v>
      </c>
      <c r="J97" s="57">
        <v>317722048.5</v>
      </c>
      <c r="K97" s="40">
        <v>100</v>
      </c>
      <c r="L97" s="41">
        <v>317722048.5</v>
      </c>
      <c r="M97" s="38"/>
      <c r="N97" s="41">
        <v>317722048.5</v>
      </c>
      <c r="O97" s="38">
        <v>0</v>
      </c>
      <c r="P97" s="27">
        <v>0</v>
      </c>
      <c r="Q97" s="27">
        <v>0</v>
      </c>
      <c r="R97" s="27" t="e">
        <v>#DIV/0!</v>
      </c>
      <c r="S97" s="38" t="e">
        <v>#DIV/0!</v>
      </c>
      <c r="T97" s="38" t="e">
        <v>#DIV/0!</v>
      </c>
      <c r="U97" s="38">
        <v>0</v>
      </c>
      <c r="V97" s="38">
        <v>0</v>
      </c>
      <c r="W97" s="38">
        <v>0</v>
      </c>
      <c r="X97" s="38">
        <v>0</v>
      </c>
      <c r="Y97" s="38"/>
      <c r="Z97" s="38" t="e">
        <v>#DIV/0!</v>
      </c>
      <c r="AA97" s="38"/>
      <c r="AB97" s="38" t="e">
        <v>#DIV/0!</v>
      </c>
      <c r="AC97" s="38" t="e">
        <v>#DIV/0!</v>
      </c>
      <c r="AD97" s="38" t="e">
        <v>#DIV/0!</v>
      </c>
      <c r="AE97" s="33">
        <v>45397</v>
      </c>
      <c r="AF97" s="33"/>
      <c r="AG97" s="33"/>
      <c r="AH97" s="33"/>
      <c r="AI97" s="33"/>
      <c r="AJ97" s="42"/>
      <c r="AK97" s="37"/>
      <c r="AL97" s="37"/>
      <c r="AM97" s="37"/>
      <c r="AN97" s="37"/>
      <c r="AO97" s="43"/>
      <c r="AP97" s="35"/>
      <c r="AQ97" s="35"/>
      <c r="AR97" s="44"/>
      <c r="AS97" s="37" t="s">
        <v>485</v>
      </c>
    </row>
    <row r="98" spans="1:45" ht="48" customHeight="1" x14ac:dyDescent="0.25">
      <c r="A98" s="32" t="s">
        <v>2291</v>
      </c>
      <c r="B98" s="56">
        <v>45341</v>
      </c>
      <c r="C98" s="35" t="s">
        <v>486</v>
      </c>
      <c r="D98" s="35" t="s">
        <v>485</v>
      </c>
      <c r="E98" s="1" t="s">
        <v>2292</v>
      </c>
      <c r="F98" s="35" t="s">
        <v>485</v>
      </c>
      <c r="G98" s="35" t="s">
        <v>485</v>
      </c>
      <c r="H98" s="35" t="s">
        <v>485</v>
      </c>
      <c r="I98" s="58" t="s">
        <v>1753</v>
      </c>
      <c r="J98" s="57">
        <v>799818030</v>
      </c>
      <c r="K98" s="40">
        <v>100</v>
      </c>
      <c r="L98" s="41">
        <v>799818030</v>
      </c>
      <c r="M98" s="38"/>
      <c r="N98" s="41">
        <v>799818030</v>
      </c>
      <c r="O98" s="38">
        <v>0</v>
      </c>
      <c r="P98" s="27">
        <v>0</v>
      </c>
      <c r="Q98" s="27">
        <v>0</v>
      </c>
      <c r="R98" s="27" t="e">
        <v>#DIV/0!</v>
      </c>
      <c r="S98" s="38" t="e">
        <v>#DIV/0!</v>
      </c>
      <c r="T98" s="38" t="e">
        <v>#DIV/0!</v>
      </c>
      <c r="U98" s="38">
        <v>0</v>
      </c>
      <c r="V98" s="38">
        <v>0</v>
      </c>
      <c r="W98" s="38">
        <v>0</v>
      </c>
      <c r="X98" s="38">
        <v>0</v>
      </c>
      <c r="Y98" s="38"/>
      <c r="Z98" s="38" t="e">
        <v>#DIV/0!</v>
      </c>
      <c r="AA98" s="38"/>
      <c r="AB98" s="38" t="e">
        <v>#DIV/0!</v>
      </c>
      <c r="AC98" s="38" t="e">
        <v>#DIV/0!</v>
      </c>
      <c r="AD98" s="38" t="e">
        <v>#DIV/0!</v>
      </c>
      <c r="AE98" s="33">
        <v>45397</v>
      </c>
      <c r="AF98" s="33"/>
      <c r="AG98" s="33"/>
      <c r="AH98" s="33"/>
      <c r="AI98" s="33"/>
      <c r="AJ98" s="42"/>
      <c r="AK98" s="37"/>
      <c r="AL98" s="37"/>
      <c r="AM98" s="37"/>
      <c r="AN98" s="37"/>
      <c r="AO98" s="43"/>
      <c r="AP98" s="35"/>
      <c r="AQ98" s="35"/>
      <c r="AR98" s="44"/>
      <c r="AS98" s="37" t="s">
        <v>485</v>
      </c>
    </row>
    <row r="99" spans="1:45" ht="48" customHeight="1" x14ac:dyDescent="0.25">
      <c r="A99" s="32" t="s">
        <v>2312</v>
      </c>
      <c r="B99" s="56">
        <v>45341</v>
      </c>
      <c r="C99" s="35" t="s">
        <v>486</v>
      </c>
      <c r="D99" s="36"/>
      <c r="E99" s="1" t="s">
        <v>2313</v>
      </c>
      <c r="F99" s="33">
        <v>45363</v>
      </c>
      <c r="G99" s="35" t="s">
        <v>2314</v>
      </c>
      <c r="H99" s="37" t="s">
        <v>2315</v>
      </c>
      <c r="I99" s="59" t="s">
        <v>2316</v>
      </c>
      <c r="J99" s="57">
        <v>9615367.6500000004</v>
      </c>
      <c r="K99" s="40">
        <v>0</v>
      </c>
      <c r="L99" s="41">
        <v>0</v>
      </c>
      <c r="M99" s="57">
        <v>9615367.6500000004</v>
      </c>
      <c r="N99" s="41">
        <v>0</v>
      </c>
      <c r="O99" s="57">
        <v>9615367.6500000004</v>
      </c>
      <c r="P99" s="27">
        <v>9615367.6500000004</v>
      </c>
      <c r="Q99" s="27">
        <v>9615367.6500000004</v>
      </c>
      <c r="R99" s="27">
        <v>23.45</v>
      </c>
      <c r="S99" s="38">
        <v>23.45</v>
      </c>
      <c r="T99" s="38">
        <v>2345</v>
      </c>
      <c r="U99" s="38">
        <v>410037</v>
      </c>
      <c r="V99" s="38">
        <v>410037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4100.37</v>
      </c>
      <c r="AD99" s="38">
        <v>4101</v>
      </c>
      <c r="AE99" s="33">
        <v>45397</v>
      </c>
      <c r="AF99" s="33"/>
      <c r="AG99" s="33"/>
      <c r="AH99" s="33">
        <v>45427</v>
      </c>
      <c r="AI99" s="33"/>
      <c r="AJ99" s="42"/>
      <c r="AK99" s="37" t="s">
        <v>2317</v>
      </c>
      <c r="AL99" s="37" t="s">
        <v>2318</v>
      </c>
      <c r="AM99" s="37" t="s">
        <v>2319</v>
      </c>
      <c r="AN99" s="37" t="s">
        <v>2320</v>
      </c>
      <c r="AO99" s="43">
        <v>0</v>
      </c>
      <c r="AP99" s="35">
        <v>100</v>
      </c>
      <c r="AQ99" s="35" t="s">
        <v>164</v>
      </c>
      <c r="AR99" s="44">
        <v>100</v>
      </c>
      <c r="AS99" s="37" t="s">
        <v>52</v>
      </c>
    </row>
    <row r="100" spans="1:45" ht="48" customHeight="1" x14ac:dyDescent="0.25">
      <c r="A100" s="32" t="s">
        <v>2355</v>
      </c>
      <c r="B100" s="56">
        <v>45342</v>
      </c>
      <c r="C100" s="35" t="s">
        <v>486</v>
      </c>
      <c r="D100" s="35" t="s">
        <v>485</v>
      </c>
      <c r="E100" s="1" t="s">
        <v>2356</v>
      </c>
      <c r="F100" s="35" t="s">
        <v>485</v>
      </c>
      <c r="G100" s="35" t="s">
        <v>485</v>
      </c>
      <c r="H100" s="35" t="s">
        <v>485</v>
      </c>
      <c r="I100" s="58" t="s">
        <v>2357</v>
      </c>
      <c r="J100" s="57">
        <v>1462531.2</v>
      </c>
      <c r="K100" s="40">
        <v>100</v>
      </c>
      <c r="L100" s="41">
        <v>1462531.2</v>
      </c>
      <c r="M100" s="38"/>
      <c r="N100" s="41">
        <v>1462531.2</v>
      </c>
      <c r="O100" s="38">
        <v>0</v>
      </c>
      <c r="P100" s="27">
        <v>0</v>
      </c>
      <c r="Q100" s="27">
        <v>0</v>
      </c>
      <c r="R100" s="27" t="e">
        <v>#DIV/0!</v>
      </c>
      <c r="S100" s="38" t="e">
        <v>#DIV/0!</v>
      </c>
      <c r="T100" s="38" t="e">
        <v>#DIV/0!</v>
      </c>
      <c r="U100" s="38">
        <v>0</v>
      </c>
      <c r="V100" s="38">
        <v>0</v>
      </c>
      <c r="W100" s="38">
        <v>0</v>
      </c>
      <c r="X100" s="38">
        <v>0</v>
      </c>
      <c r="Y100" s="38"/>
      <c r="Z100" s="38" t="e">
        <v>#DIV/0!</v>
      </c>
      <c r="AA100" s="38"/>
      <c r="AB100" s="38" t="e">
        <v>#DIV/0!</v>
      </c>
      <c r="AC100" s="38" t="e">
        <v>#DIV/0!</v>
      </c>
      <c r="AD100" s="38" t="e">
        <v>#DIV/0!</v>
      </c>
      <c r="AE100" s="33">
        <v>45413</v>
      </c>
      <c r="AF100" s="33"/>
      <c r="AG100" s="33"/>
      <c r="AH100" s="33"/>
      <c r="AI100" s="33"/>
      <c r="AJ100" s="42"/>
      <c r="AK100" s="37"/>
      <c r="AL100" s="37"/>
      <c r="AM100" s="37"/>
      <c r="AN100" s="37"/>
      <c r="AO100" s="43"/>
      <c r="AP100" s="35"/>
      <c r="AQ100" s="35"/>
      <c r="AR100" s="44"/>
      <c r="AS100" s="37" t="s">
        <v>485</v>
      </c>
    </row>
    <row r="101" spans="1:45" ht="42" customHeight="1" x14ac:dyDescent="0.25">
      <c r="A101" s="32" t="s">
        <v>2460</v>
      </c>
      <c r="B101" s="56">
        <v>45344</v>
      </c>
      <c r="C101" s="35" t="s">
        <v>486</v>
      </c>
      <c r="D101" s="35" t="s">
        <v>485</v>
      </c>
      <c r="E101" s="1" t="s">
        <v>2461</v>
      </c>
      <c r="F101" s="35" t="s">
        <v>485</v>
      </c>
      <c r="G101" s="35" t="s">
        <v>485</v>
      </c>
      <c r="H101" s="35" t="s">
        <v>485</v>
      </c>
      <c r="I101" s="58" t="s">
        <v>2462</v>
      </c>
      <c r="J101" s="57">
        <v>64523605.799999997</v>
      </c>
      <c r="K101" s="40">
        <v>100</v>
      </c>
      <c r="L101" s="41">
        <v>64523605.799999997</v>
      </c>
      <c r="M101" s="38"/>
      <c r="N101" s="41">
        <v>64523605.799999997</v>
      </c>
      <c r="O101" s="38">
        <v>0</v>
      </c>
      <c r="P101" s="27">
        <v>0</v>
      </c>
      <c r="Q101" s="27">
        <v>0</v>
      </c>
      <c r="R101" s="27" t="e">
        <v>#DIV/0!</v>
      </c>
      <c r="S101" s="38" t="e">
        <v>#DIV/0!</v>
      </c>
      <c r="T101" s="38" t="e">
        <v>#DIV/0!</v>
      </c>
      <c r="U101" s="38">
        <v>0</v>
      </c>
      <c r="V101" s="38">
        <v>0</v>
      </c>
      <c r="W101" s="38">
        <v>0</v>
      </c>
      <c r="X101" s="38">
        <v>0</v>
      </c>
      <c r="Y101" s="38"/>
      <c r="Z101" s="38" t="e">
        <v>#DIV/0!</v>
      </c>
      <c r="AA101" s="38"/>
      <c r="AB101" s="38" t="e">
        <v>#DIV/0!</v>
      </c>
      <c r="AC101" s="38" t="e">
        <v>#DIV/0!</v>
      </c>
      <c r="AD101" s="38" t="e">
        <v>#DIV/0!</v>
      </c>
      <c r="AE101" s="33">
        <v>45413</v>
      </c>
      <c r="AF101" s="33"/>
      <c r="AG101" s="33"/>
      <c r="AH101" s="33"/>
      <c r="AI101" s="33"/>
      <c r="AJ101" s="42"/>
      <c r="AK101" s="37"/>
      <c r="AL101" s="37"/>
      <c r="AM101" s="37"/>
      <c r="AN101" s="37"/>
      <c r="AO101" s="43"/>
      <c r="AP101" s="35"/>
      <c r="AQ101" s="35"/>
      <c r="AR101" s="44"/>
      <c r="AS101" s="37" t="s">
        <v>485</v>
      </c>
    </row>
    <row r="102" spans="1:45" ht="43.5" customHeight="1" x14ac:dyDescent="0.25">
      <c r="A102" s="32" t="s">
        <v>2487</v>
      </c>
      <c r="B102" s="56">
        <v>45344</v>
      </c>
      <c r="C102" s="35" t="s">
        <v>486</v>
      </c>
      <c r="D102" s="36"/>
      <c r="E102" s="1" t="s">
        <v>2488</v>
      </c>
      <c r="F102" s="33">
        <v>45376</v>
      </c>
      <c r="G102" s="35" t="s">
        <v>2489</v>
      </c>
      <c r="H102" s="37" t="s">
        <v>291</v>
      </c>
      <c r="I102" s="58" t="s">
        <v>2490</v>
      </c>
      <c r="J102" s="57">
        <v>542628909.89999998</v>
      </c>
      <c r="K102" s="40">
        <v>0</v>
      </c>
      <c r="L102" s="41">
        <v>0</v>
      </c>
      <c r="M102" s="57">
        <v>542628909.89999998</v>
      </c>
      <c r="N102" s="41">
        <v>0</v>
      </c>
      <c r="O102" s="57">
        <v>542628909.89999998</v>
      </c>
      <c r="P102" s="27">
        <v>553402928.75999999</v>
      </c>
      <c r="Q102" s="27">
        <v>553402928.75999999</v>
      </c>
      <c r="R102" s="27">
        <v>6.71</v>
      </c>
      <c r="S102" s="38">
        <v>6.71</v>
      </c>
      <c r="T102" s="38">
        <v>201.3</v>
      </c>
      <c r="U102" s="38">
        <v>82474356</v>
      </c>
      <c r="V102" s="38">
        <v>82474356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2749145.2</v>
      </c>
      <c r="AD102" s="38">
        <v>2749146</v>
      </c>
      <c r="AE102" s="33">
        <v>45474</v>
      </c>
      <c r="AF102" s="33"/>
      <c r="AG102" s="33"/>
      <c r="AH102" s="33">
        <v>45505</v>
      </c>
      <c r="AI102" s="33"/>
      <c r="AJ102" s="42"/>
      <c r="AK102" s="37" t="s">
        <v>2491</v>
      </c>
      <c r="AL102" s="37" t="s">
        <v>2492</v>
      </c>
      <c r="AM102" s="37" t="s">
        <v>2493</v>
      </c>
      <c r="AN102" s="37" t="s">
        <v>50</v>
      </c>
      <c r="AO102" s="43">
        <v>100</v>
      </c>
      <c r="AP102" s="35">
        <v>0</v>
      </c>
      <c r="AQ102" s="35" t="s">
        <v>441</v>
      </c>
      <c r="AR102" s="44">
        <v>30</v>
      </c>
      <c r="AS102" s="37" t="s">
        <v>52</v>
      </c>
    </row>
    <row r="103" spans="1:45" ht="42.75" customHeight="1" x14ac:dyDescent="0.25">
      <c r="A103" s="32" t="s">
        <v>2579</v>
      </c>
      <c r="B103" s="56">
        <v>45350</v>
      </c>
      <c r="C103" s="37" t="s">
        <v>2066</v>
      </c>
      <c r="D103" s="36"/>
      <c r="E103" s="1" t="s">
        <v>2580</v>
      </c>
      <c r="F103" s="33">
        <v>45363</v>
      </c>
      <c r="G103" s="35" t="s">
        <v>2581</v>
      </c>
      <c r="H103" s="37" t="s">
        <v>2315</v>
      </c>
      <c r="I103" s="58" t="s">
        <v>1784</v>
      </c>
      <c r="J103" s="57">
        <v>136479</v>
      </c>
      <c r="K103" s="40">
        <v>8.7925614929769413E-3</v>
      </c>
      <c r="L103" s="41">
        <v>12</v>
      </c>
      <c r="M103" s="38">
        <v>136467</v>
      </c>
      <c r="N103" s="41">
        <v>12</v>
      </c>
      <c r="O103" s="38">
        <v>136467</v>
      </c>
      <c r="P103" s="27">
        <v>136362.6</v>
      </c>
      <c r="Q103" s="27">
        <v>136362.6</v>
      </c>
      <c r="R103" s="27">
        <v>23.43</v>
      </c>
      <c r="S103" s="38">
        <v>23.43</v>
      </c>
      <c r="T103" s="38">
        <v>2343</v>
      </c>
      <c r="U103" s="38">
        <v>5820</v>
      </c>
      <c r="V103" s="38">
        <v>5820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v>58.2</v>
      </c>
      <c r="AD103" s="38">
        <v>59</v>
      </c>
      <c r="AE103" s="56">
        <v>45413</v>
      </c>
      <c r="AF103" s="33"/>
      <c r="AG103" s="33"/>
      <c r="AH103" s="33">
        <v>45444</v>
      </c>
      <c r="AI103" s="33"/>
      <c r="AJ103" s="42"/>
      <c r="AK103" s="37" t="s">
        <v>2317</v>
      </c>
      <c r="AL103" s="37" t="s">
        <v>2582</v>
      </c>
      <c r="AM103" s="37" t="s">
        <v>2319</v>
      </c>
      <c r="AN103" s="37" t="s">
        <v>2320</v>
      </c>
      <c r="AO103" s="43">
        <v>0</v>
      </c>
      <c r="AP103" s="35">
        <v>100</v>
      </c>
      <c r="AQ103" s="35" t="s">
        <v>164</v>
      </c>
      <c r="AR103" s="44">
        <v>100</v>
      </c>
      <c r="AS103" s="37" t="s">
        <v>52</v>
      </c>
    </row>
    <row r="104" spans="1:45" ht="43.5" customHeight="1" x14ac:dyDescent="0.25">
      <c r="A104" s="32" t="s">
        <v>2667</v>
      </c>
      <c r="B104" s="56">
        <v>45351</v>
      </c>
      <c r="C104" s="37" t="s">
        <v>2066</v>
      </c>
      <c r="D104" s="35" t="s">
        <v>485</v>
      </c>
      <c r="E104" s="1" t="s">
        <v>2668</v>
      </c>
      <c r="F104" s="35" t="s">
        <v>485</v>
      </c>
      <c r="G104" s="35" t="s">
        <v>485</v>
      </c>
      <c r="H104" s="35" t="s">
        <v>485</v>
      </c>
      <c r="I104" s="58" t="s">
        <v>508</v>
      </c>
      <c r="J104" s="57">
        <v>21279</v>
      </c>
      <c r="K104" s="40">
        <v>100</v>
      </c>
      <c r="L104" s="41">
        <v>21279</v>
      </c>
      <c r="M104" s="38"/>
      <c r="N104" s="41">
        <v>21279</v>
      </c>
      <c r="O104" s="38">
        <v>0</v>
      </c>
      <c r="P104" s="27">
        <v>0</v>
      </c>
      <c r="Q104" s="27">
        <v>0</v>
      </c>
      <c r="R104" s="27" t="e">
        <v>#DIV/0!</v>
      </c>
      <c r="S104" s="38" t="e">
        <v>#DIV/0!</v>
      </c>
      <c r="T104" s="38" t="e">
        <v>#DIV/0!</v>
      </c>
      <c r="U104" s="38">
        <v>0</v>
      </c>
      <c r="V104" s="38">
        <v>0</v>
      </c>
      <c r="W104" s="38">
        <v>0</v>
      </c>
      <c r="X104" s="38">
        <v>0</v>
      </c>
      <c r="Y104" s="38"/>
      <c r="Z104" s="38" t="e">
        <v>#DIV/0!</v>
      </c>
      <c r="AA104" s="38"/>
      <c r="AB104" s="38" t="e">
        <v>#DIV/0!</v>
      </c>
      <c r="AC104" s="38" t="e">
        <v>#DIV/0!</v>
      </c>
      <c r="AD104" s="38" t="e">
        <v>#DIV/0!</v>
      </c>
      <c r="AE104" s="33">
        <v>45413</v>
      </c>
      <c r="AF104" s="33"/>
      <c r="AG104" s="33"/>
      <c r="AH104" s="33"/>
      <c r="AI104" s="33"/>
      <c r="AJ104" s="42"/>
      <c r="AK104" s="37"/>
      <c r="AL104" s="37"/>
      <c r="AM104" s="37"/>
      <c r="AN104" s="37"/>
      <c r="AO104" s="43"/>
      <c r="AP104" s="35"/>
      <c r="AQ104" s="35"/>
      <c r="AR104" s="44"/>
      <c r="AS104" s="37" t="s">
        <v>485</v>
      </c>
    </row>
    <row r="105" spans="1:45" ht="43.5" customHeight="1" x14ac:dyDescent="0.25">
      <c r="A105" s="32" t="s">
        <v>2669</v>
      </c>
      <c r="B105" s="56">
        <v>45351</v>
      </c>
      <c r="C105" s="37" t="s">
        <v>2066</v>
      </c>
      <c r="D105" s="35" t="s">
        <v>485</v>
      </c>
      <c r="E105" s="1" t="s">
        <v>2670</v>
      </c>
      <c r="F105" s="35" t="s">
        <v>485</v>
      </c>
      <c r="G105" s="35" t="s">
        <v>485</v>
      </c>
      <c r="H105" s="35" t="s">
        <v>485</v>
      </c>
      <c r="I105" s="58" t="s">
        <v>2671</v>
      </c>
      <c r="J105" s="57">
        <v>20420.400000000001</v>
      </c>
      <c r="K105" s="40">
        <v>100</v>
      </c>
      <c r="L105" s="41">
        <v>20420.400000000001</v>
      </c>
      <c r="M105" s="38"/>
      <c r="N105" s="41">
        <v>20420.400000000001</v>
      </c>
      <c r="O105" s="38">
        <v>0</v>
      </c>
      <c r="P105" s="27">
        <v>0</v>
      </c>
      <c r="Q105" s="27">
        <v>0</v>
      </c>
      <c r="R105" s="27" t="e">
        <v>#DIV/0!</v>
      </c>
      <c r="S105" s="38" t="e">
        <v>#DIV/0!</v>
      </c>
      <c r="T105" s="38" t="e">
        <v>#DIV/0!</v>
      </c>
      <c r="U105" s="38">
        <v>0</v>
      </c>
      <c r="V105" s="38">
        <v>0</v>
      </c>
      <c r="W105" s="38">
        <v>0</v>
      </c>
      <c r="X105" s="38">
        <v>0</v>
      </c>
      <c r="Y105" s="38"/>
      <c r="Z105" s="38" t="e">
        <v>#DIV/0!</v>
      </c>
      <c r="AA105" s="38"/>
      <c r="AB105" s="38" t="e">
        <v>#DIV/0!</v>
      </c>
      <c r="AC105" s="38" t="e">
        <v>#DIV/0!</v>
      </c>
      <c r="AD105" s="38" t="e">
        <v>#DIV/0!</v>
      </c>
      <c r="AE105" s="33">
        <v>45413</v>
      </c>
      <c r="AF105" s="33"/>
      <c r="AG105" s="33"/>
      <c r="AH105" s="33"/>
      <c r="AI105" s="33"/>
      <c r="AJ105" s="42"/>
      <c r="AK105" s="37"/>
      <c r="AL105" s="37"/>
      <c r="AM105" s="37"/>
      <c r="AN105" s="37"/>
      <c r="AO105" s="43"/>
      <c r="AP105" s="35"/>
      <c r="AQ105" s="35"/>
      <c r="AR105" s="44"/>
      <c r="AS105" s="37" t="s">
        <v>485</v>
      </c>
    </row>
    <row r="106" spans="1:45" ht="43.5" customHeight="1" x14ac:dyDescent="0.25">
      <c r="A106" s="32" t="s">
        <v>2672</v>
      </c>
      <c r="B106" s="56">
        <v>45351</v>
      </c>
      <c r="C106" s="37" t="s">
        <v>2066</v>
      </c>
      <c r="D106" s="35" t="s">
        <v>485</v>
      </c>
      <c r="E106" s="1" t="s">
        <v>2673</v>
      </c>
      <c r="F106" s="35" t="s">
        <v>485</v>
      </c>
      <c r="G106" s="35" t="s">
        <v>485</v>
      </c>
      <c r="H106" s="35" t="s">
        <v>485</v>
      </c>
      <c r="I106" s="58" t="s">
        <v>2068</v>
      </c>
      <c r="J106" s="57">
        <v>22915.200000000001</v>
      </c>
      <c r="K106" s="40">
        <v>100</v>
      </c>
      <c r="L106" s="41">
        <v>22915.200000000001</v>
      </c>
      <c r="M106" s="38"/>
      <c r="N106" s="41">
        <v>22915.200000000001</v>
      </c>
      <c r="O106" s="38">
        <v>0</v>
      </c>
      <c r="P106" s="27">
        <v>0</v>
      </c>
      <c r="Q106" s="27">
        <v>0</v>
      </c>
      <c r="R106" s="27" t="e">
        <v>#DIV/0!</v>
      </c>
      <c r="S106" s="38" t="e">
        <v>#DIV/0!</v>
      </c>
      <c r="T106" s="38" t="e">
        <v>#DIV/0!</v>
      </c>
      <c r="U106" s="38">
        <v>0</v>
      </c>
      <c r="V106" s="38">
        <v>0</v>
      </c>
      <c r="W106" s="38">
        <v>0</v>
      </c>
      <c r="X106" s="38">
        <v>0</v>
      </c>
      <c r="Y106" s="38"/>
      <c r="Z106" s="38" t="e">
        <v>#DIV/0!</v>
      </c>
      <c r="AA106" s="38"/>
      <c r="AB106" s="38" t="e">
        <v>#DIV/0!</v>
      </c>
      <c r="AC106" s="38" t="e">
        <v>#DIV/0!</v>
      </c>
      <c r="AD106" s="38" t="e">
        <v>#DIV/0!</v>
      </c>
      <c r="AE106" s="33">
        <v>45413</v>
      </c>
      <c r="AF106" s="33"/>
      <c r="AG106" s="33"/>
      <c r="AH106" s="33"/>
      <c r="AI106" s="33"/>
      <c r="AJ106" s="42"/>
      <c r="AK106" s="37"/>
      <c r="AL106" s="37"/>
      <c r="AM106" s="37"/>
      <c r="AN106" s="37"/>
      <c r="AO106" s="43"/>
      <c r="AP106" s="35"/>
      <c r="AQ106" s="35"/>
      <c r="AR106" s="44"/>
      <c r="AS106" s="37" t="s">
        <v>485</v>
      </c>
    </row>
    <row r="107" spans="1:45" ht="43.5" customHeight="1" x14ac:dyDescent="0.25">
      <c r="A107" s="32" t="s">
        <v>2741</v>
      </c>
      <c r="B107" s="56">
        <v>45355</v>
      </c>
      <c r="C107" s="37" t="s">
        <v>2066</v>
      </c>
      <c r="D107" s="35" t="s">
        <v>485</v>
      </c>
      <c r="E107" s="1" t="s">
        <v>2742</v>
      </c>
      <c r="F107" s="35" t="s">
        <v>485</v>
      </c>
      <c r="G107" s="35" t="s">
        <v>485</v>
      </c>
      <c r="H107" s="35" t="s">
        <v>485</v>
      </c>
      <c r="I107" s="58" t="s">
        <v>1563</v>
      </c>
      <c r="J107" s="57">
        <v>25872</v>
      </c>
      <c r="K107" s="40">
        <v>100</v>
      </c>
      <c r="L107" s="41">
        <v>25872</v>
      </c>
      <c r="M107" s="38"/>
      <c r="N107" s="41">
        <v>25872</v>
      </c>
      <c r="O107" s="38">
        <v>0</v>
      </c>
      <c r="P107" s="27">
        <v>0</v>
      </c>
      <c r="Q107" s="27">
        <v>0</v>
      </c>
      <c r="R107" s="27" t="e">
        <v>#DIV/0!</v>
      </c>
      <c r="S107" s="38" t="e">
        <v>#DIV/0!</v>
      </c>
      <c r="T107" s="38" t="e">
        <v>#DIV/0!</v>
      </c>
      <c r="U107" s="38">
        <v>0</v>
      </c>
      <c r="V107" s="38">
        <v>0</v>
      </c>
      <c r="W107" s="38">
        <v>0</v>
      </c>
      <c r="X107" s="38">
        <v>0</v>
      </c>
      <c r="Y107" s="38"/>
      <c r="Z107" s="38" t="e">
        <v>#DIV/0!</v>
      </c>
      <c r="AA107" s="38"/>
      <c r="AB107" s="38" t="e">
        <v>#DIV/0!</v>
      </c>
      <c r="AC107" s="38" t="e">
        <v>#DIV/0!</v>
      </c>
      <c r="AD107" s="38" t="e">
        <v>#DIV/0!</v>
      </c>
      <c r="AE107" s="33">
        <v>45413</v>
      </c>
      <c r="AF107" s="33"/>
      <c r="AG107" s="33"/>
      <c r="AH107" s="33"/>
      <c r="AI107" s="33"/>
      <c r="AJ107" s="42"/>
      <c r="AK107" s="37"/>
      <c r="AL107" s="37"/>
      <c r="AM107" s="37"/>
      <c r="AN107" s="37"/>
      <c r="AO107" s="43"/>
      <c r="AP107" s="35"/>
      <c r="AQ107" s="35"/>
      <c r="AR107" s="44"/>
      <c r="AS107" s="37" t="s">
        <v>485</v>
      </c>
    </row>
    <row r="108" spans="1:45" ht="43.5" customHeight="1" x14ac:dyDescent="0.25">
      <c r="A108" s="32" t="s">
        <v>2743</v>
      </c>
      <c r="B108" s="56">
        <v>45355</v>
      </c>
      <c r="C108" s="37" t="s">
        <v>2066</v>
      </c>
      <c r="D108" s="36"/>
      <c r="E108" s="1" t="s">
        <v>2744</v>
      </c>
      <c r="F108" s="33">
        <v>45369</v>
      </c>
      <c r="G108" s="35" t="s">
        <v>2745</v>
      </c>
      <c r="H108" s="37" t="s">
        <v>2589</v>
      </c>
      <c r="I108" s="58" t="s">
        <v>1308</v>
      </c>
      <c r="J108" s="57">
        <v>28663.8</v>
      </c>
      <c r="K108" s="40">
        <v>5.8610512214009564E-2</v>
      </c>
      <c r="L108" s="41">
        <v>16.799999999999272</v>
      </c>
      <c r="M108" s="38">
        <v>28647</v>
      </c>
      <c r="N108" s="41">
        <v>16.799999999999272</v>
      </c>
      <c r="O108" s="38">
        <v>28647</v>
      </c>
      <c r="P108" s="27">
        <v>28647</v>
      </c>
      <c r="Q108" s="27">
        <v>28647</v>
      </c>
      <c r="R108" s="27">
        <v>11.103488372093024</v>
      </c>
      <c r="S108" s="38">
        <v>11.103488372093024</v>
      </c>
      <c r="T108" s="38">
        <v>3331.046511627907</v>
      </c>
      <c r="U108" s="38">
        <v>2580</v>
      </c>
      <c r="V108" s="38">
        <v>2580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8.6</v>
      </c>
      <c r="AD108" s="38">
        <v>9</v>
      </c>
      <c r="AE108" s="33">
        <v>45413</v>
      </c>
      <c r="AF108" s="33"/>
      <c r="AG108" s="33"/>
      <c r="AH108" s="33">
        <v>45444</v>
      </c>
      <c r="AI108" s="33"/>
      <c r="AJ108" s="42"/>
      <c r="AK108" s="37" t="s">
        <v>1663</v>
      </c>
      <c r="AL108" s="37" t="s">
        <v>2746</v>
      </c>
      <c r="AM108" s="37" t="s">
        <v>2747</v>
      </c>
      <c r="AN108" s="37" t="s">
        <v>440</v>
      </c>
      <c r="AO108" s="43">
        <v>0</v>
      </c>
      <c r="AP108" s="35">
        <v>100</v>
      </c>
      <c r="AQ108" s="35" t="s">
        <v>164</v>
      </c>
      <c r="AR108" s="44">
        <v>300</v>
      </c>
      <c r="AS108" s="37" t="s">
        <v>52</v>
      </c>
    </row>
    <row r="109" spans="1:45" ht="43.5" customHeight="1" x14ac:dyDescent="0.25">
      <c r="A109" s="32" t="s">
        <v>2748</v>
      </c>
      <c r="B109" s="56">
        <v>45355</v>
      </c>
      <c r="C109" s="37" t="s">
        <v>2066</v>
      </c>
      <c r="D109" s="36"/>
      <c r="E109" s="1" t="s">
        <v>2749</v>
      </c>
      <c r="F109" s="33">
        <v>45369</v>
      </c>
      <c r="G109" s="35" t="s">
        <v>2750</v>
      </c>
      <c r="H109" s="37" t="s">
        <v>2589</v>
      </c>
      <c r="I109" s="58" t="s">
        <v>2751</v>
      </c>
      <c r="J109" s="57">
        <v>82966.8</v>
      </c>
      <c r="K109" s="40">
        <v>2.1695425158050089E-3</v>
      </c>
      <c r="L109" s="41">
        <v>1.8000000000029104</v>
      </c>
      <c r="M109" s="38">
        <v>82965</v>
      </c>
      <c r="N109" s="41">
        <v>1.8000000000029104</v>
      </c>
      <c r="O109" s="38">
        <v>82965</v>
      </c>
      <c r="P109" s="27">
        <v>82965</v>
      </c>
      <c r="Q109" s="27">
        <v>82965</v>
      </c>
      <c r="R109" s="27">
        <v>56.438775510204081</v>
      </c>
      <c r="S109" s="38">
        <v>56.438775510204081</v>
      </c>
      <c r="T109" s="38">
        <v>3386.3265306122448</v>
      </c>
      <c r="U109" s="38">
        <v>1470</v>
      </c>
      <c r="V109" s="38">
        <v>1470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24.5</v>
      </c>
      <c r="AD109" s="38">
        <v>25</v>
      </c>
      <c r="AE109" s="33">
        <v>45444</v>
      </c>
      <c r="AF109" s="33"/>
      <c r="AG109" s="33"/>
      <c r="AH109" s="33">
        <v>45474</v>
      </c>
      <c r="AI109" s="33"/>
      <c r="AJ109" s="42"/>
      <c r="AK109" s="37" t="s">
        <v>1663</v>
      </c>
      <c r="AL109" s="37" t="s">
        <v>1664</v>
      </c>
      <c r="AM109" s="37" t="s">
        <v>1665</v>
      </c>
      <c r="AN109" s="37" t="s">
        <v>174</v>
      </c>
      <c r="AO109" s="43">
        <v>0</v>
      </c>
      <c r="AP109" s="35">
        <v>100</v>
      </c>
      <c r="AQ109" s="35" t="s">
        <v>441</v>
      </c>
      <c r="AR109" s="44">
        <v>60</v>
      </c>
      <c r="AS109" s="37" t="s">
        <v>52</v>
      </c>
    </row>
    <row r="110" spans="1:45" ht="43.5" customHeight="1" x14ac:dyDescent="0.25">
      <c r="A110" s="32" t="s">
        <v>2758</v>
      </c>
      <c r="B110" s="56">
        <v>45355</v>
      </c>
      <c r="C110" s="37" t="s">
        <v>2066</v>
      </c>
      <c r="D110" s="35" t="s">
        <v>485</v>
      </c>
      <c r="E110" s="1" t="s">
        <v>2759</v>
      </c>
      <c r="F110" s="35" t="s">
        <v>485</v>
      </c>
      <c r="G110" s="35" t="s">
        <v>485</v>
      </c>
      <c r="H110" s="35" t="s">
        <v>485</v>
      </c>
      <c r="I110" s="58" t="s">
        <v>1577</v>
      </c>
      <c r="J110" s="57">
        <v>6564393</v>
      </c>
      <c r="K110" s="40">
        <v>100</v>
      </c>
      <c r="L110" s="41">
        <v>6564393</v>
      </c>
      <c r="M110" s="38"/>
      <c r="N110" s="41">
        <v>6564393</v>
      </c>
      <c r="O110" s="38">
        <v>0</v>
      </c>
      <c r="P110" s="27">
        <v>0</v>
      </c>
      <c r="Q110" s="27">
        <v>0</v>
      </c>
      <c r="R110" s="27" t="e">
        <v>#DIV/0!</v>
      </c>
      <c r="S110" s="38" t="e">
        <v>#DIV/0!</v>
      </c>
      <c r="T110" s="38" t="e">
        <v>#DIV/0!</v>
      </c>
      <c r="U110" s="38">
        <v>0</v>
      </c>
      <c r="V110" s="38">
        <v>0</v>
      </c>
      <c r="W110" s="38">
        <v>0</v>
      </c>
      <c r="X110" s="38">
        <v>0</v>
      </c>
      <c r="Y110" s="38"/>
      <c r="Z110" s="38" t="e">
        <v>#DIV/0!</v>
      </c>
      <c r="AA110" s="38"/>
      <c r="AB110" s="38" t="e">
        <v>#DIV/0!</v>
      </c>
      <c r="AC110" s="38" t="e">
        <v>#DIV/0!</v>
      </c>
      <c r="AD110" s="38" t="e">
        <v>#DIV/0!</v>
      </c>
      <c r="AE110" s="33">
        <v>45413</v>
      </c>
      <c r="AF110" s="33"/>
      <c r="AG110" s="33"/>
      <c r="AH110" s="33"/>
      <c r="AI110" s="33"/>
      <c r="AJ110" s="42"/>
      <c r="AK110" s="37"/>
      <c r="AL110" s="37"/>
      <c r="AM110" s="37"/>
      <c r="AN110" s="37"/>
      <c r="AO110" s="43"/>
      <c r="AP110" s="35"/>
      <c r="AQ110" s="35"/>
      <c r="AR110" s="44"/>
      <c r="AS110" s="37" t="s">
        <v>485</v>
      </c>
    </row>
    <row r="111" spans="1:45" ht="45.75" customHeight="1" x14ac:dyDescent="0.25">
      <c r="A111" s="32" t="s">
        <v>2873</v>
      </c>
      <c r="B111" s="56">
        <v>45362</v>
      </c>
      <c r="C111" s="35" t="s">
        <v>486</v>
      </c>
      <c r="D111" s="36"/>
      <c r="E111" s="1" t="s">
        <v>2874</v>
      </c>
      <c r="F111" s="33">
        <v>45383</v>
      </c>
      <c r="G111" s="35" t="s">
        <v>2875</v>
      </c>
      <c r="H111" s="37" t="s">
        <v>291</v>
      </c>
      <c r="I111" s="58" t="s">
        <v>1676</v>
      </c>
      <c r="J111" s="57">
        <v>47752855.200000003</v>
      </c>
      <c r="K111" s="40">
        <v>0</v>
      </c>
      <c r="L111" s="41">
        <v>0</v>
      </c>
      <c r="M111" s="57">
        <v>47752855.200000003</v>
      </c>
      <c r="N111" s="41">
        <v>0</v>
      </c>
      <c r="O111" s="57">
        <v>47752855.200000003</v>
      </c>
      <c r="P111" s="27">
        <v>47752855.200000003</v>
      </c>
      <c r="Q111" s="27">
        <v>47752855.200000003</v>
      </c>
      <c r="R111" s="27">
        <v>95.820000000000007</v>
      </c>
      <c r="S111" s="38">
        <v>95.820000000000007</v>
      </c>
      <c r="T111" s="38">
        <v>5749.2000000000007</v>
      </c>
      <c r="U111" s="38">
        <v>498360</v>
      </c>
      <c r="V111" s="38">
        <v>498360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8306</v>
      </c>
      <c r="AD111" s="38">
        <v>8306</v>
      </c>
      <c r="AE111" s="33">
        <v>45427</v>
      </c>
      <c r="AF111" s="33"/>
      <c r="AG111" s="33"/>
      <c r="AH111" s="33">
        <v>45458</v>
      </c>
      <c r="AI111" s="33"/>
      <c r="AJ111" s="42"/>
      <c r="AK111" s="37" t="s">
        <v>2876</v>
      </c>
      <c r="AL111" s="37" t="s">
        <v>2877</v>
      </c>
      <c r="AM111" s="37" t="s">
        <v>2878</v>
      </c>
      <c r="AN111" s="37" t="s">
        <v>50</v>
      </c>
      <c r="AO111" s="43">
        <v>100</v>
      </c>
      <c r="AP111" s="35">
        <v>0</v>
      </c>
      <c r="AQ111" s="35" t="s">
        <v>441</v>
      </c>
      <c r="AR111" s="44">
        <v>60</v>
      </c>
      <c r="AS111" s="37" t="s">
        <v>52</v>
      </c>
    </row>
    <row r="112" spans="1:45" ht="45.75" customHeight="1" x14ac:dyDescent="0.25">
      <c r="A112" s="32" t="s">
        <v>2879</v>
      </c>
      <c r="B112" s="56">
        <v>45362</v>
      </c>
      <c r="C112" s="35" t="s">
        <v>486</v>
      </c>
      <c r="D112" s="36"/>
      <c r="E112" s="1" t="s">
        <v>2880</v>
      </c>
      <c r="F112" s="33">
        <v>45383</v>
      </c>
      <c r="G112" s="35" t="s">
        <v>2881</v>
      </c>
      <c r="H112" s="37" t="s">
        <v>291</v>
      </c>
      <c r="I112" s="59" t="s">
        <v>1610</v>
      </c>
      <c r="J112" s="57">
        <v>186935918.40000001</v>
      </c>
      <c r="K112" s="40">
        <v>0</v>
      </c>
      <c r="L112" s="41">
        <v>0</v>
      </c>
      <c r="M112" s="57">
        <v>186935918.40000001</v>
      </c>
      <c r="N112" s="41">
        <v>0</v>
      </c>
      <c r="O112" s="57">
        <v>186935918.40000001</v>
      </c>
      <c r="P112" s="27">
        <v>186935918.40000001</v>
      </c>
      <c r="Q112" s="27">
        <v>186935918.40000001</v>
      </c>
      <c r="R112" s="27">
        <v>36.96</v>
      </c>
      <c r="S112" s="38">
        <v>36.96</v>
      </c>
      <c r="T112" s="38">
        <v>1108.8</v>
      </c>
      <c r="U112" s="38">
        <v>5057790</v>
      </c>
      <c r="V112" s="38">
        <v>5057790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168593</v>
      </c>
      <c r="AD112" s="38">
        <v>168593</v>
      </c>
      <c r="AE112" s="33">
        <v>45427</v>
      </c>
      <c r="AF112" s="33"/>
      <c r="AG112" s="33"/>
      <c r="AH112" s="33">
        <v>45458</v>
      </c>
      <c r="AI112" s="33"/>
      <c r="AJ112" s="42"/>
      <c r="AK112" s="37" t="s">
        <v>2882</v>
      </c>
      <c r="AL112" s="37" t="s">
        <v>2883</v>
      </c>
      <c r="AM112" s="37" t="s">
        <v>2884</v>
      </c>
      <c r="AN112" s="37" t="s">
        <v>50</v>
      </c>
      <c r="AO112" s="43">
        <v>100</v>
      </c>
      <c r="AP112" s="35">
        <v>0</v>
      </c>
      <c r="AQ112" s="35" t="s">
        <v>441</v>
      </c>
      <c r="AR112" s="44">
        <v>30</v>
      </c>
      <c r="AS112" s="37" t="s">
        <v>52</v>
      </c>
    </row>
    <row r="113" spans="1:45" ht="45.75" customHeight="1" x14ac:dyDescent="0.25">
      <c r="A113" s="32" t="s">
        <v>2896</v>
      </c>
      <c r="B113" s="56">
        <v>45363</v>
      </c>
      <c r="C113" s="35" t="s">
        <v>486</v>
      </c>
      <c r="D113" s="36"/>
      <c r="E113" s="1" t="s">
        <v>2897</v>
      </c>
      <c r="F113" s="33">
        <v>45383</v>
      </c>
      <c r="G113" s="35" t="s">
        <v>2898</v>
      </c>
      <c r="H113" s="37" t="s">
        <v>273</v>
      </c>
      <c r="I113" s="58" t="s">
        <v>1713</v>
      </c>
      <c r="J113" s="57">
        <v>3795792</v>
      </c>
      <c r="K113" s="40">
        <v>0</v>
      </c>
      <c r="L113" s="41">
        <v>0</v>
      </c>
      <c r="M113" s="57">
        <v>3795792</v>
      </c>
      <c r="N113" s="41">
        <v>0</v>
      </c>
      <c r="O113" s="57">
        <v>3795792</v>
      </c>
      <c r="P113" s="27">
        <v>3795792</v>
      </c>
      <c r="Q113" s="27">
        <v>3795792</v>
      </c>
      <c r="R113" s="27">
        <v>2.2000000000000002</v>
      </c>
      <c r="S113" s="38">
        <v>2.2000000000000002</v>
      </c>
      <c r="T113" s="38">
        <v>528</v>
      </c>
      <c r="U113" s="38">
        <v>1725360</v>
      </c>
      <c r="V113" s="38">
        <v>867360</v>
      </c>
      <c r="W113" s="38">
        <v>858000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v>7189</v>
      </c>
      <c r="AD113" s="38">
        <v>7189</v>
      </c>
      <c r="AE113" s="33">
        <v>45427</v>
      </c>
      <c r="AF113" s="33">
        <v>45566</v>
      </c>
      <c r="AG113" s="33"/>
      <c r="AH113" s="33">
        <v>45458</v>
      </c>
      <c r="AI113" s="33">
        <v>45597</v>
      </c>
      <c r="AJ113" s="42"/>
      <c r="AK113" s="37" t="s">
        <v>2899</v>
      </c>
      <c r="AL113" s="37" t="s">
        <v>2900</v>
      </c>
      <c r="AM113" s="37" t="s">
        <v>2901</v>
      </c>
      <c r="AN113" s="37" t="s">
        <v>50</v>
      </c>
      <c r="AO113" s="43">
        <v>100</v>
      </c>
      <c r="AP113" s="35">
        <v>0</v>
      </c>
      <c r="AQ113" s="35" t="s">
        <v>164</v>
      </c>
      <c r="AR113" s="44">
        <v>240</v>
      </c>
      <c r="AS113" s="37" t="s">
        <v>52</v>
      </c>
    </row>
    <row r="114" spans="1:45" ht="58.5" customHeight="1" x14ac:dyDescent="0.25">
      <c r="A114" s="32" t="s">
        <v>2902</v>
      </c>
      <c r="B114" s="56">
        <v>45363</v>
      </c>
      <c r="C114" s="37" t="s">
        <v>2066</v>
      </c>
      <c r="D114" s="36"/>
      <c r="E114" s="1" t="s">
        <v>2903</v>
      </c>
      <c r="F114" s="33">
        <v>45373</v>
      </c>
      <c r="G114" s="35" t="s">
        <v>2904</v>
      </c>
      <c r="H114" s="37" t="s">
        <v>2061</v>
      </c>
      <c r="I114" s="58" t="s">
        <v>1838</v>
      </c>
      <c r="J114" s="57">
        <v>140250</v>
      </c>
      <c r="K114" s="40">
        <v>6.6400000000000041</v>
      </c>
      <c r="L114" s="41">
        <v>9312.6000000000058</v>
      </c>
      <c r="M114" s="38">
        <v>130937.4</v>
      </c>
      <c r="N114" s="41">
        <v>9312.6000000000058</v>
      </c>
      <c r="O114" s="38">
        <v>130937.4</v>
      </c>
      <c r="P114" s="27">
        <v>130937.4</v>
      </c>
      <c r="Q114" s="27">
        <v>130937.4</v>
      </c>
      <c r="R114" s="27">
        <v>23.34</v>
      </c>
      <c r="S114" s="38">
        <v>23.34</v>
      </c>
      <c r="T114" s="38">
        <v>1400.4</v>
      </c>
      <c r="U114" s="38">
        <v>5610</v>
      </c>
      <c r="V114" s="38">
        <v>5610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93.5</v>
      </c>
      <c r="AD114" s="38">
        <v>94</v>
      </c>
      <c r="AE114" s="33">
        <v>45444</v>
      </c>
      <c r="AF114" s="33"/>
      <c r="AG114" s="33"/>
      <c r="AH114" s="33">
        <v>45474</v>
      </c>
      <c r="AI114" s="33"/>
      <c r="AJ114" s="42"/>
      <c r="AK114" s="37" t="s">
        <v>2905</v>
      </c>
      <c r="AL114" s="37" t="s">
        <v>2906</v>
      </c>
      <c r="AM114" s="37" t="s">
        <v>2907</v>
      </c>
      <c r="AN114" s="37" t="s">
        <v>50</v>
      </c>
      <c r="AO114" s="43">
        <v>100</v>
      </c>
      <c r="AP114" s="35">
        <v>0</v>
      </c>
      <c r="AQ114" s="35" t="s">
        <v>441</v>
      </c>
      <c r="AR114" s="44">
        <v>60</v>
      </c>
      <c r="AS114" s="37" t="s">
        <v>176</v>
      </c>
    </row>
    <row r="115" spans="1:45" ht="45.75" customHeight="1" x14ac:dyDescent="0.25">
      <c r="A115" s="32" t="s">
        <v>2908</v>
      </c>
      <c r="B115" s="56">
        <v>45363</v>
      </c>
      <c r="C115" s="35" t="s">
        <v>486</v>
      </c>
      <c r="D115" s="36"/>
      <c r="E115" s="1" t="s">
        <v>2909</v>
      </c>
      <c r="F115" s="33">
        <v>45384</v>
      </c>
      <c r="G115" s="35" t="s">
        <v>2910</v>
      </c>
      <c r="H115" s="37" t="s">
        <v>2061</v>
      </c>
      <c r="I115" s="58" t="s">
        <v>1838</v>
      </c>
      <c r="J115" s="57">
        <v>239686500</v>
      </c>
      <c r="K115" s="40">
        <v>0.5</v>
      </c>
      <c r="L115" s="41">
        <v>1198432.5</v>
      </c>
      <c r="M115" s="38">
        <v>238488067.5</v>
      </c>
      <c r="N115" s="41">
        <v>1198432.5</v>
      </c>
      <c r="O115" s="38">
        <v>238488067.5</v>
      </c>
      <c r="P115" s="27">
        <v>238440130.19999999</v>
      </c>
      <c r="Q115" s="27">
        <v>238440130.19999999</v>
      </c>
      <c r="R115" s="27">
        <v>24.869999999999997</v>
      </c>
      <c r="S115" s="38">
        <v>24.869999999999997</v>
      </c>
      <c r="T115" s="38">
        <v>1492.1999999999998</v>
      </c>
      <c r="U115" s="38">
        <v>9587460</v>
      </c>
      <c r="V115" s="38">
        <v>9587460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8">
        <v>159791</v>
      </c>
      <c r="AD115" s="38">
        <v>159791</v>
      </c>
      <c r="AE115" s="33">
        <v>45505</v>
      </c>
      <c r="AF115" s="33"/>
      <c r="AG115" s="33"/>
      <c r="AH115" s="33">
        <v>45536</v>
      </c>
      <c r="AI115" s="33"/>
      <c r="AJ115" s="42"/>
      <c r="AK115" s="37" t="s">
        <v>2911</v>
      </c>
      <c r="AL115" s="37" t="s">
        <v>2912</v>
      </c>
      <c r="AM115" s="37" t="s">
        <v>2913</v>
      </c>
      <c r="AN115" s="37" t="s">
        <v>50</v>
      </c>
      <c r="AO115" s="43">
        <v>100</v>
      </c>
      <c r="AP115" s="35">
        <v>0</v>
      </c>
      <c r="AQ115" s="35" t="s">
        <v>441</v>
      </c>
      <c r="AR115" s="44">
        <v>60</v>
      </c>
      <c r="AS115" s="37" t="s">
        <v>52</v>
      </c>
    </row>
    <row r="116" spans="1:45" ht="47.25" customHeight="1" x14ac:dyDescent="0.25">
      <c r="A116" s="32" t="s">
        <v>2936</v>
      </c>
      <c r="B116" s="56">
        <v>45365</v>
      </c>
      <c r="C116" s="37" t="s">
        <v>2066</v>
      </c>
      <c r="D116" s="33" t="s">
        <v>485</v>
      </c>
      <c r="E116" s="1" t="s">
        <v>2937</v>
      </c>
      <c r="F116" s="33" t="s">
        <v>485</v>
      </c>
      <c r="G116" s="33" t="s">
        <v>485</v>
      </c>
      <c r="H116" s="33" t="s">
        <v>485</v>
      </c>
      <c r="I116" s="58" t="s">
        <v>1558</v>
      </c>
      <c r="J116" s="57">
        <v>6570768.5999999996</v>
      </c>
      <c r="K116" s="40">
        <v>100</v>
      </c>
      <c r="L116" s="41">
        <v>6570768.5999999996</v>
      </c>
      <c r="M116" s="38"/>
      <c r="N116" s="41">
        <v>6570768.5999999996</v>
      </c>
      <c r="O116" s="38">
        <v>0</v>
      </c>
      <c r="P116" s="27">
        <v>0</v>
      </c>
      <c r="Q116" s="27">
        <v>0</v>
      </c>
      <c r="R116" s="27" t="e">
        <v>#DIV/0!</v>
      </c>
      <c r="S116" s="38" t="e">
        <v>#DIV/0!</v>
      </c>
      <c r="T116" s="38" t="e">
        <v>#DIV/0!</v>
      </c>
      <c r="U116" s="38">
        <v>0</v>
      </c>
      <c r="V116" s="38">
        <v>0</v>
      </c>
      <c r="W116" s="38">
        <v>0</v>
      </c>
      <c r="X116" s="38">
        <v>0</v>
      </c>
      <c r="Y116" s="38"/>
      <c r="Z116" s="38" t="e">
        <v>#DIV/0!</v>
      </c>
      <c r="AA116" s="38"/>
      <c r="AB116" s="38" t="e">
        <v>#DIV/0!</v>
      </c>
      <c r="AC116" s="38" t="e">
        <v>#DIV/0!</v>
      </c>
      <c r="AD116" s="38" t="e">
        <v>#DIV/0!</v>
      </c>
      <c r="AE116" s="33">
        <v>45474</v>
      </c>
      <c r="AF116" s="33">
        <v>45536</v>
      </c>
      <c r="AG116" s="33"/>
      <c r="AH116" s="33"/>
      <c r="AI116" s="33"/>
      <c r="AJ116" s="42"/>
      <c r="AK116" s="37"/>
      <c r="AL116" s="37"/>
      <c r="AM116" s="37"/>
      <c r="AN116" s="37"/>
      <c r="AO116" s="43"/>
      <c r="AP116" s="35"/>
      <c r="AQ116" s="35"/>
      <c r="AR116" s="44"/>
      <c r="AS116" s="37" t="s">
        <v>485</v>
      </c>
    </row>
    <row r="117" spans="1:45" ht="47.25" customHeight="1" x14ac:dyDescent="0.25">
      <c r="A117" s="32" t="s">
        <v>2941</v>
      </c>
      <c r="B117" s="56">
        <v>45365</v>
      </c>
      <c r="C117" s="35" t="s">
        <v>486</v>
      </c>
      <c r="D117" s="36"/>
      <c r="E117" s="1" t="s">
        <v>2942</v>
      </c>
      <c r="F117" s="33">
        <v>45384</v>
      </c>
      <c r="G117" s="35" t="s">
        <v>2943</v>
      </c>
      <c r="H117" s="37" t="s">
        <v>273</v>
      </c>
      <c r="I117" s="58" t="s">
        <v>1836</v>
      </c>
      <c r="J117" s="57">
        <v>3093816</v>
      </c>
      <c r="K117" s="40">
        <v>0.50000000000000244</v>
      </c>
      <c r="L117" s="41">
        <v>15469.080000000075</v>
      </c>
      <c r="M117" s="38">
        <v>3078346.92</v>
      </c>
      <c r="N117" s="41">
        <v>15469.080000000075</v>
      </c>
      <c r="O117" s="38">
        <v>3078346.92</v>
      </c>
      <c r="P117" s="27">
        <v>3078346.92</v>
      </c>
      <c r="Q117" s="27">
        <v>3078346.92</v>
      </c>
      <c r="R117" s="27">
        <v>1.0945</v>
      </c>
      <c r="S117" s="38">
        <v>1.0945</v>
      </c>
      <c r="T117" s="38">
        <v>262.68</v>
      </c>
      <c r="U117" s="38">
        <v>2812560</v>
      </c>
      <c r="V117" s="38">
        <v>1406280</v>
      </c>
      <c r="W117" s="38">
        <v>1406280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11719</v>
      </c>
      <c r="AD117" s="38">
        <v>11719</v>
      </c>
      <c r="AE117" s="33">
        <v>45427</v>
      </c>
      <c r="AF117" s="33">
        <v>45566</v>
      </c>
      <c r="AG117" s="33"/>
      <c r="AH117" s="33">
        <v>45458</v>
      </c>
      <c r="AI117" s="33">
        <v>45597</v>
      </c>
      <c r="AJ117" s="42"/>
      <c r="AK117" s="37" t="s">
        <v>2944</v>
      </c>
      <c r="AL117" s="37" t="s">
        <v>2945</v>
      </c>
      <c r="AM117" s="37" t="s">
        <v>2946</v>
      </c>
      <c r="AN117" s="37" t="s">
        <v>50</v>
      </c>
      <c r="AO117" s="43">
        <v>100</v>
      </c>
      <c r="AP117" s="35">
        <v>0</v>
      </c>
      <c r="AQ117" s="35" t="s">
        <v>164</v>
      </c>
      <c r="AR117" s="44">
        <v>240</v>
      </c>
      <c r="AS117" s="37" t="s">
        <v>52</v>
      </c>
    </row>
    <row r="118" spans="1:45" ht="47.25" customHeight="1" x14ac:dyDescent="0.25">
      <c r="A118" s="32" t="s">
        <v>2947</v>
      </c>
      <c r="B118" s="56">
        <v>45365</v>
      </c>
      <c r="C118" s="35" t="s">
        <v>486</v>
      </c>
      <c r="D118" s="36"/>
      <c r="E118" s="1" t="s">
        <v>2948</v>
      </c>
      <c r="F118" s="33">
        <v>45385</v>
      </c>
      <c r="G118" s="35" t="s">
        <v>2949</v>
      </c>
      <c r="H118" s="37" t="s">
        <v>2061</v>
      </c>
      <c r="I118" s="58" t="s">
        <v>1641</v>
      </c>
      <c r="J118" s="57">
        <v>291060000</v>
      </c>
      <c r="K118" s="40">
        <v>0</v>
      </c>
      <c r="L118" s="41">
        <v>0</v>
      </c>
      <c r="M118" s="57">
        <v>291060000</v>
      </c>
      <c r="N118" s="41">
        <v>0</v>
      </c>
      <c r="O118" s="57">
        <v>291060000</v>
      </c>
      <c r="P118" s="27">
        <v>291060000</v>
      </c>
      <c r="Q118" s="27">
        <v>291060000</v>
      </c>
      <c r="R118" s="27">
        <v>12</v>
      </c>
      <c r="S118" s="38">
        <v>12</v>
      </c>
      <c r="T118" s="38" t="e">
        <v>#VALUE!</v>
      </c>
      <c r="U118" s="38">
        <v>24255000</v>
      </c>
      <c r="V118" s="38">
        <v>5910000</v>
      </c>
      <c r="W118" s="38">
        <v>18345000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 t="e">
        <v>#VALUE!</v>
      </c>
      <c r="AD118" s="38" t="e">
        <v>#VALUE!</v>
      </c>
      <c r="AE118" s="33">
        <v>45444</v>
      </c>
      <c r="AF118" s="33">
        <v>45595</v>
      </c>
      <c r="AG118" s="33"/>
      <c r="AH118" s="33">
        <v>45474</v>
      </c>
      <c r="AI118" s="33">
        <v>45627</v>
      </c>
      <c r="AJ118" s="42"/>
      <c r="AK118" s="37" t="s">
        <v>2950</v>
      </c>
      <c r="AL118" s="37" t="s">
        <v>2951</v>
      </c>
      <c r="AM118" s="37" t="s">
        <v>2952</v>
      </c>
      <c r="AN118" s="37" t="s">
        <v>50</v>
      </c>
      <c r="AO118" s="43">
        <v>100</v>
      </c>
      <c r="AP118" s="35">
        <v>0</v>
      </c>
      <c r="AQ118" s="35" t="s">
        <v>441</v>
      </c>
      <c r="AR118" s="48" t="s">
        <v>2953</v>
      </c>
      <c r="AS118" s="37" t="s">
        <v>52</v>
      </c>
    </row>
    <row r="119" spans="1:45" ht="47.25" customHeight="1" x14ac:dyDescent="0.25">
      <c r="A119" s="32" t="s">
        <v>2954</v>
      </c>
      <c r="B119" s="56">
        <v>45365</v>
      </c>
      <c r="C119" s="35" t="s">
        <v>486</v>
      </c>
      <c r="D119" s="36"/>
      <c r="E119" s="1" t="s">
        <v>2955</v>
      </c>
      <c r="F119" s="33">
        <v>45387</v>
      </c>
      <c r="G119" s="35" t="s">
        <v>2956</v>
      </c>
      <c r="H119" s="37" t="s">
        <v>2061</v>
      </c>
      <c r="I119" s="58" t="s">
        <v>1710</v>
      </c>
      <c r="J119" s="57">
        <v>236478936</v>
      </c>
      <c r="K119" s="40">
        <v>0.500000000000003</v>
      </c>
      <c r="L119" s="41">
        <v>1182394.6800000072</v>
      </c>
      <c r="M119" s="38">
        <v>235296541.31999999</v>
      </c>
      <c r="N119" s="41">
        <v>1182394.6800000072</v>
      </c>
      <c r="O119" s="38">
        <v>235296541.31999999</v>
      </c>
      <c r="P119" s="27">
        <v>235139112</v>
      </c>
      <c r="Q119" s="27">
        <v>235139112</v>
      </c>
      <c r="R119" s="27">
        <v>14.04</v>
      </c>
      <c r="S119" s="38">
        <v>14.04</v>
      </c>
      <c r="T119" s="38" t="e">
        <v>#VALUE!</v>
      </c>
      <c r="U119" s="38">
        <v>16747800</v>
      </c>
      <c r="V119" s="38">
        <v>16747800</v>
      </c>
      <c r="W119" s="38">
        <v>0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 t="e">
        <v>#VALUE!</v>
      </c>
      <c r="AD119" s="38" t="e">
        <v>#VALUE!</v>
      </c>
      <c r="AE119" s="33">
        <v>45474</v>
      </c>
      <c r="AF119" s="33"/>
      <c r="AG119" s="33"/>
      <c r="AH119" s="33">
        <v>45505</v>
      </c>
      <c r="AI119" s="33"/>
      <c r="AJ119" s="42"/>
      <c r="AK119" s="37" t="s">
        <v>2957</v>
      </c>
      <c r="AL119" s="37" t="s">
        <v>2958</v>
      </c>
      <c r="AM119" s="37" t="s">
        <v>2959</v>
      </c>
      <c r="AN119" s="37" t="s">
        <v>50</v>
      </c>
      <c r="AO119" s="43">
        <v>100</v>
      </c>
      <c r="AP119" s="35">
        <v>0</v>
      </c>
      <c r="AQ119" s="35" t="s">
        <v>441</v>
      </c>
      <c r="AR119" s="48" t="s">
        <v>2960</v>
      </c>
      <c r="AS119" s="37" t="s">
        <v>52</v>
      </c>
    </row>
    <row r="120" spans="1:45" ht="47.25" customHeight="1" x14ac:dyDescent="0.25">
      <c r="A120" s="32" t="s">
        <v>2961</v>
      </c>
      <c r="B120" s="56">
        <v>45365</v>
      </c>
      <c r="C120" s="37" t="s">
        <v>2066</v>
      </c>
      <c r="D120" s="36"/>
      <c r="E120" s="1" t="s">
        <v>2962</v>
      </c>
      <c r="F120" s="33">
        <v>45377</v>
      </c>
      <c r="G120" s="35" t="s">
        <v>2963</v>
      </c>
      <c r="H120" s="37" t="s">
        <v>2061</v>
      </c>
      <c r="I120" s="58" t="s">
        <v>1710</v>
      </c>
      <c r="J120" s="57">
        <v>216459.6</v>
      </c>
      <c r="K120" s="40">
        <v>0</v>
      </c>
      <c r="L120" s="41">
        <v>0</v>
      </c>
      <c r="M120" s="57">
        <v>216459.6</v>
      </c>
      <c r="N120" s="41">
        <v>0</v>
      </c>
      <c r="O120" s="57">
        <v>216459.6</v>
      </c>
      <c r="P120" s="27">
        <v>216459.6</v>
      </c>
      <c r="Q120" s="27">
        <v>216459.6</v>
      </c>
      <c r="R120" s="27">
        <v>14.120000000000001</v>
      </c>
      <c r="S120" s="38">
        <v>14.120000000000001</v>
      </c>
      <c r="T120" s="38">
        <v>423.6</v>
      </c>
      <c r="U120" s="38">
        <v>15330</v>
      </c>
      <c r="V120" s="38">
        <v>15330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511</v>
      </c>
      <c r="AD120" s="38">
        <v>511</v>
      </c>
      <c r="AE120" s="33">
        <v>45444</v>
      </c>
      <c r="AF120" s="33"/>
      <c r="AG120" s="33"/>
      <c r="AH120" s="33">
        <v>45474</v>
      </c>
      <c r="AI120" s="33"/>
      <c r="AJ120" s="42"/>
      <c r="AK120" s="37" t="s">
        <v>2964</v>
      </c>
      <c r="AL120" s="37" t="s">
        <v>2965</v>
      </c>
      <c r="AM120" s="37" t="s">
        <v>2966</v>
      </c>
      <c r="AN120" s="37" t="s">
        <v>50</v>
      </c>
      <c r="AO120" s="43">
        <v>100</v>
      </c>
      <c r="AP120" s="35">
        <v>0</v>
      </c>
      <c r="AQ120" s="35" t="s">
        <v>441</v>
      </c>
      <c r="AR120" s="44">
        <v>30</v>
      </c>
      <c r="AS120" s="37" t="s">
        <v>52</v>
      </c>
    </row>
    <row r="121" spans="1:45" ht="47.25" customHeight="1" x14ac:dyDescent="0.25">
      <c r="A121" s="32" t="s">
        <v>2967</v>
      </c>
      <c r="B121" s="56">
        <v>45366</v>
      </c>
      <c r="C121" s="35" t="s">
        <v>486</v>
      </c>
      <c r="D121" s="36"/>
      <c r="E121" s="1" t="s">
        <v>2968</v>
      </c>
      <c r="F121" s="33">
        <v>45387</v>
      </c>
      <c r="G121" s="35" t="s">
        <v>2969</v>
      </c>
      <c r="H121" s="37" t="s">
        <v>2061</v>
      </c>
      <c r="I121" s="58" t="s">
        <v>1753</v>
      </c>
      <c r="J121" s="57">
        <v>185283180</v>
      </c>
      <c r="K121" s="40">
        <v>0.50000000000000322</v>
      </c>
      <c r="L121" s="41">
        <v>926415.90000000596</v>
      </c>
      <c r="M121" s="38">
        <v>184356764.09999999</v>
      </c>
      <c r="N121" s="41">
        <v>926415.90000000596</v>
      </c>
      <c r="O121" s="38">
        <v>184356764.09999999</v>
      </c>
      <c r="P121" s="27">
        <v>184356764.09999999</v>
      </c>
      <c r="Q121" s="27">
        <v>184356764.09999999</v>
      </c>
      <c r="R121" s="27">
        <v>24.974499999999999</v>
      </c>
      <c r="S121" s="38">
        <v>24.974499999999999</v>
      </c>
      <c r="T121" s="38" t="e">
        <v>#VALUE!</v>
      </c>
      <c r="U121" s="38">
        <v>7381800</v>
      </c>
      <c r="V121" s="38">
        <v>3900000</v>
      </c>
      <c r="W121" s="38">
        <v>3481800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 t="e">
        <v>#VALUE!</v>
      </c>
      <c r="AD121" s="38" t="e">
        <v>#VALUE!</v>
      </c>
      <c r="AE121" s="33">
        <v>45444</v>
      </c>
      <c r="AF121" s="33">
        <v>45566</v>
      </c>
      <c r="AG121" s="33"/>
      <c r="AH121" s="33">
        <v>45474</v>
      </c>
      <c r="AI121" s="33">
        <v>45597</v>
      </c>
      <c r="AJ121" s="42"/>
      <c r="AK121" s="37" t="s">
        <v>2970</v>
      </c>
      <c r="AL121" s="37" t="s">
        <v>2971</v>
      </c>
      <c r="AM121" s="37" t="s">
        <v>2972</v>
      </c>
      <c r="AN121" s="37" t="s">
        <v>50</v>
      </c>
      <c r="AO121" s="43">
        <v>100</v>
      </c>
      <c r="AP121" s="35">
        <v>0</v>
      </c>
      <c r="AQ121" s="35" t="s">
        <v>441</v>
      </c>
      <c r="AR121" s="48" t="s">
        <v>2973</v>
      </c>
      <c r="AS121" s="37" t="s">
        <v>52</v>
      </c>
    </row>
    <row r="122" spans="1:45" ht="47.25" customHeight="1" x14ac:dyDescent="0.25">
      <c r="A122" s="32" t="s">
        <v>2974</v>
      </c>
      <c r="B122" s="56">
        <v>45366</v>
      </c>
      <c r="C122" s="35" t="s">
        <v>486</v>
      </c>
      <c r="D122" s="36"/>
      <c r="E122" s="1" t="s">
        <v>2975</v>
      </c>
      <c r="F122" s="33">
        <v>45387</v>
      </c>
      <c r="G122" s="35" t="s">
        <v>2976</v>
      </c>
      <c r="H122" s="37" t="s">
        <v>1166</v>
      </c>
      <c r="I122" s="59" t="s">
        <v>1311</v>
      </c>
      <c r="J122" s="57">
        <v>2701507.2</v>
      </c>
      <c r="K122" s="40">
        <v>0</v>
      </c>
      <c r="L122" s="41">
        <v>0</v>
      </c>
      <c r="M122" s="57">
        <v>2701507.2</v>
      </c>
      <c r="N122" s="41">
        <v>606816.00000000023</v>
      </c>
      <c r="O122" s="38">
        <v>2094691.2</v>
      </c>
      <c r="P122" s="27">
        <v>2094691.2</v>
      </c>
      <c r="Q122" s="27">
        <v>2094691.2</v>
      </c>
      <c r="R122" s="27">
        <v>44.53</v>
      </c>
      <c r="S122" s="38">
        <v>44.53</v>
      </c>
      <c r="T122" s="38">
        <v>5343.6</v>
      </c>
      <c r="U122" s="38">
        <v>47040</v>
      </c>
      <c r="V122" s="38">
        <v>47040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392</v>
      </c>
      <c r="AD122" s="38">
        <v>392</v>
      </c>
      <c r="AE122" s="33">
        <v>45580</v>
      </c>
      <c r="AF122" s="33"/>
      <c r="AG122" s="33"/>
      <c r="AH122" s="33">
        <v>45611</v>
      </c>
      <c r="AI122" s="33"/>
      <c r="AJ122" s="42"/>
      <c r="AK122" s="37" t="s">
        <v>1302</v>
      </c>
      <c r="AL122" s="37" t="s">
        <v>2977</v>
      </c>
      <c r="AM122" s="37" t="s">
        <v>1304</v>
      </c>
      <c r="AN122" s="37" t="s">
        <v>50</v>
      </c>
      <c r="AO122" s="43">
        <v>100</v>
      </c>
      <c r="AP122" s="35">
        <v>0</v>
      </c>
      <c r="AQ122" s="35" t="s">
        <v>441</v>
      </c>
      <c r="AR122" s="44">
        <v>120</v>
      </c>
      <c r="AS122" s="37" t="s">
        <v>52</v>
      </c>
    </row>
    <row r="123" spans="1:45" ht="56.25" customHeight="1" x14ac:dyDescent="0.25">
      <c r="A123" s="32" t="s">
        <v>2981</v>
      </c>
      <c r="B123" s="33">
        <v>45369</v>
      </c>
      <c r="C123" s="35" t="s">
        <v>486</v>
      </c>
      <c r="D123" s="36"/>
      <c r="E123" s="1" t="s">
        <v>2982</v>
      </c>
      <c r="F123" s="33">
        <v>45397</v>
      </c>
      <c r="G123" s="35" t="s">
        <v>2983</v>
      </c>
      <c r="H123" s="37" t="s">
        <v>291</v>
      </c>
      <c r="I123" s="37" t="s">
        <v>2984</v>
      </c>
      <c r="J123" s="38">
        <v>543881547</v>
      </c>
      <c r="K123" s="40">
        <v>9.7643097643097647</v>
      </c>
      <c r="L123" s="41">
        <v>53106279</v>
      </c>
      <c r="M123" s="38">
        <v>490775268</v>
      </c>
      <c r="N123" s="41">
        <v>53106279</v>
      </c>
      <c r="O123" s="38">
        <v>490775268</v>
      </c>
      <c r="P123" s="27">
        <v>490775268</v>
      </c>
      <c r="Q123" s="27">
        <v>490775268</v>
      </c>
      <c r="R123" s="27">
        <v>5.36</v>
      </c>
      <c r="S123" s="38">
        <v>5.36</v>
      </c>
      <c r="T123" s="38" t="e">
        <v>#VALUE!</v>
      </c>
      <c r="U123" s="38">
        <v>91562550</v>
      </c>
      <c r="V123" s="38">
        <v>45781260</v>
      </c>
      <c r="W123" s="38">
        <v>45781290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 t="e">
        <v>#VALUE!</v>
      </c>
      <c r="AD123" s="38" t="e">
        <v>#VALUE!</v>
      </c>
      <c r="AE123" s="33">
        <v>45474</v>
      </c>
      <c r="AF123" s="33">
        <v>45536</v>
      </c>
      <c r="AG123" s="33"/>
      <c r="AH123" s="33">
        <v>45505</v>
      </c>
      <c r="AI123" s="33">
        <v>45566</v>
      </c>
      <c r="AJ123" s="42"/>
      <c r="AK123" s="37" t="s">
        <v>2985</v>
      </c>
      <c r="AL123" s="37" t="s">
        <v>2986</v>
      </c>
      <c r="AM123" s="37" t="s">
        <v>2987</v>
      </c>
      <c r="AN123" s="37" t="s">
        <v>50</v>
      </c>
      <c r="AO123" s="43">
        <v>100</v>
      </c>
      <c r="AP123" s="35">
        <v>0</v>
      </c>
      <c r="AQ123" s="35" t="s">
        <v>441</v>
      </c>
      <c r="AR123" s="48" t="s">
        <v>2988</v>
      </c>
      <c r="AS123" s="37" t="s">
        <v>52</v>
      </c>
    </row>
    <row r="124" spans="1:45" ht="56.25" customHeight="1" x14ac:dyDescent="0.25">
      <c r="A124" s="32" t="s">
        <v>3004</v>
      </c>
      <c r="B124" s="56">
        <v>45369</v>
      </c>
      <c r="C124" s="35" t="s">
        <v>486</v>
      </c>
      <c r="D124" s="36"/>
      <c r="E124" s="1" t="s">
        <v>3005</v>
      </c>
      <c r="F124" s="33">
        <v>45390</v>
      </c>
      <c r="G124" s="35" t="s">
        <v>3006</v>
      </c>
      <c r="H124" s="37" t="s">
        <v>291</v>
      </c>
      <c r="I124" s="58" t="s">
        <v>3007</v>
      </c>
      <c r="J124" s="57">
        <v>16804518</v>
      </c>
      <c r="K124" s="40">
        <v>0</v>
      </c>
      <c r="L124" s="41">
        <v>0</v>
      </c>
      <c r="M124" s="57">
        <v>16804518</v>
      </c>
      <c r="N124" s="41">
        <v>0</v>
      </c>
      <c r="O124" s="57">
        <v>16804518</v>
      </c>
      <c r="P124" s="27">
        <v>16804518</v>
      </c>
      <c r="Q124" s="27">
        <v>16804518</v>
      </c>
      <c r="R124" s="27">
        <v>14.9</v>
      </c>
      <c r="S124" s="38">
        <v>14.9</v>
      </c>
      <c r="T124" s="38">
        <v>894</v>
      </c>
      <c r="U124" s="38">
        <v>1127820</v>
      </c>
      <c r="V124" s="38">
        <v>1127820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18797</v>
      </c>
      <c r="AD124" s="38">
        <v>18797</v>
      </c>
      <c r="AE124" s="33">
        <v>45444</v>
      </c>
      <c r="AF124" s="33"/>
      <c r="AG124" s="33"/>
      <c r="AH124" s="33">
        <v>45474</v>
      </c>
      <c r="AI124" s="33"/>
      <c r="AJ124" s="42"/>
      <c r="AK124" s="37" t="s">
        <v>3008</v>
      </c>
      <c r="AL124" s="37" t="s">
        <v>3009</v>
      </c>
      <c r="AM124" s="37" t="s">
        <v>3010</v>
      </c>
      <c r="AN124" s="37" t="s">
        <v>50</v>
      </c>
      <c r="AO124" s="43">
        <v>100</v>
      </c>
      <c r="AP124" s="35">
        <v>0</v>
      </c>
      <c r="AQ124" s="35" t="s">
        <v>441</v>
      </c>
      <c r="AR124" s="44">
        <v>60</v>
      </c>
      <c r="AS124" s="37" t="s">
        <v>52</v>
      </c>
    </row>
    <row r="125" spans="1:45" ht="57" customHeight="1" x14ac:dyDescent="0.25">
      <c r="A125" s="32" t="s">
        <v>3076</v>
      </c>
      <c r="B125" s="56">
        <v>45371</v>
      </c>
      <c r="C125" s="37" t="s">
        <v>2066</v>
      </c>
      <c r="D125" s="36"/>
      <c r="E125" s="1" t="s">
        <v>3077</v>
      </c>
      <c r="F125" s="33">
        <v>45383</v>
      </c>
      <c r="G125" s="35" t="s">
        <v>3078</v>
      </c>
      <c r="H125" s="37" t="s">
        <v>1166</v>
      </c>
      <c r="I125" s="58" t="s">
        <v>3079</v>
      </c>
      <c r="J125" s="57">
        <v>4143700</v>
      </c>
      <c r="K125" s="40">
        <v>0</v>
      </c>
      <c r="L125" s="41">
        <v>0</v>
      </c>
      <c r="M125" s="57">
        <v>4143700</v>
      </c>
      <c r="N125" s="41">
        <v>0</v>
      </c>
      <c r="O125" s="57">
        <v>4143700</v>
      </c>
      <c r="P125" s="27">
        <v>4143700</v>
      </c>
      <c r="Q125" s="27">
        <v>4143700</v>
      </c>
      <c r="R125" s="27">
        <v>37.67</v>
      </c>
      <c r="S125" s="38">
        <v>37.67</v>
      </c>
      <c r="T125" s="38">
        <v>4520.4000000000005</v>
      </c>
      <c r="U125" s="38">
        <v>110000</v>
      </c>
      <c r="V125" s="38">
        <v>110000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916.66666666666663</v>
      </c>
      <c r="AD125" s="38">
        <v>917</v>
      </c>
      <c r="AE125" s="33">
        <v>45474</v>
      </c>
      <c r="AF125" s="33"/>
      <c r="AG125" s="33"/>
      <c r="AH125" s="33">
        <v>45505</v>
      </c>
      <c r="AI125" s="33"/>
      <c r="AJ125" s="42"/>
      <c r="AK125" s="37" t="s">
        <v>3080</v>
      </c>
      <c r="AL125" s="37" t="s">
        <v>3081</v>
      </c>
      <c r="AM125" s="37" t="s">
        <v>3082</v>
      </c>
      <c r="AN125" s="37" t="s">
        <v>50</v>
      </c>
      <c r="AO125" s="43">
        <v>100</v>
      </c>
      <c r="AP125" s="35">
        <v>0</v>
      </c>
      <c r="AQ125" s="35" t="s">
        <v>441</v>
      </c>
      <c r="AR125" s="44">
        <v>120</v>
      </c>
      <c r="AS125" s="37" t="s">
        <v>52</v>
      </c>
    </row>
    <row r="126" spans="1:45" ht="57" customHeight="1" x14ac:dyDescent="0.25">
      <c r="A126" s="32" t="s">
        <v>3089</v>
      </c>
      <c r="B126" s="56">
        <v>45371</v>
      </c>
      <c r="C126" s="37" t="s">
        <v>2066</v>
      </c>
      <c r="D126" s="36"/>
      <c r="E126" s="1" t="s">
        <v>3090</v>
      </c>
      <c r="F126" s="33">
        <v>45383</v>
      </c>
      <c r="G126" s="35" t="s">
        <v>3091</v>
      </c>
      <c r="H126" s="37" t="s">
        <v>2589</v>
      </c>
      <c r="I126" s="58" t="s">
        <v>3092</v>
      </c>
      <c r="J126" s="57">
        <v>3327640.2</v>
      </c>
      <c r="K126" s="40">
        <v>0</v>
      </c>
      <c r="L126" s="41">
        <v>0</v>
      </c>
      <c r="M126" s="57">
        <v>3327640.2</v>
      </c>
      <c r="N126" s="41">
        <v>0</v>
      </c>
      <c r="O126" s="57">
        <v>3327640.2</v>
      </c>
      <c r="P126" s="27">
        <v>3327640.2</v>
      </c>
      <c r="Q126" s="27">
        <v>3327640.2</v>
      </c>
      <c r="R126" s="27">
        <v>83.211807951988007</v>
      </c>
      <c r="S126" s="38">
        <v>83.211807951988007</v>
      </c>
      <c r="T126" s="38" t="e">
        <v>#VALUE!</v>
      </c>
      <c r="U126" s="38">
        <v>39990</v>
      </c>
      <c r="V126" s="38">
        <v>39990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 t="e">
        <v>#VALUE!</v>
      </c>
      <c r="AD126" s="38" t="e">
        <v>#VALUE!</v>
      </c>
      <c r="AE126" s="33">
        <v>45444</v>
      </c>
      <c r="AF126" s="33"/>
      <c r="AG126" s="33"/>
      <c r="AH126" s="33">
        <v>45474</v>
      </c>
      <c r="AI126" s="33"/>
      <c r="AJ126" s="42"/>
      <c r="AK126" s="37" t="s">
        <v>3093</v>
      </c>
      <c r="AL126" s="37" t="s">
        <v>3094</v>
      </c>
      <c r="AM126" s="37" t="s">
        <v>3095</v>
      </c>
      <c r="AN126" s="37" t="s">
        <v>440</v>
      </c>
      <c r="AO126" s="43">
        <v>0</v>
      </c>
      <c r="AP126" s="35">
        <v>100</v>
      </c>
      <c r="AQ126" s="37" t="s">
        <v>3096</v>
      </c>
      <c r="AR126" s="48" t="s">
        <v>3097</v>
      </c>
      <c r="AS126" s="37" t="s">
        <v>52</v>
      </c>
    </row>
  </sheetData>
  <autoFilter ref="A2:AS44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9D08E3FA-3B98-4750-BDDB-99B729CC6ECB}"/>
    <hyperlink ref="E4" r:id="rId2" xr:uid="{C4C06A10-C439-4754-B357-DB2453B1194D}"/>
    <hyperlink ref="E5" r:id="rId3" xr:uid="{E583E50D-2839-4AA8-816B-A5E24AF151C3}"/>
    <hyperlink ref="E6" r:id="rId4" xr:uid="{00CA8972-CEFF-42D2-8B07-5AD4C5D27BB2}"/>
    <hyperlink ref="E7" r:id="rId5" xr:uid="{463BB1B1-08D5-42B2-9BC1-092471933C13}"/>
    <hyperlink ref="E8" r:id="rId6" xr:uid="{06CEF59B-8C73-4C5E-86BB-CF2ED0DB0CF7}"/>
    <hyperlink ref="E9" r:id="rId7" xr:uid="{76968C0C-38C4-4F43-A349-B57D947F8B78}"/>
    <hyperlink ref="E10" r:id="rId8" xr:uid="{FC418346-5D2E-4510-A00B-48567DFEBAF8}"/>
    <hyperlink ref="E11" r:id="rId9" xr:uid="{ECBC68AD-D0BE-4233-9E69-EDFFE772659C}"/>
    <hyperlink ref="E12" r:id="rId10" xr:uid="{A77C144F-0515-4CE6-ADCB-8C62C6EF4682}"/>
    <hyperlink ref="E13" r:id="rId11" xr:uid="{04BF37A8-A548-4426-A1E5-7A120B099F77}"/>
    <hyperlink ref="E14" r:id="rId12" xr:uid="{BD97178C-2290-409C-AA15-D0DF6980B06F}"/>
    <hyperlink ref="E15" r:id="rId13" xr:uid="{F3E80EB1-BA17-40DB-AF41-CB0D8A9B73AE}"/>
    <hyperlink ref="E16" r:id="rId14" xr:uid="{8D4C706F-3A77-4875-AEBA-E0B7B3DE7A5B}"/>
    <hyperlink ref="E17" r:id="rId15" xr:uid="{BDF7242F-916E-46BE-9E95-4A1C1EC96E0C}"/>
    <hyperlink ref="E18" r:id="rId16" xr:uid="{36A552B6-EBB6-451C-995D-F45DEDDCC39D}"/>
    <hyperlink ref="E19" r:id="rId17" xr:uid="{75A852E0-D79E-4AA4-B685-3578EB430864}"/>
    <hyperlink ref="E20" r:id="rId18" xr:uid="{2EA56B6A-61CA-404C-A297-161E300D9D07}"/>
    <hyperlink ref="E21" r:id="rId19" xr:uid="{2E8D35E4-3744-4504-AF1D-4C55D9B3DEF7}"/>
    <hyperlink ref="E22" r:id="rId20" xr:uid="{063BAB53-406E-4B3A-83E1-E6E8E350889D}"/>
    <hyperlink ref="E23" r:id="rId21" xr:uid="{E83BF4C3-1F89-40F2-96FC-866B7FA7ABA5}"/>
    <hyperlink ref="E25" r:id="rId22" xr:uid="{10D30193-B18E-4899-8E4D-ED145FFEA2A4}"/>
    <hyperlink ref="E26" r:id="rId23" xr:uid="{27DDAF15-4526-4DFD-9207-A4417B3D066D}"/>
    <hyperlink ref="E27" r:id="rId24" xr:uid="{6F766901-A1EF-40F8-B1A6-C0D6B4565112}"/>
    <hyperlink ref="E28" r:id="rId25" xr:uid="{F23DB09F-E467-4428-91A8-103A29E09A39}"/>
    <hyperlink ref="E29" r:id="rId26" xr:uid="{0C10424D-EFD8-4832-A4DF-D7049FFAF224}"/>
    <hyperlink ref="E30" r:id="rId27" xr:uid="{45AC7745-4982-4971-9626-7C3F650EB315}"/>
    <hyperlink ref="E31" r:id="rId28" xr:uid="{692AD725-3AB0-486C-9767-B3209E17F523}"/>
    <hyperlink ref="E32" r:id="rId29" xr:uid="{DF055BCA-6325-4C5B-BB0F-B5CFAA647596}"/>
    <hyperlink ref="E33" r:id="rId30" xr:uid="{5DB50F92-4910-4D84-BA06-296D9C10C41F}"/>
    <hyperlink ref="E34" r:id="rId31" xr:uid="{23728EDF-CF0F-4340-8BD7-7796CB65F023}"/>
    <hyperlink ref="E35" r:id="rId32" xr:uid="{A31642C7-AB5B-45DE-B04C-CA5C95E585EA}"/>
    <hyperlink ref="E36" r:id="rId33" xr:uid="{5A9F7643-4387-4091-8A6D-2DC04F122497}"/>
    <hyperlink ref="E37" r:id="rId34" xr:uid="{4E87451E-CCC3-4054-8D17-57278AC2C237}"/>
    <hyperlink ref="E38" r:id="rId35" xr:uid="{6F264F90-6778-4996-8248-3263B97403E1}"/>
    <hyperlink ref="E39" r:id="rId36" xr:uid="{8F7EC0F5-494A-4CE6-A76E-03244ED6D29E}"/>
    <hyperlink ref="E40" r:id="rId37" xr:uid="{55AA9E0B-8036-4925-A498-93404C4AC202}"/>
    <hyperlink ref="E41" r:id="rId38" xr:uid="{48C00AB3-93AD-440C-AC5D-EBF9F5FA3901}"/>
    <hyperlink ref="E42" r:id="rId39" xr:uid="{345C989F-D4EB-449B-A028-5983F2E61BD0}"/>
    <hyperlink ref="E43" r:id="rId40" xr:uid="{1FB8A43A-36C5-4BEB-970D-34C085B07A4E}"/>
    <hyperlink ref="E44" r:id="rId41" xr:uid="{D94CB3E7-D5D3-4C03-A0BC-C42C94758EDB}"/>
    <hyperlink ref="E45" r:id="rId42" xr:uid="{FFB05991-A7F2-4E1A-9F7D-5DFDAE8E256F}"/>
    <hyperlink ref="E46" r:id="rId43" xr:uid="{52C6AAB2-5CBC-4873-A2A0-0899B5B5C0C8}"/>
    <hyperlink ref="E47" r:id="rId44" xr:uid="{C774326D-1AEB-4896-8E69-2EB4DD74FB13}"/>
    <hyperlink ref="E48" r:id="rId45" xr:uid="{56E253DA-3F3E-4315-A206-7CB01EE6E46D}"/>
    <hyperlink ref="E49" r:id="rId46" xr:uid="{1317C2CB-39FD-420D-96F0-666562957566}"/>
    <hyperlink ref="E50" r:id="rId47" xr:uid="{2C2DCEE8-B45B-4894-A671-701E9C282916}"/>
    <hyperlink ref="E51" r:id="rId48" xr:uid="{20F8F267-8980-48D7-B4B8-8B4127DE99B4}"/>
    <hyperlink ref="E52" r:id="rId49" xr:uid="{EDF37898-A63B-4D71-A0D8-6F6090236EBA}"/>
    <hyperlink ref="E53" r:id="rId50" xr:uid="{2822FC18-9F03-4C66-AC11-34CDA673BD0E}"/>
    <hyperlink ref="E54" r:id="rId51" xr:uid="{04C2D892-B8FB-414A-B4D2-85698E613A0C}"/>
    <hyperlink ref="E55" r:id="rId52" xr:uid="{B1D38530-080D-4BAD-BDB1-17268F1C8ED2}"/>
    <hyperlink ref="E56" r:id="rId53" xr:uid="{724AECC1-4B3F-4B3D-BFA7-23055DF31A39}"/>
    <hyperlink ref="E57" r:id="rId54" xr:uid="{1A18B18C-0E36-478D-8F2E-D7E47D595CEF}"/>
    <hyperlink ref="E58" r:id="rId55" xr:uid="{1ABC624F-D71A-4685-AD1D-70739832E0F6}"/>
    <hyperlink ref="E59" r:id="rId56" xr:uid="{25998AA1-4D2C-4632-8B32-78F09E3C4C83}"/>
    <hyperlink ref="E60" r:id="rId57" xr:uid="{F95DFE40-1DC9-4A08-A859-B919D1A52220}"/>
    <hyperlink ref="E61" r:id="rId58" xr:uid="{AA4600CE-57A7-460C-9F70-F88B9708692A}"/>
    <hyperlink ref="E62" r:id="rId59" xr:uid="{582D4D9C-32A2-4237-90EC-88D4376BDEE7}"/>
    <hyperlink ref="E63" r:id="rId60" xr:uid="{2BFDFCED-411F-4C88-987E-800BD9F768A6}"/>
    <hyperlink ref="E64" r:id="rId61" xr:uid="{121F1357-6C9F-4DBA-8BB5-5AD981628843}"/>
    <hyperlink ref="E65" r:id="rId62" xr:uid="{EC225B40-21C2-4DD8-B889-644B9297D98D}"/>
    <hyperlink ref="E66" r:id="rId63" xr:uid="{2D92D61A-4AFF-4CD4-98B6-5DB814F86C6C}"/>
    <hyperlink ref="E67" r:id="rId64" xr:uid="{87C77FCC-37A3-485F-8E7C-B0A4C53E885B}"/>
    <hyperlink ref="E68" r:id="rId65" xr:uid="{436F862D-FB56-4849-B2BA-E1E442A6EB13}"/>
    <hyperlink ref="E69" r:id="rId66" xr:uid="{5A0C5797-14EC-4C11-9FF6-59FA3D9093B4}"/>
    <hyperlink ref="E70" r:id="rId67" xr:uid="{D7043154-D0DB-42B8-B1C4-20799C0F7C98}"/>
    <hyperlink ref="E71" r:id="rId68" xr:uid="{19149C3E-CA3F-48B8-ABE6-2526829F2234}"/>
    <hyperlink ref="E72" r:id="rId69" xr:uid="{5EE52D08-A061-48F4-8C35-8F07D723F278}"/>
    <hyperlink ref="E73" r:id="rId70" xr:uid="{B568B72C-9EBB-48E8-9DBD-8902DF7E337A}"/>
    <hyperlink ref="E74" r:id="rId71" xr:uid="{53777DF8-2644-40F0-B8FD-917F1923276A}"/>
    <hyperlink ref="E75" r:id="rId72" xr:uid="{C76F42B3-04C0-40CC-912F-2E7860EBBDC1}"/>
    <hyperlink ref="E76" r:id="rId73" xr:uid="{47F8BE52-91ED-42B6-B327-3BF8CC2D2D68}"/>
    <hyperlink ref="E77" r:id="rId74" xr:uid="{DA936ECF-8D50-47C7-9AE6-D94178B839E3}"/>
    <hyperlink ref="E78" r:id="rId75" xr:uid="{5F2AA975-6BBC-4CA5-AB2A-583852F74A04}"/>
    <hyperlink ref="E79" r:id="rId76" xr:uid="{63D0BCA7-5F03-428E-BF57-4F9DA0E63FF3}"/>
    <hyperlink ref="E80" r:id="rId77" xr:uid="{C6C8163D-6F71-43AF-9B70-6A116B556E87}"/>
    <hyperlink ref="E81" r:id="rId78" xr:uid="{EFA88AF4-8294-440B-A001-47B180B045F3}"/>
    <hyperlink ref="E82" r:id="rId79" xr:uid="{2E41CF49-1D0A-40F1-8E02-0C43DB382D96}"/>
    <hyperlink ref="E83" r:id="rId80" xr:uid="{BE519D1B-9C11-409E-82B5-4C1D357CF0F2}"/>
    <hyperlink ref="E84" r:id="rId81" xr:uid="{B5BD3DAD-6AD6-43B6-91B8-8B631A39C75B}"/>
    <hyperlink ref="E85" r:id="rId82" xr:uid="{989C55CC-8CD2-4B0D-B976-2DB85585AD85}"/>
    <hyperlink ref="E86" r:id="rId83" xr:uid="{83FA3F0A-86CF-43DA-B1B0-B7A5F4AAAD88}"/>
    <hyperlink ref="E87" r:id="rId84" xr:uid="{A7B6DF24-8517-4456-8F75-C23CE23CA988}"/>
    <hyperlink ref="E88" r:id="rId85" xr:uid="{B4909008-D08E-4174-A000-1E85A39571DA}"/>
    <hyperlink ref="E89" r:id="rId86" xr:uid="{C0F0C6D0-76A8-4BE1-AD31-AFA9554ECB80}"/>
    <hyperlink ref="E90" r:id="rId87" xr:uid="{6F8C1411-0CB0-46B5-896B-D3AD44EB5FB5}"/>
    <hyperlink ref="E91" r:id="rId88" xr:uid="{3E5F8FBE-2C5C-4BE3-95F7-1E07636A66C0}"/>
    <hyperlink ref="E92" r:id="rId89" xr:uid="{FE1E8B5C-9241-481D-9705-099A747A57CC}"/>
    <hyperlink ref="E93" r:id="rId90" xr:uid="{22853F54-83DF-471D-A5CF-CDA41FFEBC86}"/>
    <hyperlink ref="E94" r:id="rId91" xr:uid="{4999BCD9-6213-4053-AF8A-AC2F0635C04A}"/>
    <hyperlink ref="E95" r:id="rId92" xr:uid="{678B7A3A-7BC3-408D-8F90-3D9576F35BF7}"/>
    <hyperlink ref="E96" r:id="rId93" xr:uid="{31D3250B-8B53-46A5-9019-AEBB4057F777}"/>
    <hyperlink ref="E97" r:id="rId94" xr:uid="{22F587D3-9A5C-46FD-9C5B-CC22E91104B2}"/>
    <hyperlink ref="E98" r:id="rId95" xr:uid="{279207A9-8766-465C-AD02-98B534DBCE1A}"/>
    <hyperlink ref="E99" r:id="rId96" xr:uid="{2368AACD-58E0-459C-BE05-C43F398768D1}"/>
    <hyperlink ref="E100" r:id="rId97" xr:uid="{214E68F7-8CFC-491A-9531-E6884C353B9E}"/>
    <hyperlink ref="E101" r:id="rId98" xr:uid="{1A2DD8EB-F916-4738-859B-005DDB005E48}"/>
    <hyperlink ref="E102" r:id="rId99" xr:uid="{79D909A9-B725-474C-8AF3-172DF47B5FE6}"/>
    <hyperlink ref="E103" r:id="rId100" xr:uid="{B99ECBB8-7952-44CC-B8D1-C7E8CD0F1835}"/>
    <hyperlink ref="E104" r:id="rId101" xr:uid="{1B74C4B9-613A-40A6-B355-FE8373AC2632}"/>
    <hyperlink ref="E105" r:id="rId102" xr:uid="{4A09EDAB-2D3E-41FA-8F59-44E19BE63C26}"/>
    <hyperlink ref="E106" r:id="rId103" xr:uid="{B2BE7986-E721-481C-8832-296F3AFBD8AE}"/>
    <hyperlink ref="E107" r:id="rId104" xr:uid="{8BCE2CB3-9B25-4D9D-B354-F78AF573745B}"/>
    <hyperlink ref="E108" r:id="rId105" xr:uid="{DD3AB6BB-B96B-467E-8F59-07FA8105FE1F}"/>
    <hyperlink ref="E109" r:id="rId106" xr:uid="{56B13E42-AACD-44F6-87D4-7C706B819542}"/>
    <hyperlink ref="E110" r:id="rId107" xr:uid="{06B8EFDE-1692-4C51-84E8-C59BDD46B53C}"/>
    <hyperlink ref="E111" r:id="rId108" xr:uid="{329057C8-A281-46F0-9C5D-9B1CF847BCF5}"/>
    <hyperlink ref="E112" r:id="rId109" xr:uid="{E1C75248-D813-4EE1-AB16-AA007F465E49}"/>
    <hyperlink ref="E113" r:id="rId110" xr:uid="{5F5E69C8-3D4C-416B-8BE9-BD81D03DC28B}"/>
    <hyperlink ref="E114" r:id="rId111" xr:uid="{DEEAA559-1D06-4126-BC49-A88550A7AB95}"/>
    <hyperlink ref="E115" r:id="rId112" xr:uid="{06B84EF2-503E-4428-9257-487099D0B2D4}"/>
    <hyperlink ref="E116" r:id="rId113" xr:uid="{97BF2F89-7740-42A7-B75D-A91EB6463DE1}"/>
    <hyperlink ref="E117" r:id="rId114" xr:uid="{3D921CBC-FBAF-4411-A8E3-62EF08644F38}"/>
    <hyperlink ref="E118" r:id="rId115" xr:uid="{A0911C54-CADF-4EC0-8CF3-6AE91E0AFD4A}"/>
    <hyperlink ref="E119" r:id="rId116" xr:uid="{6B8AE3D5-F531-4302-9F78-6D1F299D6C59}"/>
    <hyperlink ref="E120" r:id="rId117" xr:uid="{8F0C22E5-4E08-4BEC-A95B-488D0ED79ABB}"/>
    <hyperlink ref="E121" r:id="rId118" xr:uid="{822F898E-94E5-4524-96FC-22C45D5BE6A3}"/>
    <hyperlink ref="E122" r:id="rId119" xr:uid="{99E9BE2A-0C8E-4E94-8250-DD11969228B5}"/>
    <hyperlink ref="E123" r:id="rId120" xr:uid="{EDC671DC-9E99-4BF1-A75C-5BFF35576019}"/>
    <hyperlink ref="E124" r:id="rId121" xr:uid="{341EDAF9-6309-4D6E-B494-2D35134BA9F6}"/>
    <hyperlink ref="E125" r:id="rId122" xr:uid="{132D700E-CA31-4466-89B5-1DF43318BEF0}"/>
    <hyperlink ref="E126" r:id="rId123" xr:uid="{4542DCC4-226E-441F-9F73-35F26424AEC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33DD7-48EB-4D21-BEF2-3135FA549B5F}">
  <dimension ref="A1:AS76"/>
  <sheetViews>
    <sheetView zoomScale="77" zoomScaleNormal="77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10" sqref="B10"/>
    </sheetView>
  </sheetViews>
  <sheetFormatPr defaultColWidth="9.140625" defaultRowHeight="15.75" x14ac:dyDescent="0.25"/>
  <cols>
    <col min="1" max="1" width="23.85546875" style="18" customWidth="1"/>
    <col min="2" max="2" width="15.140625" style="71" customWidth="1"/>
    <col min="3" max="3" width="15.42578125" style="18" customWidth="1"/>
    <col min="4" max="4" width="15.7109375" style="18" customWidth="1"/>
    <col min="5" max="5" width="17.5703125" style="18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8" customWidth="1"/>
    <col min="10" max="10" width="22.140625" style="51" customWidth="1"/>
    <col min="11" max="11" width="19.140625" style="51" customWidth="1"/>
    <col min="12" max="12" width="21.28515625" style="18" customWidth="1"/>
    <col min="13" max="13" width="21.7109375" style="18" customWidth="1"/>
    <col min="14" max="14" width="19.5703125" style="18" customWidth="1"/>
    <col min="15" max="15" width="21.42578125" style="18" customWidth="1"/>
    <col min="16" max="16" width="23.5703125" style="18" customWidth="1"/>
    <col min="17" max="17" width="19.85546875" style="18" customWidth="1"/>
    <col min="18" max="18" width="15" style="18" customWidth="1"/>
    <col min="19" max="20" width="14.5703125" style="18" customWidth="1"/>
    <col min="21" max="21" width="20.140625" style="18" customWidth="1"/>
    <col min="22" max="22" width="17.5703125" style="73" customWidth="1"/>
    <col min="23" max="23" width="15.5703125" style="18" customWidth="1"/>
    <col min="24" max="24" width="15.5703125" style="72" customWidth="1"/>
    <col min="25" max="25" width="17.42578125" style="18" customWidth="1"/>
    <col min="26" max="28" width="17" style="18" customWidth="1"/>
    <col min="29" max="29" width="20.85546875" style="18" customWidth="1"/>
    <col min="30" max="30" width="16.42578125" style="18" customWidth="1"/>
    <col min="31" max="31" width="13.7109375" style="18" customWidth="1"/>
    <col min="32" max="32" width="14" style="18" customWidth="1"/>
    <col min="33" max="33" width="13.5703125" style="51" customWidth="1"/>
    <col min="34" max="34" width="14.85546875" style="51" customWidth="1"/>
    <col min="35" max="35" width="15.42578125" style="18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8" customWidth="1"/>
    <col min="42" max="42" width="14.7109375" style="52" customWidth="1"/>
    <col min="43" max="43" width="12.5703125" style="18" customWidth="1"/>
    <col min="44" max="44" width="13.85546875" style="72" customWidth="1"/>
    <col min="45" max="45" width="17.140625" style="18" customWidth="1"/>
    <col min="46" max="16384" width="9.140625" style="18"/>
  </cols>
  <sheetData>
    <row r="1" spans="1:45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9" t="s">
        <v>15</v>
      </c>
      <c r="Q1" s="8" t="s">
        <v>16</v>
      </c>
      <c r="R1" s="9" t="s">
        <v>17</v>
      </c>
      <c r="S1" s="9" t="s">
        <v>18</v>
      </c>
      <c r="T1" s="3" t="s">
        <v>19</v>
      </c>
      <c r="U1" s="10" t="s">
        <v>20</v>
      </c>
      <c r="V1" s="11"/>
      <c r="W1" s="11"/>
      <c r="X1" s="11"/>
      <c r="Y1" s="11"/>
      <c r="Z1" s="11"/>
      <c r="AA1" s="11"/>
      <c r="AB1" s="11"/>
      <c r="AC1" s="11"/>
      <c r="AD1" s="12"/>
      <c r="AE1" s="13" t="s">
        <v>21</v>
      </c>
      <c r="AF1" s="14"/>
      <c r="AG1" s="15"/>
      <c r="AH1" s="13" t="s">
        <v>22</v>
      </c>
      <c r="AI1" s="14"/>
      <c r="AJ1" s="15"/>
      <c r="AK1" s="16" t="s">
        <v>23</v>
      </c>
      <c r="AL1" s="16" t="s">
        <v>24</v>
      </c>
      <c r="AM1" s="16" t="s">
        <v>25</v>
      </c>
      <c r="AN1" s="16" t="s">
        <v>26</v>
      </c>
      <c r="AO1" s="8" t="s">
        <v>27</v>
      </c>
      <c r="AP1" s="8" t="s">
        <v>28</v>
      </c>
      <c r="AQ1" s="9" t="s">
        <v>29</v>
      </c>
      <c r="AR1" s="17" t="s">
        <v>30</v>
      </c>
      <c r="AS1" s="16" t="s">
        <v>31</v>
      </c>
    </row>
    <row r="2" spans="1:45" ht="45" customHeight="1" x14ac:dyDescent="0.25">
      <c r="A2" s="19"/>
      <c r="B2" s="20"/>
      <c r="C2" s="23"/>
      <c r="D2" s="24"/>
      <c r="E2" s="22"/>
      <c r="F2" s="21"/>
      <c r="G2" s="22"/>
      <c r="H2" s="22"/>
      <c r="I2" s="25"/>
      <c r="J2" s="26"/>
      <c r="K2" s="26"/>
      <c r="L2" s="26"/>
      <c r="M2" s="25"/>
      <c r="N2" s="25"/>
      <c r="O2" s="25"/>
      <c r="P2" s="25"/>
      <c r="Q2" s="25"/>
      <c r="R2" s="26"/>
      <c r="S2" s="26"/>
      <c r="T2" s="20"/>
      <c r="U2" s="27" t="s">
        <v>32</v>
      </c>
      <c r="V2" s="27" t="s">
        <v>33</v>
      </c>
      <c r="W2" s="27" t="s">
        <v>34</v>
      </c>
      <c r="X2" s="27" t="s">
        <v>35</v>
      </c>
      <c r="Y2" s="27" t="s">
        <v>36</v>
      </c>
      <c r="Z2" s="27" t="s">
        <v>37</v>
      </c>
      <c r="AA2" s="27" t="s">
        <v>38</v>
      </c>
      <c r="AB2" s="27" t="s">
        <v>39</v>
      </c>
      <c r="AC2" s="27" t="s">
        <v>40</v>
      </c>
      <c r="AD2" s="27" t="s">
        <v>41</v>
      </c>
      <c r="AE2" s="28" t="s">
        <v>33</v>
      </c>
      <c r="AF2" s="28" t="s">
        <v>34</v>
      </c>
      <c r="AG2" s="28" t="s">
        <v>35</v>
      </c>
      <c r="AH2" s="28" t="s">
        <v>33</v>
      </c>
      <c r="AI2" s="28" t="s">
        <v>34</v>
      </c>
      <c r="AJ2" s="28" t="s">
        <v>35</v>
      </c>
      <c r="AK2" s="29"/>
      <c r="AL2" s="29"/>
      <c r="AM2" s="29"/>
      <c r="AN2" s="29"/>
      <c r="AO2" s="25"/>
      <c r="AP2" s="25"/>
      <c r="AQ2" s="26"/>
      <c r="AR2" s="30"/>
      <c r="AS2" s="29"/>
    </row>
    <row r="3" spans="1:45" ht="50.25" customHeight="1" x14ac:dyDescent="0.25">
      <c r="A3" s="46" t="s">
        <v>546</v>
      </c>
      <c r="B3" s="42">
        <v>45181</v>
      </c>
      <c r="C3" s="37" t="s">
        <v>548</v>
      </c>
      <c r="D3" s="35" t="s">
        <v>547</v>
      </c>
      <c r="E3" s="1" t="s">
        <v>549</v>
      </c>
      <c r="F3" s="35" t="s">
        <v>547</v>
      </c>
      <c r="G3" s="35" t="s">
        <v>550</v>
      </c>
      <c r="H3" s="37" t="s">
        <v>485</v>
      </c>
      <c r="I3" s="37" t="s">
        <v>551</v>
      </c>
      <c r="J3" s="39">
        <v>445239478.80000001</v>
      </c>
      <c r="K3" s="40">
        <v>100</v>
      </c>
      <c r="L3" s="41">
        <v>445239478.80000001</v>
      </c>
      <c r="M3" s="38"/>
      <c r="N3" s="41">
        <v>445239478.80000001</v>
      </c>
      <c r="O3" s="38">
        <v>0</v>
      </c>
      <c r="P3" s="27">
        <v>0</v>
      </c>
      <c r="Q3" s="27">
        <v>0</v>
      </c>
      <c r="R3" s="27" t="e">
        <v>#DIV/0!</v>
      </c>
      <c r="S3" s="38" t="e">
        <v>#DIV/0!</v>
      </c>
      <c r="T3" s="38" t="e">
        <v>#DIV/0!</v>
      </c>
      <c r="U3" s="38">
        <v>0</v>
      </c>
      <c r="V3" s="38">
        <v>0</v>
      </c>
      <c r="W3" s="38">
        <v>0</v>
      </c>
      <c r="X3" s="38">
        <v>0</v>
      </c>
      <c r="Y3" s="38"/>
      <c r="Z3" s="38" t="e">
        <v>#DIV/0!</v>
      </c>
      <c r="AA3" s="38"/>
      <c r="AB3" s="38" t="e">
        <v>#DIV/0!</v>
      </c>
      <c r="AC3" s="38" t="e">
        <v>#DIV/0!</v>
      </c>
      <c r="AD3" s="38" t="e">
        <v>#DIV/0!</v>
      </c>
      <c r="AE3" s="33">
        <v>45301</v>
      </c>
      <c r="AF3" s="33"/>
      <c r="AG3" s="33"/>
      <c r="AH3" s="33">
        <v>45332</v>
      </c>
      <c r="AI3" s="33"/>
      <c r="AJ3" s="42"/>
      <c r="AK3" s="37"/>
      <c r="AL3" s="37"/>
      <c r="AM3" s="37"/>
      <c r="AN3" s="37"/>
      <c r="AO3" s="43"/>
      <c r="AP3" s="35"/>
      <c r="AQ3" s="35"/>
      <c r="AR3" s="44"/>
      <c r="AS3" s="37" t="s">
        <v>485</v>
      </c>
    </row>
    <row r="4" spans="1:45" ht="57" customHeight="1" x14ac:dyDescent="0.25">
      <c r="A4" s="46" t="s">
        <v>584</v>
      </c>
      <c r="B4" s="42">
        <v>45211</v>
      </c>
      <c r="C4" s="37" t="s">
        <v>548</v>
      </c>
      <c r="D4" s="36" t="s">
        <v>585</v>
      </c>
      <c r="E4" s="1" t="s">
        <v>586</v>
      </c>
      <c r="F4" s="33">
        <v>45230</v>
      </c>
      <c r="G4" s="35" t="s">
        <v>587</v>
      </c>
      <c r="H4" s="37" t="s">
        <v>219</v>
      </c>
      <c r="I4" s="37" t="s">
        <v>551</v>
      </c>
      <c r="J4" s="39">
        <v>288944067.75</v>
      </c>
      <c r="K4" s="40">
        <v>0</v>
      </c>
      <c r="L4" s="41">
        <v>0</v>
      </c>
      <c r="M4" s="38">
        <v>288944067.75</v>
      </c>
      <c r="N4" s="41">
        <v>0</v>
      </c>
      <c r="O4" s="38">
        <v>288944067.75</v>
      </c>
      <c r="P4" s="27">
        <v>288944067.75</v>
      </c>
      <c r="Q4" s="27">
        <v>288944067.75</v>
      </c>
      <c r="R4" s="27">
        <v>574.54999999999995</v>
      </c>
      <c r="S4" s="38">
        <v>574.54999999999995</v>
      </c>
      <c r="T4" s="38">
        <v>108015.4</v>
      </c>
      <c r="U4" s="38">
        <v>502905</v>
      </c>
      <c r="V4" s="38">
        <v>502905</v>
      </c>
      <c r="W4" s="38">
        <v>0</v>
      </c>
      <c r="X4" s="38">
        <v>0</v>
      </c>
      <c r="Y4" s="38"/>
      <c r="Z4" s="38">
        <v>0</v>
      </c>
      <c r="AA4" s="38"/>
      <c r="AB4" s="38">
        <v>0</v>
      </c>
      <c r="AC4" s="38">
        <v>2675.0265957446809</v>
      </c>
      <c r="AD4" s="38">
        <v>2676</v>
      </c>
      <c r="AE4" s="33">
        <v>45301</v>
      </c>
      <c r="AF4" s="33"/>
      <c r="AG4" s="33"/>
      <c r="AH4" s="33">
        <v>45332</v>
      </c>
      <c r="AI4" s="33"/>
      <c r="AJ4" s="42"/>
      <c r="AK4" s="37" t="s">
        <v>588</v>
      </c>
      <c r="AL4" s="37" t="s">
        <v>589</v>
      </c>
      <c r="AM4" s="37" t="s">
        <v>590</v>
      </c>
      <c r="AN4" s="37" t="s">
        <v>50</v>
      </c>
      <c r="AO4" s="43">
        <v>100</v>
      </c>
      <c r="AP4" s="35">
        <v>0</v>
      </c>
      <c r="AQ4" s="35" t="s">
        <v>441</v>
      </c>
      <c r="AR4" s="44">
        <v>188</v>
      </c>
      <c r="AS4" s="37" t="s">
        <v>176</v>
      </c>
    </row>
    <row r="5" spans="1:45" ht="48" customHeight="1" x14ac:dyDescent="0.25">
      <c r="A5" s="32" t="s">
        <v>1989</v>
      </c>
      <c r="B5" s="56">
        <v>45324</v>
      </c>
      <c r="C5" s="37" t="s">
        <v>548</v>
      </c>
      <c r="D5" s="36"/>
      <c r="E5" s="1" t="s">
        <v>1990</v>
      </c>
      <c r="F5" s="33">
        <v>45348</v>
      </c>
      <c r="G5" s="35" t="s">
        <v>1991</v>
      </c>
      <c r="H5" s="37" t="s">
        <v>138</v>
      </c>
      <c r="I5" s="58" t="s">
        <v>1992</v>
      </c>
      <c r="J5" s="57">
        <v>247826882.88</v>
      </c>
      <c r="K5" s="40">
        <v>0</v>
      </c>
      <c r="L5" s="41">
        <v>0</v>
      </c>
      <c r="M5" s="57">
        <v>247826882.88</v>
      </c>
      <c r="N5" s="41">
        <v>0</v>
      </c>
      <c r="O5" s="57">
        <v>247826882.88</v>
      </c>
      <c r="P5" s="27">
        <v>247826882.88</v>
      </c>
      <c r="Q5" s="27">
        <v>247826882.88</v>
      </c>
      <c r="R5" s="27">
        <v>144.66</v>
      </c>
      <c r="S5" s="38">
        <v>144.66</v>
      </c>
      <c r="T5" s="38">
        <v>6943.68</v>
      </c>
      <c r="U5" s="38">
        <v>1713168</v>
      </c>
      <c r="V5" s="38">
        <v>576000</v>
      </c>
      <c r="W5" s="38">
        <v>576000</v>
      </c>
      <c r="X5" s="38">
        <v>561168</v>
      </c>
      <c r="Y5" s="38">
        <v>0</v>
      </c>
      <c r="Z5" s="38">
        <v>0</v>
      </c>
      <c r="AA5" s="38">
        <v>0</v>
      </c>
      <c r="AB5" s="38">
        <v>0</v>
      </c>
      <c r="AC5" s="38">
        <v>35691</v>
      </c>
      <c r="AD5" s="38">
        <v>35691</v>
      </c>
      <c r="AE5" s="33">
        <v>45383</v>
      </c>
      <c r="AF5" s="33">
        <v>45474</v>
      </c>
      <c r="AG5" s="33">
        <v>45550</v>
      </c>
      <c r="AH5" s="33">
        <v>45413</v>
      </c>
      <c r="AI5" s="33">
        <v>45505</v>
      </c>
      <c r="AJ5" s="42">
        <v>45580</v>
      </c>
      <c r="AK5" s="37" t="s">
        <v>1993</v>
      </c>
      <c r="AL5" s="37" t="s">
        <v>1994</v>
      </c>
      <c r="AM5" s="37" t="s">
        <v>1995</v>
      </c>
      <c r="AN5" s="37" t="s">
        <v>326</v>
      </c>
      <c r="AO5" s="43">
        <v>0</v>
      </c>
      <c r="AP5" s="35">
        <v>100</v>
      </c>
      <c r="AQ5" s="35" t="s">
        <v>441</v>
      </c>
      <c r="AR5" s="44">
        <v>48</v>
      </c>
      <c r="AS5" s="37" t="s">
        <v>380</v>
      </c>
    </row>
    <row r="6" spans="1:45" ht="48" customHeight="1" x14ac:dyDescent="0.25">
      <c r="A6" s="32" t="s">
        <v>1996</v>
      </c>
      <c r="B6" s="56">
        <v>45324</v>
      </c>
      <c r="C6" s="37" t="s">
        <v>548</v>
      </c>
      <c r="D6" s="36" t="s">
        <v>485</v>
      </c>
      <c r="E6" s="1" t="s">
        <v>1997</v>
      </c>
      <c r="F6" s="33" t="s">
        <v>485</v>
      </c>
      <c r="G6" s="35" t="s">
        <v>485</v>
      </c>
      <c r="H6" s="37" t="s">
        <v>485</v>
      </c>
      <c r="I6" s="58" t="s">
        <v>1998</v>
      </c>
      <c r="J6" s="57">
        <v>9795456</v>
      </c>
      <c r="K6" s="40">
        <v>100</v>
      </c>
      <c r="L6" s="41">
        <v>9795456</v>
      </c>
      <c r="M6" s="38"/>
      <c r="N6" s="41">
        <v>9795456</v>
      </c>
      <c r="O6" s="38">
        <v>0</v>
      </c>
      <c r="P6" s="27">
        <v>0</v>
      </c>
      <c r="Q6" s="27">
        <v>0</v>
      </c>
      <c r="R6" s="27">
        <v>5.28</v>
      </c>
      <c r="S6" s="38">
        <v>0</v>
      </c>
      <c r="T6" s="38">
        <v>0</v>
      </c>
      <c r="U6" s="38">
        <v>1855200</v>
      </c>
      <c r="V6" s="38">
        <v>1855200</v>
      </c>
      <c r="W6" s="38">
        <v>0</v>
      </c>
      <c r="X6" s="38">
        <v>0</v>
      </c>
      <c r="Y6" s="38"/>
      <c r="Z6" s="38">
        <v>0</v>
      </c>
      <c r="AA6" s="38"/>
      <c r="AB6" s="38">
        <v>0</v>
      </c>
      <c r="AC6" s="38" t="e">
        <v>#DIV/0!</v>
      </c>
      <c r="AD6" s="38" t="e">
        <v>#DIV/0!</v>
      </c>
      <c r="AE6" s="33">
        <v>45383</v>
      </c>
      <c r="AF6" s="33"/>
      <c r="AG6" s="33"/>
      <c r="AH6" s="33"/>
      <c r="AI6" s="33"/>
      <c r="AJ6" s="42"/>
      <c r="AK6" s="37"/>
      <c r="AL6" s="37"/>
      <c r="AM6" s="37"/>
      <c r="AN6" s="37"/>
      <c r="AO6" s="43"/>
      <c r="AP6" s="35"/>
      <c r="AQ6" s="35"/>
      <c r="AR6" s="44"/>
      <c r="AS6" s="37" t="s">
        <v>485</v>
      </c>
    </row>
    <row r="7" spans="1:45" ht="48" customHeight="1" x14ac:dyDescent="0.25">
      <c r="A7" s="32" t="s">
        <v>1999</v>
      </c>
      <c r="B7" s="56">
        <v>45324</v>
      </c>
      <c r="C7" s="37" t="s">
        <v>548</v>
      </c>
      <c r="D7" s="36"/>
      <c r="E7" s="1" t="s">
        <v>2000</v>
      </c>
      <c r="F7" s="33">
        <v>45348</v>
      </c>
      <c r="G7" s="35" t="s">
        <v>2001</v>
      </c>
      <c r="H7" s="37" t="s">
        <v>291</v>
      </c>
      <c r="I7" s="59" t="s">
        <v>2002</v>
      </c>
      <c r="J7" s="57">
        <v>12375990</v>
      </c>
      <c r="K7" s="40">
        <v>0</v>
      </c>
      <c r="L7" s="41">
        <v>0</v>
      </c>
      <c r="M7" s="57">
        <v>12375990</v>
      </c>
      <c r="N7" s="41">
        <v>0</v>
      </c>
      <c r="O7" s="57">
        <v>12375990</v>
      </c>
      <c r="P7" s="27">
        <v>12375990</v>
      </c>
      <c r="Q7" s="27">
        <v>12375990</v>
      </c>
      <c r="R7" s="27">
        <v>49.5</v>
      </c>
      <c r="S7" s="38">
        <v>49.5</v>
      </c>
      <c r="T7" s="38">
        <v>4950</v>
      </c>
      <c r="U7" s="38">
        <v>250020</v>
      </c>
      <c r="V7" s="38">
        <v>250020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2500.1999999999998</v>
      </c>
      <c r="AD7" s="38">
        <v>2501</v>
      </c>
      <c r="AE7" s="33">
        <v>45383</v>
      </c>
      <c r="AF7" s="33"/>
      <c r="AG7" s="33"/>
      <c r="AH7" s="33">
        <v>45413</v>
      </c>
      <c r="AI7" s="33"/>
      <c r="AJ7" s="42"/>
      <c r="AK7" s="37" t="s">
        <v>2003</v>
      </c>
      <c r="AL7" s="37" t="s">
        <v>2004</v>
      </c>
      <c r="AM7" s="37" t="s">
        <v>2005</v>
      </c>
      <c r="AN7" s="37" t="s">
        <v>50</v>
      </c>
      <c r="AO7" s="43">
        <v>100</v>
      </c>
      <c r="AP7" s="35">
        <v>0</v>
      </c>
      <c r="AQ7" s="35" t="s">
        <v>441</v>
      </c>
      <c r="AR7" s="44">
        <v>100</v>
      </c>
      <c r="AS7" s="37" t="s">
        <v>52</v>
      </c>
    </row>
    <row r="8" spans="1:45" ht="36.75" customHeight="1" x14ac:dyDescent="0.25">
      <c r="A8" s="46" t="s">
        <v>2018</v>
      </c>
      <c r="B8" s="33">
        <v>45327</v>
      </c>
      <c r="C8" s="37" t="s">
        <v>548</v>
      </c>
      <c r="D8" s="36"/>
      <c r="E8" s="1" t="s">
        <v>2019</v>
      </c>
      <c r="F8" s="33">
        <v>45356</v>
      </c>
      <c r="G8" s="35" t="s">
        <v>2020</v>
      </c>
      <c r="H8" s="37" t="s">
        <v>219</v>
      </c>
      <c r="I8" s="37" t="s">
        <v>2021</v>
      </c>
      <c r="J8" s="38">
        <v>509832688</v>
      </c>
      <c r="K8" s="40">
        <v>0</v>
      </c>
      <c r="L8" s="41">
        <v>0</v>
      </c>
      <c r="M8" s="38">
        <v>509832688</v>
      </c>
      <c r="N8" s="41">
        <v>0</v>
      </c>
      <c r="O8" s="38">
        <v>509832688</v>
      </c>
      <c r="P8" s="27">
        <v>509832688</v>
      </c>
      <c r="Q8" s="27">
        <v>509832688</v>
      </c>
      <c r="R8" s="27">
        <v>574.54999999999995</v>
      </c>
      <c r="S8" s="38">
        <v>574.54999999999995</v>
      </c>
      <c r="T8" s="38">
        <v>108015.4</v>
      </c>
      <c r="U8" s="38">
        <v>887360</v>
      </c>
      <c r="V8" s="38">
        <v>887360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4720</v>
      </c>
      <c r="AD8" s="38">
        <v>4720</v>
      </c>
      <c r="AE8" s="33">
        <v>45397</v>
      </c>
      <c r="AF8" s="33"/>
      <c r="AG8" s="33"/>
      <c r="AH8" s="33">
        <v>45427</v>
      </c>
      <c r="AI8" s="33"/>
      <c r="AJ8" s="42"/>
      <c r="AK8" s="37" t="s">
        <v>588</v>
      </c>
      <c r="AL8" s="37" t="s">
        <v>589</v>
      </c>
      <c r="AM8" s="37" t="s">
        <v>590</v>
      </c>
      <c r="AN8" s="37" t="s">
        <v>50</v>
      </c>
      <c r="AO8" s="43">
        <v>100</v>
      </c>
      <c r="AP8" s="35">
        <v>0</v>
      </c>
      <c r="AQ8" s="35" t="s">
        <v>441</v>
      </c>
      <c r="AR8" s="44">
        <v>188</v>
      </c>
      <c r="AS8" s="37" t="s">
        <v>52</v>
      </c>
    </row>
    <row r="9" spans="1:45" ht="107.25" customHeight="1" x14ac:dyDescent="0.25">
      <c r="A9" s="46" t="s">
        <v>2022</v>
      </c>
      <c r="B9" s="33">
        <v>45327</v>
      </c>
      <c r="C9" s="37" t="s">
        <v>548</v>
      </c>
      <c r="D9" s="36"/>
      <c r="E9" s="1" t="s">
        <v>2023</v>
      </c>
      <c r="F9" s="33">
        <v>45352</v>
      </c>
      <c r="G9" s="35" t="s">
        <v>2024</v>
      </c>
      <c r="H9" s="37" t="s">
        <v>291</v>
      </c>
      <c r="I9" s="37" t="s">
        <v>2025</v>
      </c>
      <c r="J9" s="38">
        <v>12153240</v>
      </c>
      <c r="K9" s="40">
        <v>0</v>
      </c>
      <c r="L9" s="41">
        <v>0</v>
      </c>
      <c r="M9" s="38">
        <v>12153240</v>
      </c>
      <c r="N9" s="41">
        <v>0</v>
      </c>
      <c r="O9" s="38">
        <v>12153240</v>
      </c>
      <c r="P9" s="27">
        <v>12153240</v>
      </c>
      <c r="Q9" s="27">
        <v>12153240</v>
      </c>
      <c r="R9" s="27">
        <v>396</v>
      </c>
      <c r="S9" s="38">
        <v>396</v>
      </c>
      <c r="T9" s="38">
        <v>39600</v>
      </c>
      <c r="U9" s="38">
        <v>30690</v>
      </c>
      <c r="V9" s="38">
        <v>30690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306.89999999999998</v>
      </c>
      <c r="AD9" s="38">
        <v>307</v>
      </c>
      <c r="AE9" s="33">
        <v>45383</v>
      </c>
      <c r="AF9" s="33"/>
      <c r="AG9" s="33"/>
      <c r="AH9" s="33">
        <v>45413</v>
      </c>
      <c r="AI9" s="33"/>
      <c r="AJ9" s="42"/>
      <c r="AK9" s="37" t="s">
        <v>2026</v>
      </c>
      <c r="AL9" s="37" t="s">
        <v>2027</v>
      </c>
      <c r="AM9" s="37" t="s">
        <v>2028</v>
      </c>
      <c r="AN9" s="37" t="s">
        <v>50</v>
      </c>
      <c r="AO9" s="43">
        <v>100</v>
      </c>
      <c r="AP9" s="35">
        <v>0</v>
      </c>
      <c r="AQ9" s="35" t="s">
        <v>441</v>
      </c>
      <c r="AR9" s="44">
        <v>100</v>
      </c>
      <c r="AS9" s="37" t="s">
        <v>52</v>
      </c>
    </row>
    <row r="10" spans="1:45" ht="39" customHeight="1" x14ac:dyDescent="0.25">
      <c r="A10" s="32" t="s">
        <v>2029</v>
      </c>
      <c r="B10" s="56">
        <v>45327</v>
      </c>
      <c r="C10" s="37" t="s">
        <v>548</v>
      </c>
      <c r="D10" s="36"/>
      <c r="E10" s="1" t="s">
        <v>2030</v>
      </c>
      <c r="F10" s="33">
        <v>45352</v>
      </c>
      <c r="G10" s="35" t="s">
        <v>2031</v>
      </c>
      <c r="H10" s="37" t="s">
        <v>2032</v>
      </c>
      <c r="I10" s="59" t="s">
        <v>2033</v>
      </c>
      <c r="J10" s="57">
        <v>54510610</v>
      </c>
      <c r="K10" s="40">
        <v>0</v>
      </c>
      <c r="L10" s="41">
        <v>0</v>
      </c>
      <c r="M10" s="57">
        <v>54510610</v>
      </c>
      <c r="N10" s="41">
        <v>0</v>
      </c>
      <c r="O10" s="38">
        <v>54510610</v>
      </c>
      <c r="P10" s="27">
        <v>54510610</v>
      </c>
      <c r="Q10" s="27">
        <v>54510610</v>
      </c>
      <c r="R10" s="27">
        <v>77</v>
      </c>
      <c r="S10" s="38">
        <v>77</v>
      </c>
      <c r="T10" s="38" t="e">
        <v>#VALUE!</v>
      </c>
      <c r="U10" s="38">
        <v>707930</v>
      </c>
      <c r="V10" s="38">
        <v>707930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 t="e">
        <v>#VALUE!</v>
      </c>
      <c r="AD10" s="38" t="e">
        <v>#VALUE!</v>
      </c>
      <c r="AE10" s="33">
        <v>45383</v>
      </c>
      <c r="AF10" s="33"/>
      <c r="AG10" s="33"/>
      <c r="AH10" s="33">
        <v>45413</v>
      </c>
      <c r="AI10" s="33"/>
      <c r="AJ10" s="42"/>
      <c r="AK10" s="37" t="s">
        <v>2034</v>
      </c>
      <c r="AL10" s="37" t="s">
        <v>2035</v>
      </c>
      <c r="AM10" s="37" t="s">
        <v>2036</v>
      </c>
      <c r="AN10" s="37" t="s">
        <v>50</v>
      </c>
      <c r="AO10" s="43">
        <v>100</v>
      </c>
      <c r="AP10" s="35">
        <v>0</v>
      </c>
      <c r="AQ10" s="35" t="s">
        <v>441</v>
      </c>
      <c r="AR10" s="48" t="s">
        <v>2037</v>
      </c>
      <c r="AS10" s="37" t="s">
        <v>52</v>
      </c>
    </row>
    <row r="11" spans="1:45" ht="39" customHeight="1" x14ac:dyDescent="0.25">
      <c r="A11" s="32" t="s">
        <v>2044</v>
      </c>
      <c r="B11" s="56">
        <v>45328</v>
      </c>
      <c r="C11" s="37" t="s">
        <v>548</v>
      </c>
      <c r="D11" s="36"/>
      <c r="E11" s="1" t="s">
        <v>2045</v>
      </c>
      <c r="F11" s="33">
        <v>45352</v>
      </c>
      <c r="G11" s="35" t="s">
        <v>2046</v>
      </c>
      <c r="H11" s="37" t="s">
        <v>291</v>
      </c>
      <c r="I11" s="58" t="s">
        <v>2047</v>
      </c>
      <c r="J11" s="57">
        <v>1729855.6</v>
      </c>
      <c r="K11" s="40">
        <v>8.5809312638581048</v>
      </c>
      <c r="L11" s="41">
        <v>148437.7200000002</v>
      </c>
      <c r="M11" s="38">
        <v>1581417.88</v>
      </c>
      <c r="N11" s="41">
        <v>148437.7200000002</v>
      </c>
      <c r="O11" s="38">
        <v>1581417.88</v>
      </c>
      <c r="P11" s="27">
        <v>1581417.88</v>
      </c>
      <c r="Q11" s="27">
        <v>1581417.88</v>
      </c>
      <c r="R11" s="27">
        <v>164.92</v>
      </c>
      <c r="S11" s="38">
        <v>164.92</v>
      </c>
      <c r="T11" s="38">
        <v>82.46</v>
      </c>
      <c r="U11" s="38">
        <v>9589</v>
      </c>
      <c r="V11" s="38">
        <v>9589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19178</v>
      </c>
      <c r="AD11" s="38">
        <v>19178</v>
      </c>
      <c r="AE11" s="33">
        <v>45397</v>
      </c>
      <c r="AF11" s="33"/>
      <c r="AG11" s="33"/>
      <c r="AH11" s="33">
        <v>45427</v>
      </c>
      <c r="AI11" s="33"/>
      <c r="AJ11" s="42"/>
      <c r="AK11" s="37" t="s">
        <v>2048</v>
      </c>
      <c r="AL11" s="37" t="s">
        <v>2049</v>
      </c>
      <c r="AM11" s="37" t="s">
        <v>2050</v>
      </c>
      <c r="AN11" s="37" t="s">
        <v>50</v>
      </c>
      <c r="AO11" s="43">
        <v>100</v>
      </c>
      <c r="AP11" s="35">
        <v>0</v>
      </c>
      <c r="AQ11" s="35" t="s">
        <v>398</v>
      </c>
      <c r="AR11" s="49">
        <v>0.5</v>
      </c>
      <c r="AS11" s="37" t="s">
        <v>52</v>
      </c>
    </row>
    <row r="12" spans="1:45" ht="39" customHeight="1" x14ac:dyDescent="0.25">
      <c r="A12" s="32" t="s">
        <v>2051</v>
      </c>
      <c r="B12" s="56">
        <v>45328</v>
      </c>
      <c r="C12" s="37" t="s">
        <v>548</v>
      </c>
      <c r="D12" s="36"/>
      <c r="E12" s="1" t="s">
        <v>2052</v>
      </c>
      <c r="F12" s="33">
        <v>45352</v>
      </c>
      <c r="G12" s="35" t="s">
        <v>2053</v>
      </c>
      <c r="H12" s="37" t="s">
        <v>291</v>
      </c>
      <c r="I12" s="59" t="s">
        <v>2054</v>
      </c>
      <c r="J12" s="57">
        <v>145426006.90000001</v>
      </c>
      <c r="K12" s="40">
        <v>0</v>
      </c>
      <c r="L12" s="41">
        <v>0</v>
      </c>
      <c r="M12" s="57">
        <v>145426006.90000001</v>
      </c>
      <c r="N12" s="41">
        <v>0</v>
      </c>
      <c r="O12" s="38">
        <v>145426006.90000001</v>
      </c>
      <c r="P12" s="27">
        <v>145426006.90000001</v>
      </c>
      <c r="Q12" s="27">
        <v>145426006.90000001</v>
      </c>
      <c r="R12" s="27">
        <v>83.570000000000007</v>
      </c>
      <c r="S12" s="38">
        <v>83.570000000000007</v>
      </c>
      <c r="T12" s="38">
        <v>8357</v>
      </c>
      <c r="U12" s="38">
        <v>1740170</v>
      </c>
      <c r="V12" s="38">
        <v>1740170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17401.7</v>
      </c>
      <c r="AD12" s="38">
        <v>17402</v>
      </c>
      <c r="AE12" s="33">
        <v>45397</v>
      </c>
      <c r="AF12" s="33"/>
      <c r="AG12" s="33"/>
      <c r="AH12" s="33">
        <v>45427</v>
      </c>
      <c r="AI12" s="33"/>
      <c r="AJ12" s="42"/>
      <c r="AK12" s="37" t="s">
        <v>2055</v>
      </c>
      <c r="AL12" s="37" t="s">
        <v>2056</v>
      </c>
      <c r="AM12" s="37" t="s">
        <v>2057</v>
      </c>
      <c r="AN12" s="37" t="s">
        <v>50</v>
      </c>
      <c r="AO12" s="43">
        <v>100</v>
      </c>
      <c r="AP12" s="35">
        <v>0</v>
      </c>
      <c r="AQ12" s="35" t="s">
        <v>441</v>
      </c>
      <c r="AR12" s="44">
        <v>100</v>
      </c>
      <c r="AS12" s="37" t="s">
        <v>52</v>
      </c>
    </row>
    <row r="13" spans="1:45" ht="39" customHeight="1" x14ac:dyDescent="0.25">
      <c r="A13" s="32" t="s">
        <v>2058</v>
      </c>
      <c r="B13" s="56">
        <v>45328</v>
      </c>
      <c r="C13" s="37" t="s">
        <v>548</v>
      </c>
      <c r="D13" s="36"/>
      <c r="E13" s="1" t="s">
        <v>2059</v>
      </c>
      <c r="F13" s="33">
        <v>45352</v>
      </c>
      <c r="G13" s="35" t="s">
        <v>2060</v>
      </c>
      <c r="H13" s="37" t="s">
        <v>2061</v>
      </c>
      <c r="I13" s="58" t="s">
        <v>2062</v>
      </c>
      <c r="J13" s="57">
        <v>1656207.3</v>
      </c>
      <c r="K13" s="40">
        <v>23.001245073608843</v>
      </c>
      <c r="L13" s="41">
        <v>380948.30000000005</v>
      </c>
      <c r="M13" s="38">
        <v>1275259</v>
      </c>
      <c r="N13" s="41">
        <v>380948.30000000005</v>
      </c>
      <c r="O13" s="38">
        <v>1275259</v>
      </c>
      <c r="P13" s="27">
        <v>1275022.56</v>
      </c>
      <c r="Q13" s="27">
        <v>1275022.56</v>
      </c>
      <c r="R13" s="27">
        <v>138.88</v>
      </c>
      <c r="S13" s="38">
        <v>138.88</v>
      </c>
      <c r="T13" s="38">
        <v>104.16</v>
      </c>
      <c r="U13" s="38">
        <v>9180.75</v>
      </c>
      <c r="V13" s="38">
        <v>9180.75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12241</v>
      </c>
      <c r="AD13" s="38">
        <v>12241</v>
      </c>
      <c r="AE13" s="33">
        <v>45397</v>
      </c>
      <c r="AF13" s="33"/>
      <c r="AG13" s="33"/>
      <c r="AH13" s="33">
        <v>45427</v>
      </c>
      <c r="AI13" s="33"/>
      <c r="AJ13" s="42"/>
      <c r="AK13" s="37" t="s">
        <v>2048</v>
      </c>
      <c r="AL13" s="37" t="s">
        <v>2063</v>
      </c>
      <c r="AM13" s="37" t="s">
        <v>2064</v>
      </c>
      <c r="AN13" s="37" t="s">
        <v>50</v>
      </c>
      <c r="AO13" s="43">
        <v>100</v>
      </c>
      <c r="AP13" s="35">
        <v>0</v>
      </c>
      <c r="AQ13" s="35" t="s">
        <v>398</v>
      </c>
      <c r="AR13" s="38">
        <v>0.75</v>
      </c>
      <c r="AS13" s="37" t="s">
        <v>52</v>
      </c>
    </row>
    <row r="14" spans="1:45" ht="39" customHeight="1" x14ac:dyDescent="0.25">
      <c r="A14" s="32" t="s">
        <v>2073</v>
      </c>
      <c r="B14" s="56">
        <v>45329</v>
      </c>
      <c r="C14" s="37" t="s">
        <v>2074</v>
      </c>
      <c r="D14" s="35" t="s">
        <v>485</v>
      </c>
      <c r="E14" s="1" t="s">
        <v>2075</v>
      </c>
      <c r="F14" s="35" t="s">
        <v>485</v>
      </c>
      <c r="G14" s="35" t="s">
        <v>485</v>
      </c>
      <c r="H14" s="35" t="s">
        <v>485</v>
      </c>
      <c r="I14" s="58" t="s">
        <v>1992</v>
      </c>
      <c r="J14" s="57">
        <v>8860135.6799999997</v>
      </c>
      <c r="K14" s="40">
        <v>100</v>
      </c>
      <c r="L14" s="41">
        <v>8860135.6799999997</v>
      </c>
      <c r="M14" s="38"/>
      <c r="N14" s="41">
        <v>8860135.6799999997</v>
      </c>
      <c r="O14" s="38">
        <v>0</v>
      </c>
      <c r="P14" s="27">
        <v>0</v>
      </c>
      <c r="Q14" s="27">
        <v>0</v>
      </c>
      <c r="R14" s="27" t="e">
        <v>#DIV/0!</v>
      </c>
      <c r="S14" s="38" t="e">
        <v>#DIV/0!</v>
      </c>
      <c r="T14" s="38" t="e">
        <v>#DIV/0!</v>
      </c>
      <c r="U14" s="38">
        <v>0</v>
      </c>
      <c r="V14" s="38">
        <v>0</v>
      </c>
      <c r="W14" s="38">
        <v>0</v>
      </c>
      <c r="X14" s="38">
        <v>0</v>
      </c>
      <c r="Y14" s="38"/>
      <c r="Z14" s="38" t="e">
        <v>#DIV/0!</v>
      </c>
      <c r="AA14" s="38"/>
      <c r="AB14" s="38" t="e">
        <v>#DIV/0!</v>
      </c>
      <c r="AC14" s="38" t="e">
        <v>#DIV/0!</v>
      </c>
      <c r="AD14" s="38" t="e">
        <v>#DIV/0!</v>
      </c>
      <c r="AE14" s="33">
        <v>45397</v>
      </c>
      <c r="AF14" s="33"/>
      <c r="AG14" s="33"/>
      <c r="AH14" s="33"/>
      <c r="AI14" s="33"/>
      <c r="AJ14" s="42"/>
      <c r="AK14" s="37"/>
      <c r="AL14" s="37"/>
      <c r="AM14" s="37"/>
      <c r="AN14" s="37"/>
      <c r="AO14" s="43"/>
      <c r="AP14" s="35"/>
      <c r="AQ14" s="35"/>
      <c r="AR14" s="44"/>
      <c r="AS14" s="37" t="s">
        <v>485</v>
      </c>
    </row>
    <row r="15" spans="1:45" ht="39" customHeight="1" x14ac:dyDescent="0.25">
      <c r="A15" s="32" t="s">
        <v>2086</v>
      </c>
      <c r="B15" s="56">
        <v>45329</v>
      </c>
      <c r="C15" s="37" t="s">
        <v>2074</v>
      </c>
      <c r="D15" s="36" t="s">
        <v>2087</v>
      </c>
      <c r="E15" s="1" t="s">
        <v>2088</v>
      </c>
      <c r="F15" s="33">
        <v>45341</v>
      </c>
      <c r="G15" s="35" t="s">
        <v>2089</v>
      </c>
      <c r="H15" s="37" t="s">
        <v>1166</v>
      </c>
      <c r="I15" s="59" t="s">
        <v>2033</v>
      </c>
      <c r="J15" s="57">
        <v>3873870</v>
      </c>
      <c r="K15" s="40">
        <v>0</v>
      </c>
      <c r="L15" s="41">
        <v>0</v>
      </c>
      <c r="M15" s="57">
        <v>3873870</v>
      </c>
      <c r="N15" s="41">
        <v>0</v>
      </c>
      <c r="O15" s="38">
        <v>3873870</v>
      </c>
      <c r="P15" s="27">
        <v>3873870</v>
      </c>
      <c r="Q15" s="27">
        <v>3873870</v>
      </c>
      <c r="R15" s="27">
        <v>77</v>
      </c>
      <c r="S15" s="38">
        <v>77</v>
      </c>
      <c r="T15" s="38">
        <v>7700</v>
      </c>
      <c r="U15" s="38">
        <v>50310</v>
      </c>
      <c r="V15" s="38">
        <v>50310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503.1</v>
      </c>
      <c r="AD15" s="38">
        <v>504</v>
      </c>
      <c r="AE15" s="33">
        <v>45397</v>
      </c>
      <c r="AF15" s="33"/>
      <c r="AG15" s="33"/>
      <c r="AH15" s="33">
        <v>45427</v>
      </c>
      <c r="AI15" s="33"/>
      <c r="AJ15" s="42"/>
      <c r="AK15" s="37" t="s">
        <v>2090</v>
      </c>
      <c r="AL15" s="37" t="s">
        <v>2091</v>
      </c>
      <c r="AM15" s="37" t="s">
        <v>2092</v>
      </c>
      <c r="AN15" s="37" t="s">
        <v>50</v>
      </c>
      <c r="AO15" s="43">
        <v>100</v>
      </c>
      <c r="AP15" s="35">
        <v>0</v>
      </c>
      <c r="AQ15" s="35" t="s">
        <v>441</v>
      </c>
      <c r="AR15" s="44">
        <v>100</v>
      </c>
      <c r="AS15" s="37" t="s">
        <v>176</v>
      </c>
    </row>
    <row r="16" spans="1:45" ht="39" customHeight="1" x14ac:dyDescent="0.25">
      <c r="A16" s="32" t="s">
        <v>2093</v>
      </c>
      <c r="B16" s="56">
        <v>45329</v>
      </c>
      <c r="C16" s="37" t="s">
        <v>2074</v>
      </c>
      <c r="D16" s="36" t="s">
        <v>2094</v>
      </c>
      <c r="E16" s="1" t="s">
        <v>2095</v>
      </c>
      <c r="F16" s="33">
        <v>45341</v>
      </c>
      <c r="G16" s="35" t="s">
        <v>2096</v>
      </c>
      <c r="H16" s="37" t="s">
        <v>1166</v>
      </c>
      <c r="I16" s="58" t="s">
        <v>2047</v>
      </c>
      <c r="J16" s="57">
        <v>18761.599999999999</v>
      </c>
      <c r="K16" s="40">
        <v>0</v>
      </c>
      <c r="L16" s="41">
        <v>0</v>
      </c>
      <c r="M16" s="38">
        <v>18761.599999999999</v>
      </c>
      <c r="N16" s="41">
        <v>0</v>
      </c>
      <c r="O16" s="38">
        <v>18761.599999999999</v>
      </c>
      <c r="P16" s="27">
        <v>18761.599999999999</v>
      </c>
      <c r="Q16" s="27">
        <v>18761.599999999999</v>
      </c>
      <c r="R16" s="27">
        <v>180.39999999999998</v>
      </c>
      <c r="S16" s="38">
        <v>180.39999999999998</v>
      </c>
      <c r="T16" s="38">
        <v>90.199999999999989</v>
      </c>
      <c r="U16" s="38">
        <v>104</v>
      </c>
      <c r="V16" s="38">
        <v>104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208</v>
      </c>
      <c r="AD16" s="38">
        <v>208</v>
      </c>
      <c r="AE16" s="33">
        <v>45397</v>
      </c>
      <c r="AF16" s="33"/>
      <c r="AG16" s="33"/>
      <c r="AH16" s="33">
        <v>45427</v>
      </c>
      <c r="AI16" s="33"/>
      <c r="AJ16" s="42"/>
      <c r="AK16" s="37" t="s">
        <v>2048</v>
      </c>
      <c r="AL16" s="37" t="s">
        <v>2049</v>
      </c>
      <c r="AM16" s="37" t="s">
        <v>2050</v>
      </c>
      <c r="AN16" s="37" t="s">
        <v>50</v>
      </c>
      <c r="AO16" s="43">
        <v>100</v>
      </c>
      <c r="AP16" s="35">
        <v>0</v>
      </c>
      <c r="AQ16" s="35" t="s">
        <v>398</v>
      </c>
      <c r="AR16" s="49">
        <v>0.5</v>
      </c>
      <c r="AS16" s="37" t="s">
        <v>176</v>
      </c>
    </row>
    <row r="17" spans="1:45" ht="39" customHeight="1" x14ac:dyDescent="0.25">
      <c r="A17" s="32" t="s">
        <v>2099</v>
      </c>
      <c r="B17" s="56">
        <v>45329</v>
      </c>
      <c r="C17" s="37" t="s">
        <v>2074</v>
      </c>
      <c r="D17" s="35" t="s">
        <v>485</v>
      </c>
      <c r="E17" s="1" t="s">
        <v>2100</v>
      </c>
      <c r="F17" s="35" t="s">
        <v>485</v>
      </c>
      <c r="G17" s="35" t="s">
        <v>485</v>
      </c>
      <c r="H17" s="35" t="s">
        <v>485</v>
      </c>
      <c r="I17" s="58" t="s">
        <v>2101</v>
      </c>
      <c r="J17" s="57">
        <v>336050</v>
      </c>
      <c r="K17" s="40">
        <v>100</v>
      </c>
      <c r="L17" s="41">
        <v>336050</v>
      </c>
      <c r="M17" s="38"/>
      <c r="N17" s="41">
        <v>336050</v>
      </c>
      <c r="O17" s="38">
        <v>0</v>
      </c>
      <c r="P17" s="27">
        <v>0</v>
      </c>
      <c r="Q17" s="27">
        <v>0</v>
      </c>
      <c r="R17" s="27" t="e">
        <v>#DIV/0!</v>
      </c>
      <c r="S17" s="38" t="e">
        <v>#DIV/0!</v>
      </c>
      <c r="T17" s="38" t="e">
        <v>#DIV/0!</v>
      </c>
      <c r="U17" s="38">
        <v>0</v>
      </c>
      <c r="V17" s="38">
        <v>0</v>
      </c>
      <c r="W17" s="38">
        <v>0</v>
      </c>
      <c r="X17" s="38">
        <v>0</v>
      </c>
      <c r="Y17" s="38"/>
      <c r="Z17" s="38" t="e">
        <v>#DIV/0!</v>
      </c>
      <c r="AA17" s="38"/>
      <c r="AB17" s="38" t="e">
        <v>#DIV/0!</v>
      </c>
      <c r="AC17" s="38" t="e">
        <v>#DIV/0!</v>
      </c>
      <c r="AD17" s="38" t="e">
        <v>#DIV/0!</v>
      </c>
      <c r="AE17" s="33">
        <v>45397</v>
      </c>
      <c r="AF17" s="33"/>
      <c r="AG17" s="33"/>
      <c r="AH17" s="33"/>
      <c r="AI17" s="33"/>
      <c r="AJ17" s="42"/>
      <c r="AK17" s="37"/>
      <c r="AL17" s="37"/>
      <c r="AM17" s="37"/>
      <c r="AN17" s="37"/>
      <c r="AO17" s="43"/>
      <c r="AP17" s="35"/>
      <c r="AQ17" s="35"/>
      <c r="AR17" s="44"/>
      <c r="AS17" s="37" t="s">
        <v>485</v>
      </c>
    </row>
    <row r="18" spans="1:45" ht="39" customHeight="1" x14ac:dyDescent="0.25">
      <c r="A18" s="32" t="s">
        <v>2106</v>
      </c>
      <c r="B18" s="56">
        <v>45330</v>
      </c>
      <c r="C18" s="37" t="s">
        <v>2074</v>
      </c>
      <c r="D18" s="36" t="s">
        <v>2107</v>
      </c>
      <c r="E18" s="1" t="s">
        <v>2108</v>
      </c>
      <c r="F18" s="33">
        <v>45342</v>
      </c>
      <c r="G18" s="35" t="s">
        <v>2109</v>
      </c>
      <c r="H18" s="37" t="s">
        <v>1166</v>
      </c>
      <c r="I18" s="58" t="s">
        <v>2110</v>
      </c>
      <c r="J18" s="57">
        <v>363739.7</v>
      </c>
      <c r="K18" s="40">
        <v>0</v>
      </c>
      <c r="L18" s="41">
        <v>0</v>
      </c>
      <c r="M18" s="38">
        <v>363739.7</v>
      </c>
      <c r="N18" s="41">
        <v>0</v>
      </c>
      <c r="O18" s="38">
        <v>363739.7</v>
      </c>
      <c r="P18" s="27">
        <v>363739.7</v>
      </c>
      <c r="Q18" s="27">
        <v>363739.7</v>
      </c>
      <c r="R18" s="27">
        <v>32.39</v>
      </c>
      <c r="S18" s="38">
        <v>32.39</v>
      </c>
      <c r="T18" s="38">
        <v>226.73000000000002</v>
      </c>
      <c r="U18" s="38">
        <v>11230</v>
      </c>
      <c r="V18" s="38">
        <v>11230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1604.2857142857142</v>
      </c>
      <c r="AD18" s="38">
        <v>1605</v>
      </c>
      <c r="AE18" s="33">
        <v>45397</v>
      </c>
      <c r="AF18" s="33"/>
      <c r="AG18" s="33"/>
      <c r="AH18" s="33">
        <v>45427</v>
      </c>
      <c r="AI18" s="33"/>
      <c r="AJ18" s="42"/>
      <c r="AK18" s="37" t="s">
        <v>2111</v>
      </c>
      <c r="AL18" s="37" t="s">
        <v>2112</v>
      </c>
      <c r="AM18" s="37" t="s">
        <v>2113</v>
      </c>
      <c r="AN18" s="37" t="s">
        <v>50</v>
      </c>
      <c r="AO18" s="43">
        <v>100</v>
      </c>
      <c r="AP18" s="35">
        <v>0</v>
      </c>
      <c r="AQ18" s="35" t="s">
        <v>441</v>
      </c>
      <c r="AR18" s="44">
        <v>7</v>
      </c>
      <c r="AS18" s="37" t="s">
        <v>52</v>
      </c>
    </row>
    <row r="19" spans="1:45" ht="39" customHeight="1" x14ac:dyDescent="0.25">
      <c r="A19" s="32" t="s">
        <v>2114</v>
      </c>
      <c r="B19" s="56">
        <v>45330</v>
      </c>
      <c r="C19" s="37" t="s">
        <v>2074</v>
      </c>
      <c r="D19" s="36" t="s">
        <v>2115</v>
      </c>
      <c r="E19" s="1" t="s">
        <v>2116</v>
      </c>
      <c r="F19" s="33">
        <v>45342</v>
      </c>
      <c r="G19" s="35" t="s">
        <v>2117</v>
      </c>
      <c r="H19" s="37" t="s">
        <v>1166</v>
      </c>
      <c r="I19" s="59" t="s">
        <v>2002</v>
      </c>
      <c r="J19" s="57">
        <v>133650</v>
      </c>
      <c r="K19" s="40">
        <v>0</v>
      </c>
      <c r="L19" s="41">
        <v>0</v>
      </c>
      <c r="M19" s="57">
        <v>133650</v>
      </c>
      <c r="N19" s="41">
        <v>0</v>
      </c>
      <c r="O19" s="38">
        <v>133650</v>
      </c>
      <c r="P19" s="27">
        <v>133650</v>
      </c>
      <c r="Q19" s="27">
        <v>133650</v>
      </c>
      <c r="R19" s="27">
        <v>49.5</v>
      </c>
      <c r="S19" s="38">
        <v>49.5</v>
      </c>
      <c r="T19" s="38">
        <v>4950</v>
      </c>
      <c r="U19" s="38">
        <v>2700</v>
      </c>
      <c r="V19" s="38">
        <v>2700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27</v>
      </c>
      <c r="AD19" s="38">
        <v>27</v>
      </c>
      <c r="AE19" s="33">
        <v>45397</v>
      </c>
      <c r="AF19" s="33"/>
      <c r="AG19" s="33"/>
      <c r="AH19" s="33">
        <v>45427</v>
      </c>
      <c r="AI19" s="33"/>
      <c r="AJ19" s="42"/>
      <c r="AK19" s="37" t="s">
        <v>2118</v>
      </c>
      <c r="AL19" s="37" t="s">
        <v>2119</v>
      </c>
      <c r="AM19" s="37" t="s">
        <v>2120</v>
      </c>
      <c r="AN19" s="37" t="s">
        <v>50</v>
      </c>
      <c r="AO19" s="43">
        <v>100</v>
      </c>
      <c r="AP19" s="35">
        <v>0</v>
      </c>
      <c r="AQ19" s="35" t="s">
        <v>441</v>
      </c>
      <c r="AR19" s="44">
        <v>100</v>
      </c>
      <c r="AS19" s="37" t="s">
        <v>176</v>
      </c>
    </row>
    <row r="20" spans="1:45" ht="39" customHeight="1" x14ac:dyDescent="0.25">
      <c r="A20" s="32" t="s">
        <v>2123</v>
      </c>
      <c r="B20" s="56">
        <v>45330</v>
      </c>
      <c r="C20" s="37" t="s">
        <v>548</v>
      </c>
      <c r="D20" s="36"/>
      <c r="E20" s="1" t="s">
        <v>2124</v>
      </c>
      <c r="F20" s="33">
        <v>45352</v>
      </c>
      <c r="G20" s="35" t="s">
        <v>2125</v>
      </c>
      <c r="H20" s="37" t="s">
        <v>1847</v>
      </c>
      <c r="I20" s="34" t="s">
        <v>551</v>
      </c>
      <c r="J20" s="57">
        <v>24734665.559999999</v>
      </c>
      <c r="K20" s="40">
        <v>0</v>
      </c>
      <c r="L20" s="41">
        <v>0</v>
      </c>
      <c r="M20" s="57">
        <v>24734665.559999999</v>
      </c>
      <c r="N20" s="41">
        <v>0</v>
      </c>
      <c r="O20" s="38">
        <v>24734665.559999999</v>
      </c>
      <c r="P20" s="27">
        <v>24734665.559999999</v>
      </c>
      <c r="Q20" s="27">
        <v>24734665.559999999</v>
      </c>
      <c r="R20" s="27">
        <v>574.53</v>
      </c>
      <c r="S20" s="38">
        <v>574.53</v>
      </c>
      <c r="T20" s="38">
        <v>108011.64</v>
      </c>
      <c r="U20" s="38">
        <v>43052</v>
      </c>
      <c r="V20" s="38">
        <v>43052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229</v>
      </c>
      <c r="AD20" s="38">
        <v>229</v>
      </c>
      <c r="AE20" s="33">
        <v>45397</v>
      </c>
      <c r="AF20" s="33"/>
      <c r="AG20" s="33"/>
      <c r="AH20" s="33">
        <v>45427</v>
      </c>
      <c r="AI20" s="33"/>
      <c r="AJ20" s="42"/>
      <c r="AK20" s="37" t="s">
        <v>588</v>
      </c>
      <c r="AL20" s="37" t="s">
        <v>589</v>
      </c>
      <c r="AM20" s="37" t="s">
        <v>590</v>
      </c>
      <c r="AN20" s="37" t="s">
        <v>50</v>
      </c>
      <c r="AO20" s="43">
        <v>100</v>
      </c>
      <c r="AP20" s="35">
        <v>0</v>
      </c>
      <c r="AQ20" s="35" t="s">
        <v>441</v>
      </c>
      <c r="AR20" s="44">
        <v>188</v>
      </c>
      <c r="AS20" s="37" t="s">
        <v>52</v>
      </c>
    </row>
    <row r="21" spans="1:45" ht="39" customHeight="1" x14ac:dyDescent="0.25">
      <c r="A21" s="32" t="s">
        <v>2130</v>
      </c>
      <c r="B21" s="56">
        <v>45330</v>
      </c>
      <c r="C21" s="37" t="s">
        <v>548</v>
      </c>
      <c r="D21" s="36"/>
      <c r="E21" s="1" t="s">
        <v>2131</v>
      </c>
      <c r="F21" s="33">
        <v>45352</v>
      </c>
      <c r="G21" s="35" t="s">
        <v>2132</v>
      </c>
      <c r="H21" s="37" t="s">
        <v>2061</v>
      </c>
      <c r="I21" s="58" t="s">
        <v>2133</v>
      </c>
      <c r="J21" s="57">
        <v>20244060</v>
      </c>
      <c r="K21" s="40">
        <v>29.00005730075884</v>
      </c>
      <c r="L21" s="41">
        <v>5870789</v>
      </c>
      <c r="M21" s="38">
        <v>14373271</v>
      </c>
      <c r="N21" s="41">
        <v>5870789</v>
      </c>
      <c r="O21" s="38">
        <v>14373271</v>
      </c>
      <c r="P21" s="27">
        <v>14372157.93</v>
      </c>
      <c r="Q21" s="27">
        <v>14372157.93</v>
      </c>
      <c r="R21" s="27">
        <v>127.78999999999999</v>
      </c>
      <c r="S21" s="38">
        <v>127.78999999999999</v>
      </c>
      <c r="T21" s="38">
        <v>127.78999999999999</v>
      </c>
      <c r="U21" s="38">
        <v>112467</v>
      </c>
      <c r="V21" s="38">
        <v>112467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112467</v>
      </c>
      <c r="AD21" s="38">
        <v>112467</v>
      </c>
      <c r="AE21" s="33">
        <v>45397</v>
      </c>
      <c r="AF21" s="33"/>
      <c r="AG21" s="33"/>
      <c r="AH21" s="33">
        <v>45427</v>
      </c>
      <c r="AI21" s="33"/>
      <c r="AJ21" s="42"/>
      <c r="AK21" s="37" t="s">
        <v>2048</v>
      </c>
      <c r="AL21" s="37" t="s">
        <v>2134</v>
      </c>
      <c r="AM21" s="37" t="s">
        <v>2135</v>
      </c>
      <c r="AN21" s="37" t="s">
        <v>50</v>
      </c>
      <c r="AO21" s="43">
        <v>100</v>
      </c>
      <c r="AP21" s="35">
        <v>0</v>
      </c>
      <c r="AQ21" s="35" t="s">
        <v>398</v>
      </c>
      <c r="AR21" s="44">
        <v>1</v>
      </c>
      <c r="AS21" s="37" t="s">
        <v>52</v>
      </c>
    </row>
    <row r="22" spans="1:45" ht="41.25" customHeight="1" x14ac:dyDescent="0.25">
      <c r="A22" s="32" t="s">
        <v>2142</v>
      </c>
      <c r="B22" s="56">
        <v>45330</v>
      </c>
      <c r="C22" s="37" t="s">
        <v>2074</v>
      </c>
      <c r="D22" s="36" t="s">
        <v>2143</v>
      </c>
      <c r="E22" s="1" t="s">
        <v>2144</v>
      </c>
      <c r="F22" s="33">
        <v>45342</v>
      </c>
      <c r="G22" s="35" t="s">
        <v>2145</v>
      </c>
      <c r="H22" s="37" t="s">
        <v>1166</v>
      </c>
      <c r="I22" s="58" t="s">
        <v>2146</v>
      </c>
      <c r="J22" s="57">
        <v>198000</v>
      </c>
      <c r="K22" s="40">
        <v>0</v>
      </c>
      <c r="L22" s="41">
        <v>0</v>
      </c>
      <c r="M22" s="57">
        <v>198000</v>
      </c>
      <c r="N22" s="41">
        <v>0</v>
      </c>
      <c r="O22" s="57">
        <v>198000</v>
      </c>
      <c r="P22" s="27">
        <v>198000</v>
      </c>
      <c r="Q22" s="27">
        <v>198000</v>
      </c>
      <c r="R22" s="27">
        <v>396</v>
      </c>
      <c r="S22" s="38">
        <v>396</v>
      </c>
      <c r="T22" s="38">
        <v>39600</v>
      </c>
      <c r="U22" s="38">
        <v>500</v>
      </c>
      <c r="V22" s="38">
        <v>500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5</v>
      </c>
      <c r="AD22" s="38">
        <v>5</v>
      </c>
      <c r="AE22" s="33">
        <v>45397</v>
      </c>
      <c r="AF22" s="33"/>
      <c r="AG22" s="33"/>
      <c r="AH22" s="33">
        <v>45427</v>
      </c>
      <c r="AI22" s="33"/>
      <c r="AJ22" s="42"/>
      <c r="AK22" s="37" t="s">
        <v>2026</v>
      </c>
      <c r="AL22" s="37" t="s">
        <v>2027</v>
      </c>
      <c r="AM22" s="37" t="s">
        <v>2028</v>
      </c>
      <c r="AN22" s="37" t="s">
        <v>50</v>
      </c>
      <c r="AO22" s="43">
        <v>100</v>
      </c>
      <c r="AP22" s="35">
        <v>0</v>
      </c>
      <c r="AQ22" s="35" t="s">
        <v>441</v>
      </c>
      <c r="AR22" s="44">
        <v>100</v>
      </c>
      <c r="AS22" s="37" t="s">
        <v>176</v>
      </c>
    </row>
    <row r="23" spans="1:45" ht="41.25" customHeight="1" x14ac:dyDescent="0.25">
      <c r="A23" s="36" t="s">
        <v>2147</v>
      </c>
      <c r="B23" s="33">
        <v>45331</v>
      </c>
      <c r="C23" s="37" t="s">
        <v>2074</v>
      </c>
      <c r="D23" s="36"/>
      <c r="E23" s="1" t="s">
        <v>2148</v>
      </c>
      <c r="F23" s="33">
        <v>45343</v>
      </c>
      <c r="G23" s="35" t="s">
        <v>2149</v>
      </c>
      <c r="H23" s="37" t="s">
        <v>1166</v>
      </c>
      <c r="I23" s="45" t="s">
        <v>2062</v>
      </c>
      <c r="J23" s="38">
        <v>148830</v>
      </c>
      <c r="K23" s="40">
        <v>0</v>
      </c>
      <c r="L23" s="41">
        <v>0</v>
      </c>
      <c r="M23" s="38">
        <v>148830</v>
      </c>
      <c r="N23" s="41">
        <v>0</v>
      </c>
      <c r="O23" s="38">
        <v>148830</v>
      </c>
      <c r="P23" s="27">
        <v>148830</v>
      </c>
      <c r="Q23" s="27">
        <v>148830</v>
      </c>
      <c r="R23" s="27">
        <v>180.4</v>
      </c>
      <c r="S23" s="38">
        <v>180.4</v>
      </c>
      <c r="T23" s="38">
        <v>135.30000000000001</v>
      </c>
      <c r="U23" s="38">
        <v>825</v>
      </c>
      <c r="V23" s="38">
        <v>825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1100</v>
      </c>
      <c r="AD23" s="38">
        <v>1100</v>
      </c>
      <c r="AE23" s="33">
        <v>45397</v>
      </c>
      <c r="AF23" s="33"/>
      <c r="AG23" s="33"/>
      <c r="AH23" s="33">
        <v>45427</v>
      </c>
      <c r="AI23" s="33"/>
      <c r="AJ23" s="42"/>
      <c r="AK23" s="37" t="s">
        <v>2048</v>
      </c>
      <c r="AL23" s="37" t="s">
        <v>2063</v>
      </c>
      <c r="AM23" s="37" t="s">
        <v>2050</v>
      </c>
      <c r="AN23" s="37" t="s">
        <v>50</v>
      </c>
      <c r="AO23" s="43">
        <v>100</v>
      </c>
      <c r="AP23" s="35">
        <v>0</v>
      </c>
      <c r="AQ23" s="35" t="s">
        <v>398</v>
      </c>
      <c r="AR23" s="38">
        <v>0.75</v>
      </c>
      <c r="AS23" s="37" t="s">
        <v>176</v>
      </c>
    </row>
    <row r="24" spans="1:45" ht="41.25" customHeight="1" x14ac:dyDescent="0.25">
      <c r="A24" s="36" t="s">
        <v>2155</v>
      </c>
      <c r="B24" s="33">
        <v>45331</v>
      </c>
      <c r="C24" s="37" t="s">
        <v>2074</v>
      </c>
      <c r="D24" s="35" t="s">
        <v>485</v>
      </c>
      <c r="E24" s="1" t="s">
        <v>2156</v>
      </c>
      <c r="F24" s="35" t="s">
        <v>485</v>
      </c>
      <c r="G24" s="35" t="s">
        <v>485</v>
      </c>
      <c r="H24" s="35" t="s">
        <v>485</v>
      </c>
      <c r="I24" s="45" t="s">
        <v>2133</v>
      </c>
      <c r="J24" s="38">
        <v>524851.19999999995</v>
      </c>
      <c r="K24" s="40">
        <v>100</v>
      </c>
      <c r="L24" s="41">
        <v>524851.19999999995</v>
      </c>
      <c r="M24" s="38"/>
      <c r="N24" s="41">
        <v>524851.19999999995</v>
      </c>
      <c r="O24" s="38">
        <v>0</v>
      </c>
      <c r="P24" s="27">
        <v>0</v>
      </c>
      <c r="Q24" s="27">
        <v>0</v>
      </c>
      <c r="R24" s="27" t="e">
        <v>#DIV/0!</v>
      </c>
      <c r="S24" s="38" t="e">
        <v>#DIV/0!</v>
      </c>
      <c r="T24" s="38" t="e">
        <v>#DIV/0!</v>
      </c>
      <c r="U24" s="38">
        <v>0</v>
      </c>
      <c r="V24" s="38">
        <v>0</v>
      </c>
      <c r="W24" s="38">
        <v>0</v>
      </c>
      <c r="X24" s="38">
        <v>0</v>
      </c>
      <c r="Y24" s="38"/>
      <c r="Z24" s="38" t="e">
        <v>#DIV/0!</v>
      </c>
      <c r="AA24" s="38"/>
      <c r="AB24" s="38" t="e">
        <v>#DIV/0!</v>
      </c>
      <c r="AC24" s="38" t="e">
        <v>#DIV/0!</v>
      </c>
      <c r="AD24" s="38" t="e">
        <v>#DIV/0!</v>
      </c>
      <c r="AE24" s="33">
        <v>45397</v>
      </c>
      <c r="AF24" s="33"/>
      <c r="AG24" s="33"/>
      <c r="AH24" s="33"/>
      <c r="AI24" s="33"/>
      <c r="AJ24" s="42"/>
      <c r="AK24" s="37"/>
      <c r="AL24" s="37"/>
      <c r="AM24" s="37"/>
      <c r="AN24" s="37"/>
      <c r="AO24" s="43"/>
      <c r="AP24" s="35"/>
      <c r="AQ24" s="35"/>
      <c r="AR24" s="44"/>
      <c r="AS24" s="37" t="s">
        <v>485</v>
      </c>
    </row>
    <row r="25" spans="1:45" ht="48" customHeight="1" x14ac:dyDescent="0.25">
      <c r="A25" s="32" t="s">
        <v>2250</v>
      </c>
      <c r="B25" s="56">
        <v>45338</v>
      </c>
      <c r="C25" s="37" t="s">
        <v>2074</v>
      </c>
      <c r="D25" s="36"/>
      <c r="E25" s="1" t="s">
        <v>2251</v>
      </c>
      <c r="F25" s="33">
        <v>45351</v>
      </c>
      <c r="G25" s="32" t="s">
        <v>2252</v>
      </c>
      <c r="H25" s="37" t="s">
        <v>1166</v>
      </c>
      <c r="I25" s="58" t="s">
        <v>2253</v>
      </c>
      <c r="J25" s="57">
        <v>201371.5</v>
      </c>
      <c r="K25" s="40">
        <v>11.308203991130821</v>
      </c>
      <c r="L25" s="41">
        <v>22771.5</v>
      </c>
      <c r="M25" s="38">
        <v>178600</v>
      </c>
      <c r="N25" s="41">
        <v>22771.5</v>
      </c>
      <c r="O25" s="38">
        <v>178600</v>
      </c>
      <c r="P25" s="27">
        <v>178600</v>
      </c>
      <c r="Q25" s="27">
        <v>178600</v>
      </c>
      <c r="R25" s="27">
        <v>20</v>
      </c>
      <c r="S25" s="38">
        <v>20</v>
      </c>
      <c r="T25" s="38">
        <v>100</v>
      </c>
      <c r="U25" s="38">
        <v>8930</v>
      </c>
      <c r="V25" s="38">
        <v>8930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1786</v>
      </c>
      <c r="AD25" s="38">
        <v>1786</v>
      </c>
      <c r="AE25" s="33">
        <v>45397</v>
      </c>
      <c r="AF25" s="33"/>
      <c r="AG25" s="33"/>
      <c r="AH25" s="33">
        <v>45427</v>
      </c>
      <c r="AI25" s="33"/>
      <c r="AJ25" s="42"/>
      <c r="AK25" s="37" t="s">
        <v>2254</v>
      </c>
      <c r="AL25" s="37" t="s">
        <v>2255</v>
      </c>
      <c r="AM25" s="37" t="s">
        <v>2256</v>
      </c>
      <c r="AN25" s="37" t="s">
        <v>50</v>
      </c>
      <c r="AO25" s="43">
        <v>100</v>
      </c>
      <c r="AP25" s="35">
        <v>0</v>
      </c>
      <c r="AQ25" s="35" t="s">
        <v>441</v>
      </c>
      <c r="AR25" s="44">
        <v>5</v>
      </c>
      <c r="AS25" s="37" t="s">
        <v>176</v>
      </c>
    </row>
    <row r="26" spans="1:45" ht="48" customHeight="1" x14ac:dyDescent="0.25">
      <c r="A26" s="32" t="s">
        <v>2257</v>
      </c>
      <c r="B26" s="56">
        <v>45338</v>
      </c>
      <c r="C26" s="37" t="s">
        <v>2074</v>
      </c>
      <c r="D26" s="36"/>
      <c r="E26" s="1" t="s">
        <v>2258</v>
      </c>
      <c r="F26" s="33">
        <v>45351</v>
      </c>
      <c r="G26" s="32" t="s">
        <v>2259</v>
      </c>
      <c r="H26" s="37" t="s">
        <v>291</v>
      </c>
      <c r="I26" s="58" t="s">
        <v>2110</v>
      </c>
      <c r="J26" s="57">
        <v>9343867.1999999993</v>
      </c>
      <c r="K26" s="40">
        <v>0</v>
      </c>
      <c r="L26" s="41">
        <v>0</v>
      </c>
      <c r="M26" s="57">
        <v>9343867.1999999993</v>
      </c>
      <c r="N26" s="41">
        <v>0</v>
      </c>
      <c r="O26" s="57">
        <v>9343867.1999999993</v>
      </c>
      <c r="P26" s="27">
        <v>9343867.1999999993</v>
      </c>
      <c r="Q26" s="27">
        <v>9343867.1999999993</v>
      </c>
      <c r="R26" s="27">
        <v>32.39</v>
      </c>
      <c r="S26" s="38">
        <v>32.39</v>
      </c>
      <c r="T26" s="38" t="e">
        <v>#VALUE!</v>
      </c>
      <c r="U26" s="38">
        <v>288480</v>
      </c>
      <c r="V26" s="38">
        <v>288480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 t="e">
        <v>#VALUE!</v>
      </c>
      <c r="AD26" s="38" t="e">
        <v>#VALUE!</v>
      </c>
      <c r="AE26" s="33">
        <v>45397</v>
      </c>
      <c r="AF26" s="33"/>
      <c r="AG26" s="33"/>
      <c r="AH26" s="33">
        <v>45427</v>
      </c>
      <c r="AI26" s="33"/>
      <c r="AJ26" s="42"/>
      <c r="AK26" s="37" t="s">
        <v>2260</v>
      </c>
      <c r="AL26" s="37" t="s">
        <v>2261</v>
      </c>
      <c r="AM26" s="37" t="s">
        <v>2262</v>
      </c>
      <c r="AN26" s="37" t="s">
        <v>50</v>
      </c>
      <c r="AO26" s="43">
        <v>100</v>
      </c>
      <c r="AP26" s="35">
        <v>0</v>
      </c>
      <c r="AQ26" s="35" t="s">
        <v>441</v>
      </c>
      <c r="AR26" s="48" t="s">
        <v>2263</v>
      </c>
      <c r="AS26" s="37" t="s">
        <v>52</v>
      </c>
    </row>
    <row r="27" spans="1:45" ht="48" customHeight="1" x14ac:dyDescent="0.25">
      <c r="A27" s="32" t="s">
        <v>2281</v>
      </c>
      <c r="B27" s="56">
        <v>45341</v>
      </c>
      <c r="C27" s="37" t="s">
        <v>2074</v>
      </c>
      <c r="D27" s="36"/>
      <c r="E27" s="1" t="s">
        <v>2282</v>
      </c>
      <c r="F27" s="33">
        <v>45352</v>
      </c>
      <c r="G27" s="35" t="s">
        <v>2283</v>
      </c>
      <c r="H27" s="37" t="s">
        <v>2061</v>
      </c>
      <c r="I27" s="59" t="s">
        <v>2284</v>
      </c>
      <c r="J27" s="57">
        <v>3580357.4</v>
      </c>
      <c r="K27" s="40">
        <v>24.916573971078975</v>
      </c>
      <c r="L27" s="41">
        <v>892102.39999999991</v>
      </c>
      <c r="M27" s="38">
        <v>2688255</v>
      </c>
      <c r="N27" s="41">
        <v>892102.39999999991</v>
      </c>
      <c r="O27" s="38">
        <v>2688255</v>
      </c>
      <c r="P27" s="27">
        <v>2688255</v>
      </c>
      <c r="Q27" s="27">
        <v>2688255</v>
      </c>
      <c r="R27" s="27">
        <v>13.5</v>
      </c>
      <c r="S27" s="38">
        <v>13.5</v>
      </c>
      <c r="T27" s="38">
        <v>1350</v>
      </c>
      <c r="U27" s="38">
        <v>199130</v>
      </c>
      <c r="V27" s="38">
        <v>199130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1991.3</v>
      </c>
      <c r="AD27" s="38">
        <v>1992</v>
      </c>
      <c r="AE27" s="33">
        <v>45397</v>
      </c>
      <c r="AF27" s="33"/>
      <c r="AG27" s="33"/>
      <c r="AH27" s="33">
        <v>45427</v>
      </c>
      <c r="AI27" s="33"/>
      <c r="AJ27" s="42"/>
      <c r="AK27" s="37" t="s">
        <v>2285</v>
      </c>
      <c r="AL27" s="37" t="s">
        <v>2286</v>
      </c>
      <c r="AM27" s="37" t="s">
        <v>2287</v>
      </c>
      <c r="AN27" s="37" t="s">
        <v>50</v>
      </c>
      <c r="AO27" s="43">
        <v>100</v>
      </c>
      <c r="AP27" s="35">
        <v>0</v>
      </c>
      <c r="AQ27" s="35" t="s">
        <v>441</v>
      </c>
      <c r="AR27" s="44">
        <v>100</v>
      </c>
      <c r="AS27" s="37" t="s">
        <v>52</v>
      </c>
    </row>
    <row r="28" spans="1:45" ht="48" customHeight="1" x14ac:dyDescent="0.25">
      <c r="A28" s="32" t="s">
        <v>2288</v>
      </c>
      <c r="B28" s="56">
        <v>45341</v>
      </c>
      <c r="C28" s="37" t="s">
        <v>2074</v>
      </c>
      <c r="D28" s="36" t="s">
        <v>485</v>
      </c>
      <c r="E28" s="1" t="s">
        <v>2289</v>
      </c>
      <c r="F28" s="36" t="s">
        <v>485</v>
      </c>
      <c r="G28" s="36" t="s">
        <v>485</v>
      </c>
      <c r="H28" s="36" t="s">
        <v>485</v>
      </c>
      <c r="I28" s="58" t="s">
        <v>2290</v>
      </c>
      <c r="J28" s="57">
        <v>27390</v>
      </c>
      <c r="K28" s="40">
        <v>100</v>
      </c>
      <c r="L28" s="41">
        <v>27390</v>
      </c>
      <c r="M28" s="38"/>
      <c r="N28" s="41">
        <v>27390</v>
      </c>
      <c r="O28" s="38">
        <v>0</v>
      </c>
      <c r="P28" s="27">
        <v>0</v>
      </c>
      <c r="Q28" s="27">
        <v>0</v>
      </c>
      <c r="R28" s="27" t="e">
        <v>#DIV/0!</v>
      </c>
      <c r="S28" s="38" t="e">
        <v>#DIV/0!</v>
      </c>
      <c r="T28" s="38" t="e">
        <v>#DIV/0!</v>
      </c>
      <c r="U28" s="38">
        <v>0</v>
      </c>
      <c r="V28" s="38">
        <v>0</v>
      </c>
      <c r="W28" s="38">
        <v>0</v>
      </c>
      <c r="X28" s="38">
        <v>0</v>
      </c>
      <c r="Y28" s="38"/>
      <c r="Z28" s="38" t="e">
        <v>#DIV/0!</v>
      </c>
      <c r="AA28" s="38"/>
      <c r="AB28" s="38" t="e">
        <v>#DIV/0!</v>
      </c>
      <c r="AC28" s="38" t="e">
        <v>#DIV/0!</v>
      </c>
      <c r="AD28" s="38" t="e">
        <v>#DIV/0!</v>
      </c>
      <c r="AE28" s="33">
        <v>45397</v>
      </c>
      <c r="AF28" s="33"/>
      <c r="AG28" s="33"/>
      <c r="AH28" s="33"/>
      <c r="AI28" s="33"/>
      <c r="AJ28" s="42"/>
      <c r="AK28" s="37"/>
      <c r="AL28" s="37"/>
      <c r="AM28" s="37"/>
      <c r="AN28" s="37"/>
      <c r="AO28" s="43"/>
      <c r="AP28" s="35"/>
      <c r="AQ28" s="35"/>
      <c r="AR28" s="44"/>
      <c r="AS28" s="37" t="s">
        <v>485</v>
      </c>
    </row>
    <row r="29" spans="1:45" ht="48" customHeight="1" x14ac:dyDescent="0.25">
      <c r="A29" s="32" t="s">
        <v>2344</v>
      </c>
      <c r="B29" s="56">
        <v>45342</v>
      </c>
      <c r="C29" s="35" t="s">
        <v>548</v>
      </c>
      <c r="D29" s="36"/>
      <c r="E29" s="1" t="s">
        <v>2345</v>
      </c>
      <c r="F29" s="33">
        <v>45363</v>
      </c>
      <c r="G29" s="35" t="s">
        <v>2346</v>
      </c>
      <c r="H29" s="37" t="s">
        <v>2032</v>
      </c>
      <c r="I29" s="59" t="s">
        <v>2347</v>
      </c>
      <c r="J29" s="57">
        <v>8316339</v>
      </c>
      <c r="K29" s="40">
        <v>1.0752688172043012</v>
      </c>
      <c r="L29" s="41">
        <v>89423</v>
      </c>
      <c r="M29" s="38">
        <v>8226916</v>
      </c>
      <c r="N29" s="41">
        <v>89423</v>
      </c>
      <c r="O29" s="38">
        <v>8226916</v>
      </c>
      <c r="P29" s="27">
        <v>8226916</v>
      </c>
      <c r="Q29" s="27">
        <v>8226916</v>
      </c>
      <c r="R29" s="27">
        <v>0.92</v>
      </c>
      <c r="S29" s="38">
        <v>0.92</v>
      </c>
      <c r="T29" s="38" t="e">
        <v>#VALUE!</v>
      </c>
      <c r="U29" s="38">
        <v>8942300</v>
      </c>
      <c r="V29" s="38">
        <v>8942300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 t="e">
        <v>#VALUE!</v>
      </c>
      <c r="AD29" s="38" t="e">
        <v>#VALUE!</v>
      </c>
      <c r="AE29" s="33">
        <v>45397</v>
      </c>
      <c r="AF29" s="33"/>
      <c r="AG29" s="33"/>
      <c r="AH29" s="33">
        <v>45427</v>
      </c>
      <c r="AI29" s="33"/>
      <c r="AJ29" s="42"/>
      <c r="AK29" s="37" t="s">
        <v>2348</v>
      </c>
      <c r="AL29" s="37" t="s">
        <v>2349</v>
      </c>
      <c r="AM29" s="37" t="s">
        <v>2350</v>
      </c>
      <c r="AN29" s="37" t="s">
        <v>50</v>
      </c>
      <c r="AO29" s="43">
        <v>100</v>
      </c>
      <c r="AP29" s="35">
        <v>0</v>
      </c>
      <c r="AQ29" s="35" t="s">
        <v>164</v>
      </c>
      <c r="AR29" s="48" t="s">
        <v>2351</v>
      </c>
      <c r="AS29" s="37" t="s">
        <v>52</v>
      </c>
    </row>
    <row r="30" spans="1:45" ht="48" customHeight="1" x14ac:dyDescent="0.25">
      <c r="A30" s="32" t="s">
        <v>2352</v>
      </c>
      <c r="B30" s="56">
        <v>45342</v>
      </c>
      <c r="C30" s="35" t="s">
        <v>548</v>
      </c>
      <c r="D30" s="35" t="s">
        <v>485</v>
      </c>
      <c r="E30" s="1" t="s">
        <v>2353</v>
      </c>
      <c r="F30" s="35" t="s">
        <v>485</v>
      </c>
      <c r="G30" s="35" t="s">
        <v>485</v>
      </c>
      <c r="H30" s="35" t="s">
        <v>485</v>
      </c>
      <c r="I30" s="58" t="s">
        <v>2354</v>
      </c>
      <c r="J30" s="57">
        <v>17131455</v>
      </c>
      <c r="K30" s="40">
        <v>100</v>
      </c>
      <c r="L30" s="41">
        <v>17131455</v>
      </c>
      <c r="M30" s="38"/>
      <c r="N30" s="41">
        <v>17131455</v>
      </c>
      <c r="O30" s="38">
        <v>0</v>
      </c>
      <c r="P30" s="27">
        <v>0</v>
      </c>
      <c r="Q30" s="27">
        <v>0</v>
      </c>
      <c r="R30" s="27" t="e">
        <v>#DIV/0!</v>
      </c>
      <c r="S30" s="38" t="e">
        <v>#DIV/0!</v>
      </c>
      <c r="T30" s="38" t="e">
        <v>#DIV/0!</v>
      </c>
      <c r="U30" s="38">
        <v>0</v>
      </c>
      <c r="V30" s="38">
        <v>0</v>
      </c>
      <c r="W30" s="38">
        <v>0</v>
      </c>
      <c r="X30" s="38">
        <v>0</v>
      </c>
      <c r="Y30" s="38"/>
      <c r="Z30" s="38" t="e">
        <v>#DIV/0!</v>
      </c>
      <c r="AA30" s="38"/>
      <c r="AB30" s="38" t="e">
        <v>#DIV/0!</v>
      </c>
      <c r="AC30" s="38" t="e">
        <v>#DIV/0!</v>
      </c>
      <c r="AD30" s="38" t="e">
        <v>#DIV/0!</v>
      </c>
      <c r="AE30" s="33">
        <v>45397</v>
      </c>
      <c r="AF30" s="33"/>
      <c r="AG30" s="33"/>
      <c r="AH30" s="33"/>
      <c r="AI30" s="33"/>
      <c r="AJ30" s="42"/>
      <c r="AK30" s="37"/>
      <c r="AL30" s="37"/>
      <c r="AM30" s="37"/>
      <c r="AN30" s="37"/>
      <c r="AO30" s="43"/>
      <c r="AP30" s="35"/>
      <c r="AQ30" s="35"/>
      <c r="AR30" s="44"/>
      <c r="AS30" s="37" t="s">
        <v>485</v>
      </c>
    </row>
    <row r="31" spans="1:45" ht="48" customHeight="1" x14ac:dyDescent="0.25">
      <c r="A31" s="32" t="s">
        <v>2358</v>
      </c>
      <c r="B31" s="56">
        <v>45342</v>
      </c>
      <c r="C31" s="35" t="s">
        <v>548</v>
      </c>
      <c r="D31" s="36"/>
      <c r="E31" s="1" t="s">
        <v>2359</v>
      </c>
      <c r="F31" s="33">
        <v>45363</v>
      </c>
      <c r="G31" s="35" t="s">
        <v>2360</v>
      </c>
      <c r="H31" s="37" t="s">
        <v>2061</v>
      </c>
      <c r="I31" s="59" t="s">
        <v>2361</v>
      </c>
      <c r="J31" s="57">
        <v>2756167</v>
      </c>
      <c r="K31" s="40">
        <v>0</v>
      </c>
      <c r="L31" s="41">
        <v>0</v>
      </c>
      <c r="M31" s="57">
        <v>2756167</v>
      </c>
      <c r="N31" s="41">
        <v>0</v>
      </c>
      <c r="O31" s="57">
        <v>2756167</v>
      </c>
      <c r="P31" s="27">
        <v>2756167</v>
      </c>
      <c r="Q31" s="27">
        <v>2756167</v>
      </c>
      <c r="R31" s="27">
        <v>16.3</v>
      </c>
      <c r="S31" s="38">
        <v>16.3</v>
      </c>
      <c r="T31" s="38">
        <v>1630</v>
      </c>
      <c r="U31" s="38">
        <v>169090</v>
      </c>
      <c r="V31" s="38">
        <v>169090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1690.9</v>
      </c>
      <c r="AD31" s="38">
        <v>1691</v>
      </c>
      <c r="AE31" s="33">
        <v>45397</v>
      </c>
      <c r="AF31" s="33"/>
      <c r="AG31" s="33"/>
      <c r="AH31" s="33">
        <v>45427</v>
      </c>
      <c r="AI31" s="33"/>
      <c r="AJ31" s="42"/>
      <c r="AK31" s="37" t="s">
        <v>2285</v>
      </c>
      <c r="AL31" s="37" t="s">
        <v>2362</v>
      </c>
      <c r="AM31" s="37" t="s">
        <v>2287</v>
      </c>
      <c r="AN31" s="37" t="s">
        <v>50</v>
      </c>
      <c r="AO31" s="43">
        <v>100</v>
      </c>
      <c r="AP31" s="35">
        <v>0</v>
      </c>
      <c r="AQ31" s="35" t="s">
        <v>441</v>
      </c>
      <c r="AR31" s="44">
        <v>100</v>
      </c>
      <c r="AS31" s="37" t="s">
        <v>52</v>
      </c>
    </row>
    <row r="32" spans="1:45" ht="48" customHeight="1" x14ac:dyDescent="0.25">
      <c r="A32" s="32" t="s">
        <v>2363</v>
      </c>
      <c r="B32" s="56">
        <v>45342</v>
      </c>
      <c r="C32" s="37" t="s">
        <v>2074</v>
      </c>
      <c r="D32" s="36"/>
      <c r="E32" s="1" t="s">
        <v>2364</v>
      </c>
      <c r="F32" s="33">
        <v>45355</v>
      </c>
      <c r="G32" s="35" t="s">
        <v>2365</v>
      </c>
      <c r="H32" s="37" t="s">
        <v>2061</v>
      </c>
      <c r="I32" s="59" t="s">
        <v>2361</v>
      </c>
      <c r="J32" s="57">
        <v>55909</v>
      </c>
      <c r="K32" s="40">
        <v>0</v>
      </c>
      <c r="L32" s="41">
        <v>0</v>
      </c>
      <c r="M32" s="57">
        <v>55909</v>
      </c>
      <c r="N32" s="41">
        <v>0</v>
      </c>
      <c r="O32" s="57">
        <v>55909</v>
      </c>
      <c r="P32" s="27">
        <v>55909</v>
      </c>
      <c r="Q32" s="27">
        <v>55909</v>
      </c>
      <c r="R32" s="27">
        <v>16.3</v>
      </c>
      <c r="S32" s="38">
        <v>16.3</v>
      </c>
      <c r="T32" s="38">
        <v>1630</v>
      </c>
      <c r="U32" s="38">
        <v>3430</v>
      </c>
      <c r="V32" s="38">
        <v>3430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34.299999999999997</v>
      </c>
      <c r="AD32" s="38">
        <v>35</v>
      </c>
      <c r="AE32" s="33">
        <v>45397</v>
      </c>
      <c r="AF32" s="33"/>
      <c r="AG32" s="33"/>
      <c r="AH32" s="33">
        <v>45427</v>
      </c>
      <c r="AI32" s="33"/>
      <c r="AJ32" s="42"/>
      <c r="AK32" s="37" t="s">
        <v>2285</v>
      </c>
      <c r="AL32" s="37" t="s">
        <v>2362</v>
      </c>
      <c r="AM32" s="37" t="s">
        <v>2287</v>
      </c>
      <c r="AN32" s="37" t="s">
        <v>50</v>
      </c>
      <c r="AO32" s="43">
        <v>100</v>
      </c>
      <c r="AP32" s="35">
        <v>0</v>
      </c>
      <c r="AQ32" s="35" t="s">
        <v>441</v>
      </c>
      <c r="AR32" s="44">
        <v>100</v>
      </c>
      <c r="AS32" s="37" t="s">
        <v>176</v>
      </c>
    </row>
    <row r="33" spans="1:45" ht="48" customHeight="1" x14ac:dyDescent="0.25">
      <c r="A33" s="32" t="s">
        <v>2369</v>
      </c>
      <c r="B33" s="56">
        <v>45342</v>
      </c>
      <c r="C33" s="37" t="s">
        <v>2074</v>
      </c>
      <c r="D33" s="35" t="s">
        <v>485</v>
      </c>
      <c r="E33" s="1" t="s">
        <v>2370</v>
      </c>
      <c r="F33" s="35" t="s">
        <v>485</v>
      </c>
      <c r="G33" s="35" t="s">
        <v>485</v>
      </c>
      <c r="H33" s="35" t="s">
        <v>485</v>
      </c>
      <c r="I33" s="58" t="s">
        <v>2371</v>
      </c>
      <c r="J33" s="57">
        <v>399637</v>
      </c>
      <c r="K33" s="40">
        <v>100</v>
      </c>
      <c r="L33" s="41">
        <v>399637</v>
      </c>
      <c r="M33" s="38"/>
      <c r="N33" s="41">
        <v>399637</v>
      </c>
      <c r="O33" s="38">
        <v>0</v>
      </c>
      <c r="P33" s="27">
        <v>0</v>
      </c>
      <c r="Q33" s="27">
        <v>0</v>
      </c>
      <c r="R33" s="27" t="e">
        <v>#DIV/0!</v>
      </c>
      <c r="S33" s="38" t="e">
        <v>#DIV/0!</v>
      </c>
      <c r="T33" s="38" t="e">
        <v>#DIV/0!</v>
      </c>
      <c r="U33" s="38">
        <v>0</v>
      </c>
      <c r="V33" s="38">
        <v>0</v>
      </c>
      <c r="W33" s="38">
        <v>0</v>
      </c>
      <c r="X33" s="38">
        <v>0</v>
      </c>
      <c r="Y33" s="38"/>
      <c r="Z33" s="38" t="e">
        <v>#DIV/0!</v>
      </c>
      <c r="AA33" s="38"/>
      <c r="AB33" s="38" t="e">
        <v>#DIV/0!</v>
      </c>
      <c r="AC33" s="38" t="e">
        <v>#DIV/0!</v>
      </c>
      <c r="AD33" s="38" t="e">
        <v>#DIV/0!</v>
      </c>
      <c r="AE33" s="33">
        <v>45397</v>
      </c>
      <c r="AF33" s="33"/>
      <c r="AG33" s="33"/>
      <c r="AH33" s="33"/>
      <c r="AI33" s="33"/>
      <c r="AJ33" s="42"/>
      <c r="AK33" s="37"/>
      <c r="AL33" s="37"/>
      <c r="AM33" s="37"/>
      <c r="AN33" s="37"/>
      <c r="AO33" s="43"/>
      <c r="AP33" s="35"/>
      <c r="AQ33" s="35"/>
      <c r="AR33" s="44"/>
      <c r="AS33" s="37" t="s">
        <v>485</v>
      </c>
    </row>
    <row r="34" spans="1:45" ht="44.25" customHeight="1" x14ac:dyDescent="0.25">
      <c r="A34" s="32" t="s">
        <v>2372</v>
      </c>
      <c r="B34" s="56">
        <v>45342</v>
      </c>
      <c r="C34" s="37" t="s">
        <v>2074</v>
      </c>
      <c r="D34" s="36"/>
      <c r="E34" s="1" t="s">
        <v>2373</v>
      </c>
      <c r="F34" s="33">
        <v>45355</v>
      </c>
      <c r="G34" s="35" t="s">
        <v>2374</v>
      </c>
      <c r="H34" s="37" t="s">
        <v>2375</v>
      </c>
      <c r="I34" s="58" t="s">
        <v>2376</v>
      </c>
      <c r="J34" s="62">
        <v>146655.6</v>
      </c>
      <c r="K34" s="40">
        <v>0</v>
      </c>
      <c r="L34" s="41">
        <v>0</v>
      </c>
      <c r="M34" s="63">
        <v>146655.6</v>
      </c>
      <c r="N34" s="41">
        <v>0</v>
      </c>
      <c r="O34" s="62">
        <v>146655.6</v>
      </c>
      <c r="P34" s="27">
        <v>146655.6</v>
      </c>
      <c r="Q34" s="27">
        <v>146655.6</v>
      </c>
      <c r="R34" s="27">
        <v>3.5700000000000003</v>
      </c>
      <c r="S34" s="38">
        <v>3.5700000000000003</v>
      </c>
      <c r="T34" s="38">
        <v>35.700000000000003</v>
      </c>
      <c r="U34" s="38">
        <v>41080</v>
      </c>
      <c r="V34" s="38">
        <v>41080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4108</v>
      </c>
      <c r="AD34" s="38">
        <v>4108</v>
      </c>
      <c r="AE34" s="33">
        <v>45397</v>
      </c>
      <c r="AF34" s="33"/>
      <c r="AG34" s="33"/>
      <c r="AH34" s="33">
        <v>45427</v>
      </c>
      <c r="AI34" s="33"/>
      <c r="AJ34" s="42"/>
      <c r="AK34" s="37" t="s">
        <v>2377</v>
      </c>
      <c r="AL34" s="37" t="s">
        <v>2378</v>
      </c>
      <c r="AM34" s="37" t="s">
        <v>2379</v>
      </c>
      <c r="AN34" s="37" t="s">
        <v>50</v>
      </c>
      <c r="AO34" s="43">
        <v>100</v>
      </c>
      <c r="AP34" s="35">
        <v>0</v>
      </c>
      <c r="AQ34" s="35" t="s">
        <v>441</v>
      </c>
      <c r="AR34" s="44">
        <v>10</v>
      </c>
      <c r="AS34" s="37" t="s">
        <v>52</v>
      </c>
    </row>
    <row r="35" spans="1:45" ht="39" customHeight="1" x14ac:dyDescent="0.25">
      <c r="A35" s="32" t="s">
        <v>2387</v>
      </c>
      <c r="B35" s="56">
        <v>45343</v>
      </c>
      <c r="C35" s="35" t="s">
        <v>548</v>
      </c>
      <c r="D35" s="35" t="s">
        <v>485</v>
      </c>
      <c r="E35" s="1" t="s">
        <v>2388</v>
      </c>
      <c r="F35" s="35" t="s">
        <v>485</v>
      </c>
      <c r="G35" s="35" t="s">
        <v>485</v>
      </c>
      <c r="H35" s="35" t="s">
        <v>485</v>
      </c>
      <c r="I35" s="59" t="s">
        <v>2284</v>
      </c>
      <c r="J35" s="57">
        <v>61618718.600000001</v>
      </c>
      <c r="K35" s="40">
        <v>100</v>
      </c>
      <c r="L35" s="41">
        <v>61618718.600000001</v>
      </c>
      <c r="M35" s="38"/>
      <c r="N35" s="41">
        <v>61618718.600000001</v>
      </c>
      <c r="O35" s="38">
        <v>0</v>
      </c>
      <c r="P35" s="27">
        <v>0</v>
      </c>
      <c r="Q35" s="27">
        <v>0</v>
      </c>
      <c r="R35" s="27" t="e">
        <v>#DIV/0!</v>
      </c>
      <c r="S35" s="38" t="e">
        <v>#DIV/0!</v>
      </c>
      <c r="T35" s="38" t="e">
        <v>#DIV/0!</v>
      </c>
      <c r="U35" s="38">
        <v>0</v>
      </c>
      <c r="V35" s="38">
        <v>0</v>
      </c>
      <c r="W35" s="38">
        <v>0</v>
      </c>
      <c r="X35" s="38">
        <v>0</v>
      </c>
      <c r="Y35" s="38"/>
      <c r="Z35" s="38" t="e">
        <v>#DIV/0!</v>
      </c>
      <c r="AA35" s="38"/>
      <c r="AB35" s="38" t="e">
        <v>#DIV/0!</v>
      </c>
      <c r="AC35" s="38" t="e">
        <v>#DIV/0!</v>
      </c>
      <c r="AD35" s="38" t="e">
        <v>#DIV/0!</v>
      </c>
      <c r="AE35" s="33">
        <v>45397</v>
      </c>
      <c r="AF35" s="33"/>
      <c r="AG35" s="33"/>
      <c r="AH35" s="33"/>
      <c r="AI35" s="33"/>
      <c r="AJ35" s="42"/>
      <c r="AK35" s="37"/>
      <c r="AL35" s="37"/>
      <c r="AM35" s="37"/>
      <c r="AN35" s="37"/>
      <c r="AO35" s="43"/>
      <c r="AP35" s="35"/>
      <c r="AQ35" s="35"/>
      <c r="AR35" s="44"/>
      <c r="AS35" s="37" t="s">
        <v>485</v>
      </c>
    </row>
    <row r="36" spans="1:45" ht="39" customHeight="1" x14ac:dyDescent="0.25">
      <c r="A36" s="32" t="s">
        <v>2401</v>
      </c>
      <c r="B36" s="56">
        <v>45343</v>
      </c>
      <c r="C36" s="35" t="s">
        <v>548</v>
      </c>
      <c r="D36" s="35" t="s">
        <v>485</v>
      </c>
      <c r="E36" s="1" t="s">
        <v>2402</v>
      </c>
      <c r="F36" s="35" t="s">
        <v>485</v>
      </c>
      <c r="G36" s="35" t="s">
        <v>485</v>
      </c>
      <c r="H36" s="35" t="s">
        <v>485</v>
      </c>
      <c r="I36" s="58" t="s">
        <v>2403</v>
      </c>
      <c r="J36" s="57">
        <v>6719892.2999999998</v>
      </c>
      <c r="K36" s="40">
        <v>100</v>
      </c>
      <c r="L36" s="41">
        <v>6719892.2999999998</v>
      </c>
      <c r="M36" s="38"/>
      <c r="N36" s="41">
        <v>6719892.2999999998</v>
      </c>
      <c r="O36" s="38">
        <v>0</v>
      </c>
      <c r="P36" s="27">
        <v>0</v>
      </c>
      <c r="Q36" s="27">
        <v>0</v>
      </c>
      <c r="R36" s="27" t="e">
        <v>#DIV/0!</v>
      </c>
      <c r="S36" s="38" t="e">
        <v>#DIV/0!</v>
      </c>
      <c r="T36" s="38" t="e">
        <v>#DIV/0!</v>
      </c>
      <c r="U36" s="38">
        <v>0</v>
      </c>
      <c r="V36" s="38">
        <v>0</v>
      </c>
      <c r="W36" s="38">
        <v>0</v>
      </c>
      <c r="X36" s="38">
        <v>0</v>
      </c>
      <c r="Y36" s="38"/>
      <c r="Z36" s="38" t="e">
        <v>#DIV/0!</v>
      </c>
      <c r="AA36" s="38"/>
      <c r="AB36" s="38" t="e">
        <v>#DIV/0!</v>
      </c>
      <c r="AC36" s="38" t="e">
        <v>#DIV/0!</v>
      </c>
      <c r="AD36" s="38" t="e">
        <v>#DIV/0!</v>
      </c>
      <c r="AE36" s="33">
        <v>45397</v>
      </c>
      <c r="AF36" s="33"/>
      <c r="AG36" s="33"/>
      <c r="AH36" s="33"/>
      <c r="AI36" s="33"/>
      <c r="AJ36" s="42"/>
      <c r="AK36" s="37"/>
      <c r="AL36" s="37"/>
      <c r="AM36" s="37"/>
      <c r="AN36" s="37"/>
      <c r="AO36" s="43"/>
      <c r="AP36" s="35"/>
      <c r="AQ36" s="35"/>
      <c r="AR36" s="44"/>
      <c r="AS36" s="37" t="s">
        <v>485</v>
      </c>
    </row>
    <row r="37" spans="1:45" ht="39" customHeight="1" x14ac:dyDescent="0.25">
      <c r="A37" s="32" t="s">
        <v>2411</v>
      </c>
      <c r="B37" s="56">
        <v>45343</v>
      </c>
      <c r="C37" s="35" t="s">
        <v>548</v>
      </c>
      <c r="D37" s="36"/>
      <c r="E37" s="1" t="s">
        <v>2412</v>
      </c>
      <c r="F37" s="33">
        <v>45369</v>
      </c>
      <c r="G37" s="35" t="s">
        <v>2413</v>
      </c>
      <c r="H37" s="37" t="s">
        <v>2375</v>
      </c>
      <c r="I37" s="58" t="s">
        <v>2414</v>
      </c>
      <c r="J37" s="57">
        <v>6320413</v>
      </c>
      <c r="K37" s="40">
        <v>0</v>
      </c>
      <c r="L37" s="41">
        <v>0</v>
      </c>
      <c r="M37" s="57">
        <v>6320413</v>
      </c>
      <c r="N37" s="41">
        <v>0</v>
      </c>
      <c r="O37" s="57">
        <v>6320413</v>
      </c>
      <c r="P37" s="27">
        <v>6320413</v>
      </c>
      <c r="Q37" s="27">
        <v>6320413</v>
      </c>
      <c r="R37" s="27">
        <v>9.35</v>
      </c>
      <c r="S37" s="38">
        <v>9.35</v>
      </c>
      <c r="T37" s="38" t="e">
        <v>#VALUE!</v>
      </c>
      <c r="U37" s="38">
        <v>675980</v>
      </c>
      <c r="V37" s="38">
        <v>675980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 t="e">
        <v>#VALUE!</v>
      </c>
      <c r="AD37" s="38" t="e">
        <v>#VALUE!</v>
      </c>
      <c r="AE37" s="33">
        <v>45397</v>
      </c>
      <c r="AF37" s="33"/>
      <c r="AG37" s="33"/>
      <c r="AH37" s="33">
        <v>45427</v>
      </c>
      <c r="AI37" s="33"/>
      <c r="AJ37" s="42"/>
      <c r="AK37" s="37" t="s">
        <v>2415</v>
      </c>
      <c r="AL37" s="37" t="s">
        <v>2416</v>
      </c>
      <c r="AM37" s="37" t="s">
        <v>2417</v>
      </c>
      <c r="AN37" s="37" t="s">
        <v>50</v>
      </c>
      <c r="AO37" s="43">
        <v>100</v>
      </c>
      <c r="AP37" s="35">
        <v>0</v>
      </c>
      <c r="AQ37" s="35" t="s">
        <v>441</v>
      </c>
      <c r="AR37" s="48" t="s">
        <v>2418</v>
      </c>
      <c r="AS37" s="37" t="s">
        <v>52</v>
      </c>
    </row>
    <row r="38" spans="1:45" ht="39" customHeight="1" x14ac:dyDescent="0.25">
      <c r="A38" s="32" t="s">
        <v>2419</v>
      </c>
      <c r="B38" s="56">
        <v>45343</v>
      </c>
      <c r="C38" s="35" t="s">
        <v>548</v>
      </c>
      <c r="D38" s="35" t="s">
        <v>485</v>
      </c>
      <c r="E38" s="1" t="s">
        <v>2420</v>
      </c>
      <c r="F38" s="35" t="s">
        <v>485</v>
      </c>
      <c r="G38" s="35" t="s">
        <v>485</v>
      </c>
      <c r="H38" s="35" t="s">
        <v>485</v>
      </c>
      <c r="I38" s="58" t="s">
        <v>2421</v>
      </c>
      <c r="J38" s="57">
        <v>3552037</v>
      </c>
      <c r="K38" s="40">
        <v>100</v>
      </c>
      <c r="L38" s="41">
        <v>3552037</v>
      </c>
      <c r="M38" s="38"/>
      <c r="N38" s="41">
        <v>3552037</v>
      </c>
      <c r="O38" s="38">
        <v>0</v>
      </c>
      <c r="P38" s="27">
        <v>0</v>
      </c>
      <c r="Q38" s="27">
        <v>0</v>
      </c>
      <c r="R38" s="27" t="e">
        <v>#DIV/0!</v>
      </c>
      <c r="S38" s="38" t="e">
        <v>#DIV/0!</v>
      </c>
      <c r="T38" s="38" t="e">
        <v>#DIV/0!</v>
      </c>
      <c r="U38" s="38">
        <v>0</v>
      </c>
      <c r="V38" s="38">
        <v>0</v>
      </c>
      <c r="W38" s="38">
        <v>0</v>
      </c>
      <c r="X38" s="38">
        <v>0</v>
      </c>
      <c r="Y38" s="38"/>
      <c r="Z38" s="38" t="e">
        <v>#DIV/0!</v>
      </c>
      <c r="AA38" s="38"/>
      <c r="AB38" s="38" t="e">
        <v>#DIV/0!</v>
      </c>
      <c r="AC38" s="38" t="e">
        <v>#DIV/0!</v>
      </c>
      <c r="AD38" s="38" t="e">
        <v>#DIV/0!</v>
      </c>
      <c r="AE38" s="33">
        <v>45397</v>
      </c>
      <c r="AF38" s="33"/>
      <c r="AG38" s="33"/>
      <c r="AH38" s="33"/>
      <c r="AI38" s="33"/>
      <c r="AJ38" s="42"/>
      <c r="AK38" s="37"/>
      <c r="AL38" s="37"/>
      <c r="AM38" s="37"/>
      <c r="AN38" s="37"/>
      <c r="AO38" s="43"/>
      <c r="AP38" s="35"/>
      <c r="AQ38" s="35"/>
      <c r="AR38" s="44"/>
      <c r="AS38" s="37" t="s">
        <v>485</v>
      </c>
    </row>
    <row r="39" spans="1:45" ht="39" customHeight="1" x14ac:dyDescent="0.25">
      <c r="A39" s="32" t="s">
        <v>2422</v>
      </c>
      <c r="B39" s="56">
        <v>45343</v>
      </c>
      <c r="C39" s="35" t="s">
        <v>548</v>
      </c>
      <c r="D39" s="36"/>
      <c r="E39" s="1" t="s">
        <v>2423</v>
      </c>
      <c r="F39" s="33">
        <v>45364</v>
      </c>
      <c r="G39" s="35" t="s">
        <v>2424</v>
      </c>
      <c r="H39" s="37" t="s">
        <v>2375</v>
      </c>
      <c r="I39" s="58" t="s">
        <v>2425</v>
      </c>
      <c r="J39" s="57">
        <v>2941323</v>
      </c>
      <c r="K39" s="40">
        <v>0</v>
      </c>
      <c r="L39" s="41">
        <v>0</v>
      </c>
      <c r="M39" s="57">
        <v>2941323</v>
      </c>
      <c r="N39" s="41">
        <v>0</v>
      </c>
      <c r="O39" s="57">
        <v>2941323</v>
      </c>
      <c r="P39" s="27">
        <v>2941323</v>
      </c>
      <c r="Q39" s="27">
        <v>2941323</v>
      </c>
      <c r="R39" s="27">
        <v>3.57</v>
      </c>
      <c r="S39" s="38">
        <v>3.57</v>
      </c>
      <c r="T39" s="38" t="e">
        <v>#VALUE!</v>
      </c>
      <c r="U39" s="38">
        <v>823900</v>
      </c>
      <c r="V39" s="38">
        <v>823900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 t="e">
        <v>#VALUE!</v>
      </c>
      <c r="AD39" s="38" t="e">
        <v>#VALUE!</v>
      </c>
      <c r="AE39" s="33">
        <v>45397</v>
      </c>
      <c r="AF39" s="33"/>
      <c r="AG39" s="33"/>
      <c r="AH39" s="33">
        <v>45427</v>
      </c>
      <c r="AI39" s="33"/>
      <c r="AJ39" s="42"/>
      <c r="AK39" s="37" t="s">
        <v>2426</v>
      </c>
      <c r="AL39" s="37" t="s">
        <v>2427</v>
      </c>
      <c r="AM39" s="37" t="s">
        <v>2428</v>
      </c>
      <c r="AN39" s="37" t="s">
        <v>50</v>
      </c>
      <c r="AO39" s="43">
        <v>100</v>
      </c>
      <c r="AP39" s="35">
        <v>0</v>
      </c>
      <c r="AQ39" s="35" t="s">
        <v>441</v>
      </c>
      <c r="AR39" s="48" t="s">
        <v>2429</v>
      </c>
      <c r="AS39" s="37" t="s">
        <v>52</v>
      </c>
    </row>
    <row r="40" spans="1:45" ht="39" customHeight="1" x14ac:dyDescent="0.25">
      <c r="A40" s="32" t="s">
        <v>2430</v>
      </c>
      <c r="B40" s="56">
        <v>45343</v>
      </c>
      <c r="C40" s="35" t="s">
        <v>548</v>
      </c>
      <c r="D40" s="35" t="s">
        <v>485</v>
      </c>
      <c r="E40" s="1" t="s">
        <v>2431</v>
      </c>
      <c r="F40" s="35" t="s">
        <v>485</v>
      </c>
      <c r="G40" s="35" t="s">
        <v>485</v>
      </c>
      <c r="H40" s="35" t="s">
        <v>485</v>
      </c>
      <c r="I40" s="58" t="s">
        <v>2432</v>
      </c>
      <c r="J40" s="57">
        <v>376852.5</v>
      </c>
      <c r="K40" s="40">
        <v>100</v>
      </c>
      <c r="L40" s="41">
        <v>376852.5</v>
      </c>
      <c r="M40" s="38"/>
      <c r="N40" s="41">
        <v>376852.5</v>
      </c>
      <c r="O40" s="38">
        <v>0</v>
      </c>
      <c r="P40" s="27">
        <v>0</v>
      </c>
      <c r="Q40" s="27">
        <v>0</v>
      </c>
      <c r="R40" s="27" t="e">
        <v>#DIV/0!</v>
      </c>
      <c r="S40" s="38" t="e">
        <v>#DIV/0!</v>
      </c>
      <c r="T40" s="38" t="e">
        <v>#DIV/0!</v>
      </c>
      <c r="U40" s="38">
        <v>0</v>
      </c>
      <c r="V40" s="38">
        <v>0</v>
      </c>
      <c r="W40" s="38">
        <v>0</v>
      </c>
      <c r="X40" s="38">
        <v>0</v>
      </c>
      <c r="Y40" s="38"/>
      <c r="Z40" s="38" t="e">
        <v>#DIV/0!</v>
      </c>
      <c r="AA40" s="38"/>
      <c r="AB40" s="38" t="e">
        <v>#DIV/0!</v>
      </c>
      <c r="AC40" s="38" t="e">
        <v>#DIV/0!</v>
      </c>
      <c r="AD40" s="38" t="e">
        <v>#DIV/0!</v>
      </c>
      <c r="AE40" s="33">
        <v>45397</v>
      </c>
      <c r="AF40" s="33"/>
      <c r="AG40" s="33"/>
      <c r="AH40" s="33"/>
      <c r="AI40" s="33"/>
      <c r="AJ40" s="42"/>
      <c r="AK40" s="37"/>
      <c r="AL40" s="37"/>
      <c r="AM40" s="37"/>
      <c r="AN40" s="37"/>
      <c r="AO40" s="43"/>
      <c r="AP40" s="35"/>
      <c r="AQ40" s="35"/>
      <c r="AR40" s="44"/>
      <c r="AS40" s="37" t="s">
        <v>485</v>
      </c>
    </row>
    <row r="41" spans="1:45" ht="39" customHeight="1" x14ac:dyDescent="0.25">
      <c r="A41" s="32" t="s">
        <v>2433</v>
      </c>
      <c r="B41" s="56">
        <v>45343</v>
      </c>
      <c r="C41" s="35" t="s">
        <v>548</v>
      </c>
      <c r="D41" s="36"/>
      <c r="E41" s="1" t="s">
        <v>2434</v>
      </c>
      <c r="F41" s="33">
        <v>45364</v>
      </c>
      <c r="G41" s="35" t="s">
        <v>2435</v>
      </c>
      <c r="H41" s="37" t="s">
        <v>2061</v>
      </c>
      <c r="I41" s="58" t="s">
        <v>2253</v>
      </c>
      <c r="J41" s="57">
        <v>2216439.5</v>
      </c>
      <c r="K41" s="40">
        <v>0.50001364801520631</v>
      </c>
      <c r="L41" s="41">
        <v>11082.5</v>
      </c>
      <c r="M41" s="38">
        <v>2205357</v>
      </c>
      <c r="N41" s="41">
        <v>11082.5</v>
      </c>
      <c r="O41" s="38">
        <v>2205357</v>
      </c>
      <c r="P41" s="27">
        <v>2204644.7000000002</v>
      </c>
      <c r="Q41" s="27">
        <v>2204644.7000000002</v>
      </c>
      <c r="R41" s="27">
        <v>22.430000000000003</v>
      </c>
      <c r="S41" s="38">
        <v>22.430000000000003</v>
      </c>
      <c r="T41" s="38">
        <v>112.15000000000002</v>
      </c>
      <c r="U41" s="38">
        <v>98290</v>
      </c>
      <c r="V41" s="38">
        <v>98290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19658</v>
      </c>
      <c r="AD41" s="38">
        <v>19658</v>
      </c>
      <c r="AE41" s="33">
        <v>45397</v>
      </c>
      <c r="AF41" s="33"/>
      <c r="AG41" s="33"/>
      <c r="AH41" s="33">
        <v>45427</v>
      </c>
      <c r="AI41" s="33"/>
      <c r="AJ41" s="42"/>
      <c r="AK41" s="37" t="s">
        <v>2436</v>
      </c>
      <c r="AL41" s="37" t="s">
        <v>2437</v>
      </c>
      <c r="AM41" s="37" t="s">
        <v>2438</v>
      </c>
      <c r="AN41" s="37" t="s">
        <v>50</v>
      </c>
      <c r="AO41" s="43">
        <v>100</v>
      </c>
      <c r="AP41" s="35">
        <v>0</v>
      </c>
      <c r="AQ41" s="35" t="s">
        <v>441</v>
      </c>
      <c r="AR41" s="44">
        <v>5</v>
      </c>
      <c r="AS41" s="37" t="s">
        <v>52</v>
      </c>
    </row>
    <row r="42" spans="1:45" ht="42" customHeight="1" x14ac:dyDescent="0.25">
      <c r="A42" s="32" t="s">
        <v>2454</v>
      </c>
      <c r="B42" s="56">
        <v>45344</v>
      </c>
      <c r="C42" s="37" t="s">
        <v>2074</v>
      </c>
      <c r="D42" s="35" t="s">
        <v>485</v>
      </c>
      <c r="E42" s="1" t="s">
        <v>2455</v>
      </c>
      <c r="F42" s="35" t="s">
        <v>485</v>
      </c>
      <c r="G42" s="35" t="s">
        <v>485</v>
      </c>
      <c r="H42" s="35" t="s">
        <v>485</v>
      </c>
      <c r="I42" s="58" t="s">
        <v>2456</v>
      </c>
      <c r="J42" s="57">
        <v>256453.29</v>
      </c>
      <c r="K42" s="40">
        <v>100</v>
      </c>
      <c r="L42" s="41">
        <v>256453.29</v>
      </c>
      <c r="M42" s="38"/>
      <c r="N42" s="41">
        <v>256453.29</v>
      </c>
      <c r="O42" s="38">
        <v>0</v>
      </c>
      <c r="P42" s="27">
        <v>0</v>
      </c>
      <c r="Q42" s="27">
        <v>0</v>
      </c>
      <c r="R42" s="27" t="e">
        <v>#DIV/0!</v>
      </c>
      <c r="S42" s="38" t="e">
        <v>#DIV/0!</v>
      </c>
      <c r="T42" s="38" t="e">
        <v>#DIV/0!</v>
      </c>
      <c r="U42" s="38">
        <v>0</v>
      </c>
      <c r="V42" s="38">
        <v>0</v>
      </c>
      <c r="W42" s="38">
        <v>0</v>
      </c>
      <c r="X42" s="38">
        <v>0</v>
      </c>
      <c r="Y42" s="38"/>
      <c r="Z42" s="38" t="e">
        <v>#DIV/0!</v>
      </c>
      <c r="AA42" s="38"/>
      <c r="AB42" s="38" t="e">
        <v>#DIV/0!</v>
      </c>
      <c r="AC42" s="38" t="e">
        <v>#DIV/0!</v>
      </c>
      <c r="AD42" s="38" t="e">
        <v>#DIV/0!</v>
      </c>
      <c r="AE42" s="33">
        <v>45413</v>
      </c>
      <c r="AF42" s="33"/>
      <c r="AG42" s="33"/>
      <c r="AH42" s="33"/>
      <c r="AI42" s="33"/>
      <c r="AJ42" s="42"/>
      <c r="AK42" s="37"/>
      <c r="AL42" s="37"/>
      <c r="AM42" s="37"/>
      <c r="AN42" s="37"/>
      <c r="AO42" s="43"/>
      <c r="AP42" s="35"/>
      <c r="AQ42" s="35"/>
      <c r="AR42" s="44"/>
      <c r="AS42" s="37" t="s">
        <v>485</v>
      </c>
    </row>
    <row r="43" spans="1:45" ht="42" customHeight="1" x14ac:dyDescent="0.25">
      <c r="A43" s="32" t="s">
        <v>2465</v>
      </c>
      <c r="B43" s="56">
        <v>45344</v>
      </c>
      <c r="C43" s="35" t="s">
        <v>548</v>
      </c>
      <c r="D43" s="35" t="s">
        <v>485</v>
      </c>
      <c r="E43" s="1" t="s">
        <v>2466</v>
      </c>
      <c r="F43" s="35" t="s">
        <v>485</v>
      </c>
      <c r="G43" s="35" t="s">
        <v>485</v>
      </c>
      <c r="H43" s="35" t="s">
        <v>485</v>
      </c>
      <c r="I43" s="58" t="s">
        <v>2467</v>
      </c>
      <c r="J43" s="57">
        <v>6269270.1299999999</v>
      </c>
      <c r="K43" s="40">
        <v>100</v>
      </c>
      <c r="L43" s="41">
        <v>6269270.1299999999</v>
      </c>
      <c r="M43" s="38"/>
      <c r="N43" s="41">
        <v>6269270.1299999999</v>
      </c>
      <c r="O43" s="38">
        <v>0</v>
      </c>
      <c r="P43" s="27">
        <v>0</v>
      </c>
      <c r="Q43" s="27">
        <v>0</v>
      </c>
      <c r="R43" s="27" t="e">
        <v>#DIV/0!</v>
      </c>
      <c r="S43" s="38" t="e">
        <v>#DIV/0!</v>
      </c>
      <c r="T43" s="38" t="e">
        <v>#DIV/0!</v>
      </c>
      <c r="U43" s="38">
        <v>0</v>
      </c>
      <c r="V43" s="38">
        <v>0</v>
      </c>
      <c r="W43" s="38">
        <v>0</v>
      </c>
      <c r="X43" s="38">
        <v>0</v>
      </c>
      <c r="Y43" s="38"/>
      <c r="Z43" s="38" t="e">
        <v>#DIV/0!</v>
      </c>
      <c r="AA43" s="38"/>
      <c r="AB43" s="38" t="e">
        <v>#DIV/0!</v>
      </c>
      <c r="AC43" s="38" t="e">
        <v>#DIV/0!</v>
      </c>
      <c r="AD43" s="38" t="e">
        <v>#DIV/0!</v>
      </c>
      <c r="AE43" s="33">
        <v>45413</v>
      </c>
      <c r="AF43" s="33"/>
      <c r="AG43" s="33"/>
      <c r="AH43" s="33"/>
      <c r="AI43" s="33"/>
      <c r="AJ43" s="42"/>
      <c r="AK43" s="37"/>
      <c r="AL43" s="37"/>
      <c r="AM43" s="37"/>
      <c r="AN43" s="37"/>
      <c r="AO43" s="43"/>
      <c r="AP43" s="35"/>
      <c r="AQ43" s="35"/>
      <c r="AR43" s="44"/>
      <c r="AS43" s="37" t="s">
        <v>485</v>
      </c>
    </row>
    <row r="44" spans="1:45" ht="42" customHeight="1" x14ac:dyDescent="0.25">
      <c r="A44" s="32" t="s">
        <v>2473</v>
      </c>
      <c r="B44" s="56">
        <v>45344</v>
      </c>
      <c r="C44" s="35" t="s">
        <v>548</v>
      </c>
      <c r="D44" s="35" t="s">
        <v>485</v>
      </c>
      <c r="E44" s="1" t="s">
        <v>2474</v>
      </c>
      <c r="F44" s="35" t="s">
        <v>485</v>
      </c>
      <c r="G44" s="35" t="s">
        <v>485</v>
      </c>
      <c r="H44" s="35" t="s">
        <v>485</v>
      </c>
      <c r="I44" s="58" t="s">
        <v>2475</v>
      </c>
      <c r="J44" s="57">
        <v>9144960</v>
      </c>
      <c r="K44" s="40">
        <v>100</v>
      </c>
      <c r="L44" s="41">
        <v>9144960</v>
      </c>
      <c r="M44" s="38"/>
      <c r="N44" s="41">
        <v>9144960</v>
      </c>
      <c r="O44" s="38">
        <v>0</v>
      </c>
      <c r="P44" s="27">
        <v>0</v>
      </c>
      <c r="Q44" s="27">
        <v>0</v>
      </c>
      <c r="R44" s="27" t="e">
        <v>#DIV/0!</v>
      </c>
      <c r="S44" s="38" t="e">
        <v>#DIV/0!</v>
      </c>
      <c r="T44" s="38" t="e">
        <v>#DIV/0!</v>
      </c>
      <c r="U44" s="38">
        <v>0</v>
      </c>
      <c r="V44" s="38">
        <v>0</v>
      </c>
      <c r="W44" s="38">
        <v>0</v>
      </c>
      <c r="X44" s="38">
        <v>0</v>
      </c>
      <c r="Y44" s="38"/>
      <c r="Z44" s="38" t="e">
        <v>#DIV/0!</v>
      </c>
      <c r="AA44" s="38"/>
      <c r="AB44" s="38" t="e">
        <v>#DIV/0!</v>
      </c>
      <c r="AC44" s="38" t="e">
        <v>#DIV/0!</v>
      </c>
      <c r="AD44" s="38" t="e">
        <v>#DIV/0!</v>
      </c>
      <c r="AE44" s="33">
        <v>45397</v>
      </c>
      <c r="AF44" s="33"/>
      <c r="AG44" s="33"/>
      <c r="AH44" s="33"/>
      <c r="AI44" s="33"/>
      <c r="AJ44" s="42"/>
      <c r="AK44" s="37"/>
      <c r="AL44" s="37"/>
      <c r="AM44" s="37"/>
      <c r="AN44" s="37"/>
      <c r="AO44" s="43"/>
      <c r="AP44" s="35"/>
      <c r="AQ44" s="35"/>
      <c r="AR44" s="44"/>
      <c r="AS44" s="37" t="s">
        <v>485</v>
      </c>
    </row>
    <row r="45" spans="1:45" ht="42" customHeight="1" x14ac:dyDescent="0.25">
      <c r="A45" s="32" t="s">
        <v>2480</v>
      </c>
      <c r="B45" s="56">
        <v>45344</v>
      </c>
      <c r="C45" s="37" t="s">
        <v>2074</v>
      </c>
      <c r="D45" s="35" t="s">
        <v>485</v>
      </c>
      <c r="E45" s="1" t="s">
        <v>2481</v>
      </c>
      <c r="F45" s="35" t="s">
        <v>485</v>
      </c>
      <c r="G45" s="35" t="s">
        <v>485</v>
      </c>
      <c r="H45" s="35" t="s">
        <v>485</v>
      </c>
      <c r="I45" s="58" t="s">
        <v>2482</v>
      </c>
      <c r="J45" s="57">
        <v>9525545.0999999996</v>
      </c>
      <c r="K45" s="40">
        <v>100</v>
      </c>
      <c r="L45" s="41">
        <v>9525545.0999999996</v>
      </c>
      <c r="M45" s="38"/>
      <c r="N45" s="41">
        <v>9525545.0999999996</v>
      </c>
      <c r="O45" s="38">
        <v>0</v>
      </c>
      <c r="P45" s="27">
        <v>0</v>
      </c>
      <c r="Q45" s="27">
        <v>0</v>
      </c>
      <c r="R45" s="27" t="e">
        <v>#DIV/0!</v>
      </c>
      <c r="S45" s="38" t="e">
        <v>#DIV/0!</v>
      </c>
      <c r="T45" s="38" t="e">
        <v>#DIV/0!</v>
      </c>
      <c r="U45" s="38">
        <v>0</v>
      </c>
      <c r="V45" s="38">
        <v>0</v>
      </c>
      <c r="W45" s="38">
        <v>0</v>
      </c>
      <c r="X45" s="38">
        <v>0</v>
      </c>
      <c r="Y45" s="38"/>
      <c r="Z45" s="38" t="e">
        <v>#DIV/0!</v>
      </c>
      <c r="AA45" s="38"/>
      <c r="AB45" s="38" t="e">
        <v>#DIV/0!</v>
      </c>
      <c r="AC45" s="38" t="e">
        <v>#DIV/0!</v>
      </c>
      <c r="AD45" s="38" t="e">
        <v>#DIV/0!</v>
      </c>
      <c r="AE45" s="33">
        <v>45397</v>
      </c>
      <c r="AF45" s="33"/>
      <c r="AG45" s="33"/>
      <c r="AH45" s="33"/>
      <c r="AI45" s="33"/>
      <c r="AJ45" s="42"/>
      <c r="AK45" s="37"/>
      <c r="AL45" s="37"/>
      <c r="AM45" s="37"/>
      <c r="AN45" s="37"/>
      <c r="AO45" s="43"/>
      <c r="AP45" s="35"/>
      <c r="AQ45" s="35"/>
      <c r="AR45" s="44"/>
      <c r="AS45" s="37" t="s">
        <v>485</v>
      </c>
    </row>
    <row r="46" spans="1:45" ht="42" customHeight="1" x14ac:dyDescent="0.25">
      <c r="A46" s="32" t="s">
        <v>2494</v>
      </c>
      <c r="B46" s="56">
        <v>45344</v>
      </c>
      <c r="C46" s="35" t="s">
        <v>548</v>
      </c>
      <c r="D46" s="35" t="s">
        <v>485</v>
      </c>
      <c r="E46" s="1" t="s">
        <v>2495</v>
      </c>
      <c r="F46" s="35" t="s">
        <v>485</v>
      </c>
      <c r="G46" s="35" t="s">
        <v>485</v>
      </c>
      <c r="H46" s="35" t="s">
        <v>485</v>
      </c>
      <c r="I46" s="58" t="s">
        <v>2482</v>
      </c>
      <c r="J46" s="57">
        <v>145567236.30000001</v>
      </c>
      <c r="K46" s="40">
        <v>100</v>
      </c>
      <c r="L46" s="41">
        <v>145567236.30000001</v>
      </c>
      <c r="M46" s="38"/>
      <c r="N46" s="41">
        <v>145567236.30000001</v>
      </c>
      <c r="O46" s="38">
        <v>0</v>
      </c>
      <c r="P46" s="27">
        <v>0</v>
      </c>
      <c r="Q46" s="27">
        <v>0</v>
      </c>
      <c r="R46" s="27" t="e">
        <v>#DIV/0!</v>
      </c>
      <c r="S46" s="38" t="e">
        <v>#DIV/0!</v>
      </c>
      <c r="T46" s="38" t="e">
        <v>#DIV/0!</v>
      </c>
      <c r="U46" s="38">
        <v>0</v>
      </c>
      <c r="V46" s="38">
        <v>0</v>
      </c>
      <c r="W46" s="38">
        <v>0</v>
      </c>
      <c r="X46" s="38">
        <v>0</v>
      </c>
      <c r="Y46" s="38"/>
      <c r="Z46" s="38" t="e">
        <v>#DIV/0!</v>
      </c>
      <c r="AA46" s="38"/>
      <c r="AB46" s="38" t="e">
        <v>#DIV/0!</v>
      </c>
      <c r="AC46" s="38" t="e">
        <v>#DIV/0!</v>
      </c>
      <c r="AD46" s="38" t="e">
        <v>#DIV/0!</v>
      </c>
      <c r="AE46" s="33">
        <v>45397</v>
      </c>
      <c r="AF46" s="33"/>
      <c r="AG46" s="33"/>
      <c r="AH46" s="33"/>
      <c r="AI46" s="33"/>
      <c r="AJ46" s="42"/>
      <c r="AK46" s="37"/>
      <c r="AL46" s="37"/>
      <c r="AM46" s="37"/>
      <c r="AN46" s="37"/>
      <c r="AO46" s="43"/>
      <c r="AP46" s="35"/>
      <c r="AQ46" s="35"/>
      <c r="AR46" s="44"/>
      <c r="AS46" s="37" t="s">
        <v>485</v>
      </c>
    </row>
    <row r="47" spans="1:45" ht="42" customHeight="1" x14ac:dyDescent="0.25">
      <c r="A47" s="32" t="s">
        <v>2499</v>
      </c>
      <c r="B47" s="56">
        <v>45348</v>
      </c>
      <c r="C47" s="37" t="s">
        <v>2074</v>
      </c>
      <c r="D47" s="36"/>
      <c r="E47" s="1" t="s">
        <v>2500</v>
      </c>
      <c r="F47" s="33">
        <v>45358</v>
      </c>
      <c r="G47" s="35" t="s">
        <v>2501</v>
      </c>
      <c r="H47" s="37" t="s">
        <v>2080</v>
      </c>
      <c r="I47" s="58" t="s">
        <v>2502</v>
      </c>
      <c r="J47" s="57">
        <v>820080</v>
      </c>
      <c r="K47" s="40">
        <v>25.555555555555554</v>
      </c>
      <c r="L47" s="41">
        <v>209576</v>
      </c>
      <c r="M47" s="38">
        <v>610504</v>
      </c>
      <c r="N47" s="41">
        <v>209576</v>
      </c>
      <c r="O47" s="38">
        <v>610504</v>
      </c>
      <c r="P47" s="27">
        <v>610504</v>
      </c>
      <c r="Q47" s="27">
        <v>610504</v>
      </c>
      <c r="R47" s="27">
        <v>134</v>
      </c>
      <c r="S47" s="38">
        <v>134</v>
      </c>
      <c r="T47" s="38" t="e">
        <v>#VALUE!</v>
      </c>
      <c r="U47" s="38">
        <v>4556</v>
      </c>
      <c r="V47" s="38">
        <v>4556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 t="e">
        <v>#VALUE!</v>
      </c>
      <c r="AD47" s="38" t="e">
        <v>#VALUE!</v>
      </c>
      <c r="AE47" s="33">
        <v>45413</v>
      </c>
      <c r="AF47" s="33"/>
      <c r="AG47" s="33"/>
      <c r="AH47" s="33">
        <v>45444</v>
      </c>
      <c r="AI47" s="33"/>
      <c r="AJ47" s="42"/>
      <c r="AK47" s="37" t="s">
        <v>2503</v>
      </c>
      <c r="AL47" s="37" t="s">
        <v>2504</v>
      </c>
      <c r="AM47" s="37" t="s">
        <v>2505</v>
      </c>
      <c r="AN47" s="37" t="s">
        <v>50</v>
      </c>
      <c r="AO47" s="43">
        <v>100</v>
      </c>
      <c r="AP47" s="35">
        <v>0</v>
      </c>
      <c r="AQ47" s="35" t="s">
        <v>398</v>
      </c>
      <c r="AR47" s="48" t="s">
        <v>2506</v>
      </c>
      <c r="AS47" s="37" t="s">
        <v>52</v>
      </c>
    </row>
    <row r="48" spans="1:45" ht="42" customHeight="1" x14ac:dyDescent="0.25">
      <c r="A48" s="32" t="s">
        <v>2507</v>
      </c>
      <c r="B48" s="56">
        <v>45348</v>
      </c>
      <c r="C48" s="35" t="s">
        <v>548</v>
      </c>
      <c r="D48" s="36"/>
      <c r="E48" s="1" t="s">
        <v>2508</v>
      </c>
      <c r="F48" s="33">
        <v>45369</v>
      </c>
      <c r="G48" s="35" t="s">
        <v>2509</v>
      </c>
      <c r="H48" s="37" t="s">
        <v>291</v>
      </c>
      <c r="I48" s="58" t="s">
        <v>2510</v>
      </c>
      <c r="J48" s="57">
        <v>1289346.3</v>
      </c>
      <c r="K48" s="40">
        <v>0</v>
      </c>
      <c r="L48" s="41">
        <v>0</v>
      </c>
      <c r="M48" s="57">
        <v>1289346.3</v>
      </c>
      <c r="N48" s="41">
        <v>0</v>
      </c>
      <c r="O48" s="57">
        <v>1289346.3</v>
      </c>
      <c r="P48" s="27">
        <v>1289346.3</v>
      </c>
      <c r="Q48" s="27">
        <v>1289346.3</v>
      </c>
      <c r="R48" s="27">
        <v>87.89</v>
      </c>
      <c r="S48" s="38">
        <v>87.89</v>
      </c>
      <c r="T48" s="38">
        <v>263.67</v>
      </c>
      <c r="U48" s="38">
        <v>14670</v>
      </c>
      <c r="V48" s="38">
        <v>14670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4890</v>
      </c>
      <c r="AD48" s="38">
        <v>4890</v>
      </c>
      <c r="AE48" s="33">
        <v>45413</v>
      </c>
      <c r="AF48" s="33"/>
      <c r="AG48" s="33"/>
      <c r="AH48" s="33">
        <v>45444</v>
      </c>
      <c r="AI48" s="33"/>
      <c r="AJ48" s="42"/>
      <c r="AK48" s="37" t="s">
        <v>2511</v>
      </c>
      <c r="AL48" s="37" t="s">
        <v>2512</v>
      </c>
      <c r="AM48" s="37" t="s">
        <v>2513</v>
      </c>
      <c r="AN48" s="37" t="s">
        <v>50</v>
      </c>
      <c r="AO48" s="43">
        <v>100</v>
      </c>
      <c r="AP48" s="35">
        <v>0</v>
      </c>
      <c r="AQ48" s="35" t="s">
        <v>398</v>
      </c>
      <c r="AR48" s="44">
        <v>3</v>
      </c>
      <c r="AS48" s="37" t="s">
        <v>52</v>
      </c>
    </row>
    <row r="49" spans="1:45" ht="42" customHeight="1" x14ac:dyDescent="0.25">
      <c r="A49" s="32" t="s">
        <v>2525</v>
      </c>
      <c r="B49" s="56">
        <v>45348</v>
      </c>
      <c r="C49" s="37" t="s">
        <v>2074</v>
      </c>
      <c r="D49" s="35" t="s">
        <v>485</v>
      </c>
      <c r="E49" s="1" t="s">
        <v>2526</v>
      </c>
      <c r="F49" s="35" t="s">
        <v>485</v>
      </c>
      <c r="G49" s="35" t="s">
        <v>485</v>
      </c>
      <c r="H49" s="35" t="s">
        <v>485</v>
      </c>
      <c r="I49" s="58" t="s">
        <v>2527</v>
      </c>
      <c r="J49" s="57">
        <v>20767.32</v>
      </c>
      <c r="K49" s="40">
        <v>100</v>
      </c>
      <c r="L49" s="41">
        <v>20767.32</v>
      </c>
      <c r="M49" s="38"/>
      <c r="N49" s="41">
        <v>20767.32</v>
      </c>
      <c r="O49" s="38">
        <v>0</v>
      </c>
      <c r="P49" s="27">
        <v>0</v>
      </c>
      <c r="Q49" s="27">
        <v>0</v>
      </c>
      <c r="R49" s="27" t="e">
        <v>#DIV/0!</v>
      </c>
      <c r="S49" s="38" t="e">
        <v>#DIV/0!</v>
      </c>
      <c r="T49" s="38" t="e">
        <v>#DIV/0!</v>
      </c>
      <c r="U49" s="38">
        <v>0</v>
      </c>
      <c r="V49" s="38">
        <v>0</v>
      </c>
      <c r="W49" s="38">
        <v>0</v>
      </c>
      <c r="X49" s="38">
        <v>0</v>
      </c>
      <c r="Y49" s="38"/>
      <c r="Z49" s="38" t="e">
        <v>#DIV/0!</v>
      </c>
      <c r="AA49" s="38"/>
      <c r="AB49" s="38" t="e">
        <v>#DIV/0!</v>
      </c>
      <c r="AC49" s="38" t="e">
        <v>#DIV/0!</v>
      </c>
      <c r="AD49" s="38" t="e">
        <v>#DIV/0!</v>
      </c>
      <c r="AE49" s="33">
        <v>45413</v>
      </c>
      <c r="AF49" s="33"/>
      <c r="AG49" s="33"/>
      <c r="AH49" s="33"/>
      <c r="AI49" s="33"/>
      <c r="AJ49" s="42"/>
      <c r="AK49" s="37"/>
      <c r="AL49" s="37"/>
      <c r="AM49" s="37"/>
      <c r="AN49" s="37"/>
      <c r="AO49" s="43"/>
      <c r="AP49" s="35"/>
      <c r="AQ49" s="35"/>
      <c r="AR49" s="44"/>
      <c r="AS49" s="37" t="s">
        <v>485</v>
      </c>
    </row>
    <row r="50" spans="1:45" ht="42.75" customHeight="1" x14ac:dyDescent="0.25">
      <c r="A50" s="32" t="s">
        <v>2571</v>
      </c>
      <c r="B50" s="56">
        <v>45349</v>
      </c>
      <c r="C50" s="35" t="s">
        <v>548</v>
      </c>
      <c r="D50" s="35" t="s">
        <v>485</v>
      </c>
      <c r="E50" s="1" t="s">
        <v>2572</v>
      </c>
      <c r="F50" s="35" t="s">
        <v>485</v>
      </c>
      <c r="G50" s="35" t="s">
        <v>485</v>
      </c>
      <c r="H50" s="35" t="s">
        <v>485</v>
      </c>
      <c r="I50" s="58" t="s">
        <v>2527</v>
      </c>
      <c r="J50" s="57">
        <v>300961.32</v>
      </c>
      <c r="K50" s="40">
        <v>100</v>
      </c>
      <c r="L50" s="41">
        <v>300961.32</v>
      </c>
      <c r="M50" s="38"/>
      <c r="N50" s="41">
        <v>300961.32</v>
      </c>
      <c r="O50" s="38">
        <v>0</v>
      </c>
      <c r="P50" s="27">
        <v>0</v>
      </c>
      <c r="Q50" s="27">
        <v>0</v>
      </c>
      <c r="R50" s="27" t="e">
        <v>#DIV/0!</v>
      </c>
      <c r="S50" s="38" t="e">
        <v>#DIV/0!</v>
      </c>
      <c r="T50" s="38" t="e">
        <v>#DIV/0!</v>
      </c>
      <c r="U50" s="38">
        <v>0</v>
      </c>
      <c r="V50" s="38">
        <v>0</v>
      </c>
      <c r="W50" s="38">
        <v>0</v>
      </c>
      <c r="X50" s="38">
        <v>0</v>
      </c>
      <c r="Y50" s="38"/>
      <c r="Z50" s="38" t="e">
        <v>#DIV/0!</v>
      </c>
      <c r="AA50" s="38"/>
      <c r="AB50" s="38" t="e">
        <v>#DIV/0!</v>
      </c>
      <c r="AC50" s="38" t="e">
        <v>#DIV/0!</v>
      </c>
      <c r="AD50" s="38" t="e">
        <v>#DIV/0!</v>
      </c>
      <c r="AE50" s="33">
        <v>45413</v>
      </c>
      <c r="AF50" s="33"/>
      <c r="AG50" s="33"/>
      <c r="AH50" s="33"/>
      <c r="AI50" s="33"/>
      <c r="AJ50" s="42"/>
      <c r="AK50" s="37"/>
      <c r="AL50" s="37"/>
      <c r="AM50" s="37"/>
      <c r="AN50" s="37"/>
      <c r="AO50" s="43"/>
      <c r="AP50" s="35"/>
      <c r="AQ50" s="35"/>
      <c r="AR50" s="44"/>
      <c r="AS50" s="37" t="s">
        <v>485</v>
      </c>
    </row>
    <row r="51" spans="1:45" ht="43.5" customHeight="1" x14ac:dyDescent="0.25">
      <c r="A51" s="32" t="s">
        <v>2728</v>
      </c>
      <c r="B51" s="56">
        <v>45352</v>
      </c>
      <c r="C51" s="37" t="s">
        <v>2074</v>
      </c>
      <c r="D51" s="35" t="s">
        <v>485</v>
      </c>
      <c r="E51" s="1" t="s">
        <v>2729</v>
      </c>
      <c r="F51" s="35" t="s">
        <v>485</v>
      </c>
      <c r="G51" s="35" t="s">
        <v>485</v>
      </c>
      <c r="H51" s="35" t="s">
        <v>485</v>
      </c>
      <c r="I51" s="58" t="s">
        <v>2730</v>
      </c>
      <c r="J51" s="57">
        <v>171708.52</v>
      </c>
      <c r="K51" s="40">
        <v>100</v>
      </c>
      <c r="L51" s="41">
        <v>171708.52</v>
      </c>
      <c r="M51" s="38"/>
      <c r="N51" s="41">
        <v>171708.52</v>
      </c>
      <c r="O51" s="38">
        <v>0</v>
      </c>
      <c r="P51" s="27">
        <v>0</v>
      </c>
      <c r="Q51" s="27">
        <v>0</v>
      </c>
      <c r="R51" s="27" t="e">
        <v>#DIV/0!</v>
      </c>
      <c r="S51" s="38" t="e">
        <v>#DIV/0!</v>
      </c>
      <c r="T51" s="38" t="e">
        <v>#DIV/0!</v>
      </c>
      <c r="U51" s="38">
        <v>0</v>
      </c>
      <c r="V51" s="38">
        <v>0</v>
      </c>
      <c r="W51" s="38">
        <v>0</v>
      </c>
      <c r="X51" s="38">
        <v>0</v>
      </c>
      <c r="Y51" s="38"/>
      <c r="Z51" s="38" t="e">
        <v>#DIV/0!</v>
      </c>
      <c r="AA51" s="38"/>
      <c r="AB51" s="38" t="e">
        <v>#DIV/0!</v>
      </c>
      <c r="AC51" s="38" t="e">
        <v>#DIV/0!</v>
      </c>
      <c r="AD51" s="38" t="e">
        <v>#DIV/0!</v>
      </c>
      <c r="AE51" s="33">
        <v>45413</v>
      </c>
      <c r="AF51" s="33"/>
      <c r="AG51" s="33"/>
      <c r="AH51" s="33"/>
      <c r="AI51" s="33"/>
      <c r="AJ51" s="42"/>
      <c r="AK51" s="37"/>
      <c r="AL51" s="37"/>
      <c r="AM51" s="37"/>
      <c r="AN51" s="37"/>
      <c r="AO51" s="43"/>
      <c r="AP51" s="35"/>
      <c r="AQ51" s="35"/>
      <c r="AR51" s="44"/>
      <c r="AS51" s="37" t="s">
        <v>485</v>
      </c>
    </row>
    <row r="52" spans="1:45" ht="43.5" customHeight="1" x14ac:dyDescent="0.25">
      <c r="A52" s="32" t="s">
        <v>2774</v>
      </c>
      <c r="B52" s="56">
        <v>45355</v>
      </c>
      <c r="C52" s="35" t="s">
        <v>548</v>
      </c>
      <c r="D52" s="35" t="s">
        <v>485</v>
      </c>
      <c r="E52" s="1" t="s">
        <v>2775</v>
      </c>
      <c r="F52" s="35" t="s">
        <v>485</v>
      </c>
      <c r="G52" s="35" t="s">
        <v>485</v>
      </c>
      <c r="H52" s="35" t="s">
        <v>485</v>
      </c>
      <c r="I52" s="58" t="s">
        <v>2776</v>
      </c>
      <c r="J52" s="57">
        <v>1751468.04</v>
      </c>
      <c r="K52" s="40">
        <v>100</v>
      </c>
      <c r="L52" s="41">
        <v>1751468.04</v>
      </c>
      <c r="M52" s="38"/>
      <c r="N52" s="41">
        <v>1751468.04</v>
      </c>
      <c r="O52" s="38">
        <v>0</v>
      </c>
      <c r="P52" s="27">
        <v>0</v>
      </c>
      <c r="Q52" s="27">
        <v>0</v>
      </c>
      <c r="R52" s="27" t="e">
        <v>#DIV/0!</v>
      </c>
      <c r="S52" s="38" t="e">
        <v>#DIV/0!</v>
      </c>
      <c r="T52" s="38" t="e">
        <v>#DIV/0!</v>
      </c>
      <c r="U52" s="38">
        <v>0</v>
      </c>
      <c r="V52" s="38">
        <v>0</v>
      </c>
      <c r="W52" s="38">
        <v>0</v>
      </c>
      <c r="X52" s="38">
        <v>0</v>
      </c>
      <c r="Y52" s="38"/>
      <c r="Z52" s="38" t="e">
        <v>#DIV/0!</v>
      </c>
      <c r="AA52" s="38"/>
      <c r="AB52" s="38" t="e">
        <v>#DIV/0!</v>
      </c>
      <c r="AC52" s="38" t="e">
        <v>#DIV/0!</v>
      </c>
      <c r="AD52" s="38" t="e">
        <v>#DIV/0!</v>
      </c>
      <c r="AE52" s="33">
        <v>45413</v>
      </c>
      <c r="AF52" s="33"/>
      <c r="AG52" s="33"/>
      <c r="AH52" s="33"/>
      <c r="AI52" s="33"/>
      <c r="AJ52" s="42"/>
      <c r="AK52" s="37"/>
      <c r="AL52" s="37"/>
      <c r="AM52" s="37"/>
      <c r="AN52" s="37"/>
      <c r="AO52" s="43"/>
      <c r="AP52" s="35"/>
      <c r="AQ52" s="35"/>
      <c r="AR52" s="44"/>
      <c r="AS52" s="37" t="s">
        <v>485</v>
      </c>
    </row>
    <row r="53" spans="1:45" ht="58.5" customHeight="1" x14ac:dyDescent="0.25">
      <c r="A53" s="32" t="s">
        <v>2914</v>
      </c>
      <c r="B53" s="56">
        <v>45363</v>
      </c>
      <c r="C53" s="37" t="s">
        <v>2074</v>
      </c>
      <c r="D53" s="36"/>
      <c r="E53" s="1" t="s">
        <v>2915</v>
      </c>
      <c r="F53" s="33">
        <v>45373</v>
      </c>
      <c r="G53" s="35" t="s">
        <v>2916</v>
      </c>
      <c r="H53" s="37" t="s">
        <v>2589</v>
      </c>
      <c r="I53" s="58" t="s">
        <v>2917</v>
      </c>
      <c r="J53" s="57">
        <v>8860135.6799999997</v>
      </c>
      <c r="K53" s="40">
        <v>0</v>
      </c>
      <c r="L53" s="41">
        <v>0</v>
      </c>
      <c r="M53" s="57">
        <v>8860135.6799999997</v>
      </c>
      <c r="N53" s="41">
        <v>0</v>
      </c>
      <c r="O53" s="57">
        <v>8860135.6799999997</v>
      </c>
      <c r="P53" s="27">
        <v>8860135.6799999997</v>
      </c>
      <c r="Q53" s="27">
        <v>8860135.6799999997</v>
      </c>
      <c r="R53" s="27">
        <v>144.66</v>
      </c>
      <c r="S53" s="38">
        <v>144.66</v>
      </c>
      <c r="T53" s="38">
        <v>6943.68</v>
      </c>
      <c r="U53" s="38">
        <v>61248</v>
      </c>
      <c r="V53" s="38">
        <v>61248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1276</v>
      </c>
      <c r="AD53" s="38">
        <v>1276</v>
      </c>
      <c r="AE53" s="33">
        <v>45402</v>
      </c>
      <c r="AF53" s="33"/>
      <c r="AG53" s="33"/>
      <c r="AH53" s="33">
        <v>45432</v>
      </c>
      <c r="AI53" s="33"/>
      <c r="AJ53" s="42"/>
      <c r="AK53" s="37" t="s">
        <v>1993</v>
      </c>
      <c r="AL53" s="37" t="s">
        <v>1994</v>
      </c>
      <c r="AM53" s="37" t="s">
        <v>1995</v>
      </c>
      <c r="AN53" s="37" t="s">
        <v>326</v>
      </c>
      <c r="AO53" s="43">
        <v>0</v>
      </c>
      <c r="AP53" s="35">
        <v>100</v>
      </c>
      <c r="AQ53" s="35" t="s">
        <v>441</v>
      </c>
      <c r="AR53" s="44">
        <v>48</v>
      </c>
      <c r="AS53" s="37" t="s">
        <v>52</v>
      </c>
    </row>
    <row r="54" spans="1:45" ht="47.25" customHeight="1" x14ac:dyDescent="0.25">
      <c r="A54" s="32" t="s">
        <v>2933</v>
      </c>
      <c r="B54" s="56">
        <v>45365</v>
      </c>
      <c r="C54" s="37" t="s">
        <v>2074</v>
      </c>
      <c r="D54" s="33" t="s">
        <v>485</v>
      </c>
      <c r="E54" s="1" t="s">
        <v>2934</v>
      </c>
      <c r="F54" s="33" t="s">
        <v>485</v>
      </c>
      <c r="G54" s="33" t="s">
        <v>485</v>
      </c>
      <c r="H54" s="33" t="s">
        <v>485</v>
      </c>
      <c r="I54" s="58" t="s">
        <v>2935</v>
      </c>
      <c r="J54" s="57">
        <v>261703.59</v>
      </c>
      <c r="K54" s="40">
        <v>100</v>
      </c>
      <c r="L54" s="41">
        <v>261703.59</v>
      </c>
      <c r="M54" s="38"/>
      <c r="N54" s="41">
        <v>261703.59</v>
      </c>
      <c r="O54" s="38">
        <v>0</v>
      </c>
      <c r="P54" s="27">
        <v>0</v>
      </c>
      <c r="Q54" s="27">
        <v>0</v>
      </c>
      <c r="R54" s="27" t="e">
        <v>#DIV/0!</v>
      </c>
      <c r="S54" s="38" t="e">
        <v>#DIV/0!</v>
      </c>
      <c r="T54" s="38" t="e">
        <v>#DIV/0!</v>
      </c>
      <c r="U54" s="38">
        <v>0</v>
      </c>
      <c r="V54" s="38">
        <v>0</v>
      </c>
      <c r="W54" s="38">
        <v>0</v>
      </c>
      <c r="X54" s="38">
        <v>0</v>
      </c>
      <c r="Y54" s="38"/>
      <c r="Z54" s="38" t="e">
        <v>#DIV/0!</v>
      </c>
      <c r="AA54" s="38"/>
      <c r="AB54" s="38" t="e">
        <v>#DIV/0!</v>
      </c>
      <c r="AC54" s="38" t="e">
        <v>#DIV/0!</v>
      </c>
      <c r="AD54" s="38" t="e">
        <v>#DIV/0!</v>
      </c>
      <c r="AE54" s="33">
        <v>45427</v>
      </c>
      <c r="AF54" s="33"/>
      <c r="AG54" s="33"/>
      <c r="AH54" s="33"/>
      <c r="AI54" s="33"/>
      <c r="AJ54" s="42"/>
      <c r="AK54" s="37"/>
      <c r="AL54" s="37"/>
      <c r="AM54" s="37"/>
      <c r="AN54" s="37"/>
      <c r="AO54" s="43"/>
      <c r="AP54" s="35"/>
      <c r="AQ54" s="35"/>
      <c r="AR54" s="44"/>
      <c r="AS54" s="37" t="s">
        <v>485</v>
      </c>
    </row>
    <row r="55" spans="1:45" ht="47.25" customHeight="1" x14ac:dyDescent="0.25">
      <c r="A55" s="32" t="s">
        <v>2938</v>
      </c>
      <c r="B55" s="56">
        <v>45365</v>
      </c>
      <c r="C55" s="37" t="s">
        <v>2074</v>
      </c>
      <c r="D55" s="33" t="s">
        <v>485</v>
      </c>
      <c r="E55" s="1" t="s">
        <v>2939</v>
      </c>
      <c r="F55" s="33" t="s">
        <v>485</v>
      </c>
      <c r="G55" s="33" t="s">
        <v>485</v>
      </c>
      <c r="H55" s="33" t="s">
        <v>485</v>
      </c>
      <c r="I55" s="58" t="s">
        <v>2940</v>
      </c>
      <c r="J55" s="57">
        <v>22577.94</v>
      </c>
      <c r="K55" s="40">
        <v>100</v>
      </c>
      <c r="L55" s="41">
        <v>22577.94</v>
      </c>
      <c r="M55" s="38"/>
      <c r="N55" s="41">
        <v>22577.94</v>
      </c>
      <c r="O55" s="38">
        <v>0</v>
      </c>
      <c r="P55" s="27">
        <v>0</v>
      </c>
      <c r="Q55" s="27">
        <v>0</v>
      </c>
      <c r="R55" s="27" t="e">
        <v>#DIV/0!</v>
      </c>
      <c r="S55" s="38" t="e">
        <v>#DIV/0!</v>
      </c>
      <c r="T55" s="38" t="e">
        <v>#DIV/0!</v>
      </c>
      <c r="U55" s="38">
        <v>0</v>
      </c>
      <c r="V55" s="38">
        <v>0</v>
      </c>
      <c r="W55" s="38">
        <v>0</v>
      </c>
      <c r="X55" s="38">
        <v>0</v>
      </c>
      <c r="Y55" s="38"/>
      <c r="Z55" s="38" t="e">
        <v>#DIV/0!</v>
      </c>
      <c r="AA55" s="38"/>
      <c r="AB55" s="38" t="e">
        <v>#DIV/0!</v>
      </c>
      <c r="AC55" s="38" t="e">
        <v>#DIV/0!</v>
      </c>
      <c r="AD55" s="38" t="e">
        <v>#DIV/0!</v>
      </c>
      <c r="AE55" s="33">
        <v>45427</v>
      </c>
      <c r="AF55" s="33"/>
      <c r="AG55" s="33"/>
      <c r="AH55" s="33"/>
      <c r="AI55" s="33"/>
      <c r="AJ55" s="42"/>
      <c r="AK55" s="37"/>
      <c r="AL55" s="37"/>
      <c r="AM55" s="37"/>
      <c r="AN55" s="37"/>
      <c r="AO55" s="43"/>
      <c r="AP55" s="35"/>
      <c r="AQ55" s="35"/>
      <c r="AR55" s="44"/>
      <c r="AS55" s="37" t="s">
        <v>485</v>
      </c>
    </row>
    <row r="56" spans="1:45" ht="56.25" customHeight="1" x14ac:dyDescent="0.25">
      <c r="A56" s="32" t="s">
        <v>2996</v>
      </c>
      <c r="B56" s="56">
        <v>45369</v>
      </c>
      <c r="C56" s="35" t="s">
        <v>548</v>
      </c>
      <c r="D56" s="35" t="s">
        <v>485</v>
      </c>
      <c r="E56" s="1" t="s">
        <v>2997</v>
      </c>
      <c r="F56" s="35" t="s">
        <v>485</v>
      </c>
      <c r="G56" s="35" t="s">
        <v>485</v>
      </c>
      <c r="H56" s="35" t="s">
        <v>485</v>
      </c>
      <c r="I56" s="58" t="s">
        <v>2527</v>
      </c>
      <c r="J56" s="57">
        <v>327200.94</v>
      </c>
      <c r="K56" s="40">
        <v>100</v>
      </c>
      <c r="L56" s="41">
        <v>327200.94</v>
      </c>
      <c r="M56" s="38"/>
      <c r="N56" s="41">
        <v>327200.94</v>
      </c>
      <c r="O56" s="38">
        <v>0</v>
      </c>
      <c r="P56" s="27">
        <v>0</v>
      </c>
      <c r="Q56" s="27">
        <v>0</v>
      </c>
      <c r="R56" s="27" t="e">
        <v>#DIV/0!</v>
      </c>
      <c r="S56" s="38" t="e">
        <v>#DIV/0!</v>
      </c>
      <c r="T56" s="38" t="e">
        <v>#DIV/0!</v>
      </c>
      <c r="U56" s="38">
        <v>0</v>
      </c>
      <c r="V56" s="38">
        <v>0</v>
      </c>
      <c r="W56" s="38">
        <v>0</v>
      </c>
      <c r="X56" s="38">
        <v>0</v>
      </c>
      <c r="Y56" s="38"/>
      <c r="Z56" s="38" t="e">
        <v>#DIV/0!</v>
      </c>
      <c r="AA56" s="38"/>
      <c r="AB56" s="38" t="e">
        <v>#DIV/0!</v>
      </c>
      <c r="AC56" s="38" t="e">
        <v>#DIV/0!</v>
      </c>
      <c r="AD56" s="38" t="e">
        <v>#DIV/0!</v>
      </c>
      <c r="AE56" s="33">
        <v>45444</v>
      </c>
      <c r="AF56" s="33"/>
      <c r="AG56" s="33"/>
      <c r="AH56" s="33"/>
      <c r="AI56" s="33"/>
      <c r="AJ56" s="42"/>
      <c r="AK56" s="37"/>
      <c r="AL56" s="37"/>
      <c r="AM56" s="37"/>
      <c r="AN56" s="37"/>
      <c r="AO56" s="43"/>
      <c r="AP56" s="35"/>
      <c r="AQ56" s="35"/>
      <c r="AR56" s="44"/>
      <c r="AS56" s="37" t="s">
        <v>485</v>
      </c>
    </row>
    <row r="57" spans="1:45" ht="56.25" customHeight="1" x14ac:dyDescent="0.25">
      <c r="A57" s="32" t="s">
        <v>2998</v>
      </c>
      <c r="B57" s="56">
        <v>45369</v>
      </c>
      <c r="C57" s="35" t="s">
        <v>548</v>
      </c>
      <c r="D57" s="36"/>
      <c r="E57" s="1" t="s">
        <v>2999</v>
      </c>
      <c r="F57" s="33">
        <v>45390</v>
      </c>
      <c r="G57" s="35" t="s">
        <v>3000</v>
      </c>
      <c r="H57" s="37" t="s">
        <v>2375</v>
      </c>
      <c r="I57" s="58" t="s">
        <v>3001</v>
      </c>
      <c r="J57" s="57">
        <v>5884861.2999999998</v>
      </c>
      <c r="K57" s="40">
        <v>0.50000005947463178</v>
      </c>
      <c r="L57" s="41">
        <v>29424.30999999959</v>
      </c>
      <c r="M57" s="38">
        <v>5855436.9900000002</v>
      </c>
      <c r="N57" s="41">
        <v>29424.30999999959</v>
      </c>
      <c r="O57" s="38">
        <v>5855436.9900000002</v>
      </c>
      <c r="P57" s="27">
        <v>5846460.9000000004</v>
      </c>
      <c r="Q57" s="27">
        <v>5846460.9000000004</v>
      </c>
      <c r="R57" s="27">
        <v>6.0900000000000007</v>
      </c>
      <c r="S57" s="38">
        <v>6.0900000000000007</v>
      </c>
      <c r="T57" s="38" t="e">
        <v>#VALUE!</v>
      </c>
      <c r="U57" s="38">
        <v>960010</v>
      </c>
      <c r="V57" s="38">
        <v>960010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 t="e">
        <v>#VALUE!</v>
      </c>
      <c r="AD57" s="38" t="e">
        <v>#VALUE!</v>
      </c>
      <c r="AE57" s="33">
        <v>45444</v>
      </c>
      <c r="AF57" s="33"/>
      <c r="AG57" s="33"/>
      <c r="AH57" s="33">
        <v>45474</v>
      </c>
      <c r="AI57" s="33"/>
      <c r="AJ57" s="42"/>
      <c r="AK57" s="37" t="s">
        <v>3002</v>
      </c>
      <c r="AL57" s="37" t="s">
        <v>3003</v>
      </c>
      <c r="AM57" s="37" t="s">
        <v>2428</v>
      </c>
      <c r="AN57" s="37" t="s">
        <v>50</v>
      </c>
      <c r="AO57" s="43">
        <v>100</v>
      </c>
      <c r="AP57" s="35">
        <v>0</v>
      </c>
      <c r="AQ57" s="35" t="s">
        <v>441</v>
      </c>
      <c r="AR57" s="48" t="s">
        <v>2429</v>
      </c>
      <c r="AS57" s="37" t="s">
        <v>52</v>
      </c>
    </row>
    <row r="58" spans="1:45" ht="56.25" customHeight="1" x14ac:dyDescent="0.25">
      <c r="A58" s="32" t="s">
        <v>3011</v>
      </c>
      <c r="B58" s="56">
        <v>45369</v>
      </c>
      <c r="C58" s="35" t="s">
        <v>548</v>
      </c>
      <c r="D58" s="36"/>
      <c r="E58" s="1" t="s">
        <v>3012</v>
      </c>
      <c r="F58" s="33">
        <v>45392</v>
      </c>
      <c r="G58" s="35" t="s">
        <v>3013</v>
      </c>
      <c r="H58" s="37" t="s">
        <v>3014</v>
      </c>
      <c r="I58" s="58" t="s">
        <v>3015</v>
      </c>
      <c r="J58" s="57">
        <v>4340213.37</v>
      </c>
      <c r="K58" s="40">
        <v>0</v>
      </c>
      <c r="L58" s="41">
        <v>0</v>
      </c>
      <c r="M58" s="57">
        <v>4340213.37</v>
      </c>
      <c r="N58" s="41">
        <v>0</v>
      </c>
      <c r="O58" s="57">
        <v>4340213.37</v>
      </c>
      <c r="P58" s="27">
        <v>4340213.37</v>
      </c>
      <c r="Q58" s="27">
        <v>4340213.37</v>
      </c>
      <c r="R58" s="27">
        <v>3.11</v>
      </c>
      <c r="S58" s="38">
        <v>3.11</v>
      </c>
      <c r="T58" s="38" t="e">
        <v>#VALUE!</v>
      </c>
      <c r="U58" s="38">
        <v>1395567</v>
      </c>
      <c r="V58" s="38">
        <v>1395567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 t="e">
        <v>#VALUE!</v>
      </c>
      <c r="AD58" s="38" t="e">
        <v>#VALUE!</v>
      </c>
      <c r="AE58" s="33">
        <v>45444</v>
      </c>
      <c r="AF58" s="33"/>
      <c r="AG58" s="33"/>
      <c r="AH58" s="33">
        <v>45474</v>
      </c>
      <c r="AI58" s="33"/>
      <c r="AJ58" s="42"/>
      <c r="AK58" s="37" t="s">
        <v>3016</v>
      </c>
      <c r="AL58" s="37" t="s">
        <v>3017</v>
      </c>
      <c r="AM58" s="37" t="s">
        <v>3018</v>
      </c>
      <c r="AN58" s="37" t="s">
        <v>50</v>
      </c>
      <c r="AO58" s="43">
        <v>100</v>
      </c>
      <c r="AP58" s="35">
        <v>0</v>
      </c>
      <c r="AQ58" s="35" t="s">
        <v>164</v>
      </c>
      <c r="AR58" s="48" t="s">
        <v>3019</v>
      </c>
      <c r="AS58" s="37" t="s">
        <v>52</v>
      </c>
    </row>
    <row r="59" spans="1:45" ht="56.25" customHeight="1" x14ac:dyDescent="0.25">
      <c r="A59" s="32" t="s">
        <v>3024</v>
      </c>
      <c r="B59" s="56">
        <v>45369</v>
      </c>
      <c r="C59" s="35" t="s">
        <v>548</v>
      </c>
      <c r="D59" s="35" t="s">
        <v>485</v>
      </c>
      <c r="E59" s="1" t="s">
        <v>3025</v>
      </c>
      <c r="F59" s="35" t="s">
        <v>485</v>
      </c>
      <c r="G59" s="35" t="s">
        <v>485</v>
      </c>
      <c r="H59" s="35" t="s">
        <v>485</v>
      </c>
      <c r="I59" s="58" t="s">
        <v>2467</v>
      </c>
      <c r="J59" s="57">
        <v>6397619.2300000004</v>
      </c>
      <c r="K59" s="40">
        <v>100</v>
      </c>
      <c r="L59" s="41">
        <v>6397619.2300000004</v>
      </c>
      <c r="M59" s="38"/>
      <c r="N59" s="41">
        <v>6397619.2300000004</v>
      </c>
      <c r="O59" s="38">
        <v>0</v>
      </c>
      <c r="P59" s="27">
        <v>0</v>
      </c>
      <c r="Q59" s="27">
        <v>0</v>
      </c>
      <c r="R59" s="27" t="e">
        <v>#DIV/0!</v>
      </c>
      <c r="S59" s="38" t="e">
        <v>#DIV/0!</v>
      </c>
      <c r="T59" s="38" t="e">
        <v>#DIV/0!</v>
      </c>
      <c r="U59" s="38">
        <v>0</v>
      </c>
      <c r="V59" s="38">
        <v>0</v>
      </c>
      <c r="W59" s="38">
        <v>0</v>
      </c>
      <c r="X59" s="38">
        <v>0</v>
      </c>
      <c r="Y59" s="38"/>
      <c r="Z59" s="38" t="e">
        <v>#DIV/0!</v>
      </c>
      <c r="AA59" s="38"/>
      <c r="AB59" s="38" t="e">
        <v>#DIV/0!</v>
      </c>
      <c r="AC59" s="38" t="e">
        <v>#DIV/0!</v>
      </c>
      <c r="AD59" s="38" t="e">
        <v>#DIV/0!</v>
      </c>
      <c r="AE59" s="33">
        <v>45444</v>
      </c>
      <c r="AF59" s="33"/>
      <c r="AG59" s="33"/>
      <c r="AH59" s="33"/>
      <c r="AI59" s="33"/>
      <c r="AJ59" s="42"/>
      <c r="AK59" s="37"/>
      <c r="AL59" s="37"/>
      <c r="AM59" s="37"/>
      <c r="AN59" s="37"/>
      <c r="AO59" s="43"/>
      <c r="AP59" s="35"/>
      <c r="AQ59" s="35"/>
      <c r="AR59" s="44"/>
      <c r="AS59" s="37" t="s">
        <v>485</v>
      </c>
    </row>
    <row r="60" spans="1:45" ht="57" customHeight="1" x14ac:dyDescent="0.25">
      <c r="A60" s="32" t="s">
        <v>3063</v>
      </c>
      <c r="B60" s="56">
        <v>45371</v>
      </c>
      <c r="C60" s="35" t="s">
        <v>548</v>
      </c>
      <c r="D60" s="36"/>
      <c r="E60" s="1" t="s">
        <v>3064</v>
      </c>
      <c r="F60" s="33">
        <v>45390</v>
      </c>
      <c r="G60" s="35" t="s">
        <v>3065</v>
      </c>
      <c r="H60" s="37" t="s">
        <v>291</v>
      </c>
      <c r="I60" s="58" t="s">
        <v>1998</v>
      </c>
      <c r="J60" s="57">
        <v>11502240</v>
      </c>
      <c r="K60" s="40">
        <v>0</v>
      </c>
      <c r="L60" s="41">
        <v>0</v>
      </c>
      <c r="M60" s="57">
        <v>11502240</v>
      </c>
      <c r="N60" s="41">
        <v>0</v>
      </c>
      <c r="O60" s="57">
        <v>11502240</v>
      </c>
      <c r="P60" s="27">
        <v>11502240</v>
      </c>
      <c r="Q60" s="27">
        <v>11502240</v>
      </c>
      <c r="R60" s="27">
        <v>6.2</v>
      </c>
      <c r="S60" s="38">
        <v>6.2</v>
      </c>
      <c r="T60" s="38">
        <v>310</v>
      </c>
      <c r="U60" s="38">
        <v>1855200</v>
      </c>
      <c r="V60" s="38">
        <v>1855200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37104</v>
      </c>
      <c r="AD60" s="38">
        <v>37104</v>
      </c>
      <c r="AE60" s="33">
        <v>45444</v>
      </c>
      <c r="AF60" s="33"/>
      <c r="AG60" s="33"/>
      <c r="AH60" s="33">
        <v>45474</v>
      </c>
      <c r="AI60" s="33"/>
      <c r="AJ60" s="42"/>
      <c r="AK60" s="37" t="s">
        <v>3066</v>
      </c>
      <c r="AL60" s="37" t="s">
        <v>3067</v>
      </c>
      <c r="AM60" s="37" t="s">
        <v>3068</v>
      </c>
      <c r="AN60" s="37" t="s">
        <v>50</v>
      </c>
      <c r="AO60" s="43">
        <v>100</v>
      </c>
      <c r="AP60" s="35">
        <v>0</v>
      </c>
      <c r="AQ60" s="35" t="s">
        <v>441</v>
      </c>
      <c r="AR60" s="44">
        <v>50</v>
      </c>
      <c r="AS60" s="37" t="s">
        <v>52</v>
      </c>
    </row>
    <row r="61" spans="1:45" ht="57" customHeight="1" x14ac:dyDescent="0.25">
      <c r="A61" s="32" t="s">
        <v>3069</v>
      </c>
      <c r="B61" s="56">
        <v>45371</v>
      </c>
      <c r="C61" s="35" t="s">
        <v>548</v>
      </c>
      <c r="D61" s="36"/>
      <c r="E61" s="1" t="s">
        <v>3070</v>
      </c>
      <c r="F61" s="33">
        <v>45390</v>
      </c>
      <c r="G61" s="35" t="s">
        <v>3071</v>
      </c>
      <c r="H61" s="37" t="s">
        <v>2032</v>
      </c>
      <c r="I61" s="58" t="s">
        <v>3072</v>
      </c>
      <c r="J61" s="57">
        <v>7355106</v>
      </c>
      <c r="K61" s="40">
        <v>0</v>
      </c>
      <c r="L61" s="41">
        <v>0</v>
      </c>
      <c r="M61" s="57">
        <v>7355106</v>
      </c>
      <c r="N61" s="41">
        <v>0</v>
      </c>
      <c r="O61" s="57">
        <v>7355106</v>
      </c>
      <c r="P61" s="27">
        <v>7355106</v>
      </c>
      <c r="Q61" s="27">
        <v>7355106</v>
      </c>
      <c r="R61" s="27">
        <v>72.599999999999994</v>
      </c>
      <c r="S61" s="38">
        <v>72.599999999999994</v>
      </c>
      <c r="T61" s="38">
        <v>726</v>
      </c>
      <c r="U61" s="38">
        <v>101310</v>
      </c>
      <c r="V61" s="38">
        <v>101310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10131</v>
      </c>
      <c r="AD61" s="38">
        <v>10131</v>
      </c>
      <c r="AE61" s="33">
        <v>45444</v>
      </c>
      <c r="AF61" s="33"/>
      <c r="AG61" s="33"/>
      <c r="AH61" s="33">
        <v>45474</v>
      </c>
      <c r="AI61" s="33"/>
      <c r="AJ61" s="42"/>
      <c r="AK61" s="37" t="s">
        <v>3073</v>
      </c>
      <c r="AL61" s="37" t="s">
        <v>3074</v>
      </c>
      <c r="AM61" s="37" t="s">
        <v>3075</v>
      </c>
      <c r="AN61" s="37" t="s">
        <v>50</v>
      </c>
      <c r="AO61" s="43">
        <v>100</v>
      </c>
      <c r="AP61" s="35">
        <v>0</v>
      </c>
      <c r="AQ61" s="35" t="s">
        <v>441</v>
      </c>
      <c r="AR61" s="44">
        <v>10</v>
      </c>
      <c r="AS61" s="37" t="s">
        <v>52</v>
      </c>
    </row>
    <row r="62" spans="1:45" ht="57" customHeight="1" x14ac:dyDescent="0.25">
      <c r="A62" s="32" t="s">
        <v>3083</v>
      </c>
      <c r="B62" s="56">
        <v>45371</v>
      </c>
      <c r="C62" s="37" t="s">
        <v>2074</v>
      </c>
      <c r="D62" s="36"/>
      <c r="E62" s="1" t="s">
        <v>3084</v>
      </c>
      <c r="F62" s="33">
        <v>45383</v>
      </c>
      <c r="G62" s="35" t="s">
        <v>3085</v>
      </c>
      <c r="H62" s="37" t="s">
        <v>1166</v>
      </c>
      <c r="I62" s="58" t="s">
        <v>1998</v>
      </c>
      <c r="J62" s="57">
        <v>403000</v>
      </c>
      <c r="K62" s="40">
        <v>0</v>
      </c>
      <c r="L62" s="41">
        <v>0</v>
      </c>
      <c r="M62" s="57">
        <v>403000</v>
      </c>
      <c r="N62" s="41">
        <v>0</v>
      </c>
      <c r="O62" s="57">
        <v>403000</v>
      </c>
      <c r="P62" s="27">
        <v>403000</v>
      </c>
      <c r="Q62" s="27">
        <v>403000</v>
      </c>
      <c r="R62" s="27">
        <v>6.2</v>
      </c>
      <c r="S62" s="38">
        <v>6.2</v>
      </c>
      <c r="T62" s="38">
        <v>310</v>
      </c>
      <c r="U62" s="38">
        <v>65000</v>
      </c>
      <c r="V62" s="38">
        <v>65000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1300</v>
      </c>
      <c r="AD62" s="38">
        <v>1300</v>
      </c>
      <c r="AE62" s="33">
        <v>45444</v>
      </c>
      <c r="AF62" s="33"/>
      <c r="AG62" s="33"/>
      <c r="AH62" s="33">
        <v>45474</v>
      </c>
      <c r="AI62" s="33"/>
      <c r="AJ62" s="42"/>
      <c r="AK62" s="37" t="s">
        <v>3086</v>
      </c>
      <c r="AL62" s="37" t="s">
        <v>3087</v>
      </c>
      <c r="AM62" s="37" t="s">
        <v>3088</v>
      </c>
      <c r="AN62" s="37" t="s">
        <v>50</v>
      </c>
      <c r="AO62" s="43">
        <v>100</v>
      </c>
      <c r="AP62" s="35">
        <v>0</v>
      </c>
      <c r="AQ62" s="35" t="s">
        <v>441</v>
      </c>
      <c r="AR62" s="44">
        <v>50</v>
      </c>
      <c r="AS62" s="37" t="s">
        <v>52</v>
      </c>
    </row>
    <row r="63" spans="1:45" ht="57" customHeight="1" x14ac:dyDescent="0.25">
      <c r="A63" s="32" t="s">
        <v>3098</v>
      </c>
      <c r="B63" s="56">
        <v>45371</v>
      </c>
      <c r="C63" s="37" t="s">
        <v>2074</v>
      </c>
      <c r="D63" s="36"/>
      <c r="E63" s="1" t="s">
        <v>3099</v>
      </c>
      <c r="F63" s="33">
        <v>45383</v>
      </c>
      <c r="G63" s="35" t="s">
        <v>3100</v>
      </c>
      <c r="H63" s="37" t="s">
        <v>1166</v>
      </c>
      <c r="I63" s="58" t="s">
        <v>2644</v>
      </c>
      <c r="J63" s="57">
        <v>254100</v>
      </c>
      <c r="K63" s="40">
        <v>0</v>
      </c>
      <c r="L63" s="41">
        <v>0</v>
      </c>
      <c r="M63" s="57">
        <v>254100</v>
      </c>
      <c r="N63" s="41">
        <v>0</v>
      </c>
      <c r="O63" s="57">
        <v>254100</v>
      </c>
      <c r="P63" s="27">
        <v>254100</v>
      </c>
      <c r="Q63" s="27">
        <v>254100</v>
      </c>
      <c r="R63" s="27">
        <v>16.5</v>
      </c>
      <c r="S63" s="38">
        <v>16.5</v>
      </c>
      <c r="T63" s="38">
        <v>8250</v>
      </c>
      <c r="U63" s="38">
        <v>15400</v>
      </c>
      <c r="V63" s="38">
        <v>15400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30.8</v>
      </c>
      <c r="AD63" s="38">
        <v>31</v>
      </c>
      <c r="AE63" s="33">
        <v>45444</v>
      </c>
      <c r="AF63" s="33"/>
      <c r="AG63" s="33"/>
      <c r="AH63" s="33">
        <v>45474</v>
      </c>
      <c r="AI63" s="33"/>
      <c r="AJ63" s="42"/>
      <c r="AK63" s="37" t="s">
        <v>3101</v>
      </c>
      <c r="AL63" s="37" t="s">
        <v>3102</v>
      </c>
      <c r="AM63" s="37" t="s">
        <v>3103</v>
      </c>
      <c r="AN63" s="37" t="s">
        <v>50</v>
      </c>
      <c r="AO63" s="43">
        <v>100</v>
      </c>
      <c r="AP63" s="35">
        <v>0</v>
      </c>
      <c r="AQ63" s="35" t="s">
        <v>441</v>
      </c>
      <c r="AR63" s="44">
        <v>500</v>
      </c>
      <c r="AS63" s="37" t="s">
        <v>52</v>
      </c>
    </row>
    <row r="64" spans="1:45" ht="57" customHeight="1" x14ac:dyDescent="0.25">
      <c r="A64" s="32" t="s">
        <v>3116</v>
      </c>
      <c r="B64" s="56">
        <v>45372</v>
      </c>
      <c r="C64" s="35" t="s">
        <v>548</v>
      </c>
      <c r="D64" s="36"/>
      <c r="E64" s="1" t="s">
        <v>3117</v>
      </c>
      <c r="F64" s="33">
        <v>45397</v>
      </c>
      <c r="G64" s="35" t="s">
        <v>3118</v>
      </c>
      <c r="H64" s="37" t="s">
        <v>2061</v>
      </c>
      <c r="I64" s="67" t="s">
        <v>2644</v>
      </c>
      <c r="J64" s="57">
        <v>15906000</v>
      </c>
      <c r="K64" s="40">
        <v>0</v>
      </c>
      <c r="L64" s="41">
        <v>0</v>
      </c>
      <c r="M64" s="57">
        <v>15906000</v>
      </c>
      <c r="N64" s="41">
        <v>0</v>
      </c>
      <c r="O64" s="57">
        <v>15906000</v>
      </c>
      <c r="P64" s="27">
        <v>15906000</v>
      </c>
      <c r="Q64" s="27">
        <v>15906000</v>
      </c>
      <c r="R64" s="27">
        <v>16.5</v>
      </c>
      <c r="S64" s="38">
        <v>16.5</v>
      </c>
      <c r="T64" s="38" t="e">
        <v>#VALUE!</v>
      </c>
      <c r="U64" s="38">
        <v>964000</v>
      </c>
      <c r="V64" s="38">
        <v>964000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 t="e">
        <v>#VALUE!</v>
      </c>
      <c r="AD64" s="38" t="e">
        <v>#VALUE!</v>
      </c>
      <c r="AE64" s="33">
        <v>45444</v>
      </c>
      <c r="AF64" s="33"/>
      <c r="AG64" s="33"/>
      <c r="AH64" s="33">
        <v>45474</v>
      </c>
      <c r="AI64" s="33"/>
      <c r="AJ64" s="42"/>
      <c r="AK64" s="37" t="s">
        <v>3119</v>
      </c>
      <c r="AL64" s="37" t="s">
        <v>3120</v>
      </c>
      <c r="AM64" s="37" t="s">
        <v>3121</v>
      </c>
      <c r="AN64" s="37" t="s">
        <v>50</v>
      </c>
      <c r="AO64" s="43">
        <v>100</v>
      </c>
      <c r="AP64" s="35">
        <v>0</v>
      </c>
      <c r="AQ64" s="35" t="s">
        <v>441</v>
      </c>
      <c r="AR64" s="48" t="s">
        <v>3122</v>
      </c>
      <c r="AS64" s="37" t="s">
        <v>52</v>
      </c>
    </row>
    <row r="65" spans="1:45" ht="57" customHeight="1" x14ac:dyDescent="0.25">
      <c r="A65" s="32" t="s">
        <v>3123</v>
      </c>
      <c r="B65" s="56">
        <v>45372</v>
      </c>
      <c r="C65" s="35" t="s">
        <v>548</v>
      </c>
      <c r="D65" s="36"/>
      <c r="E65" s="1" t="s">
        <v>3124</v>
      </c>
      <c r="F65" s="33">
        <v>45397</v>
      </c>
      <c r="G65" s="35" t="s">
        <v>3125</v>
      </c>
      <c r="H65" s="37" t="s">
        <v>2080</v>
      </c>
      <c r="I65" s="45" t="s">
        <v>3126</v>
      </c>
      <c r="J65" s="57">
        <v>90851625.700000003</v>
      </c>
      <c r="K65" s="40">
        <v>0</v>
      </c>
      <c r="L65" s="41">
        <v>0</v>
      </c>
      <c r="M65" s="57">
        <v>90851625.700000003</v>
      </c>
      <c r="N65" s="41">
        <v>0</v>
      </c>
      <c r="O65" s="57">
        <v>90851625.700000003</v>
      </c>
      <c r="P65" s="27">
        <v>90851625.700000003</v>
      </c>
      <c r="Q65" s="27">
        <v>90851625.700000003</v>
      </c>
      <c r="R65" s="27">
        <v>26.51</v>
      </c>
      <c r="S65" s="38">
        <v>26.51</v>
      </c>
      <c r="T65" s="38">
        <v>2651</v>
      </c>
      <c r="U65" s="38">
        <v>3427070</v>
      </c>
      <c r="V65" s="38">
        <v>3427070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34270.699999999997</v>
      </c>
      <c r="AD65" s="38">
        <v>34271</v>
      </c>
      <c r="AE65" s="33">
        <v>45505</v>
      </c>
      <c r="AF65" s="33"/>
      <c r="AG65" s="33"/>
      <c r="AH65" s="33">
        <v>45536</v>
      </c>
      <c r="AI65" s="33"/>
      <c r="AJ65" s="42"/>
      <c r="AK65" s="37" t="s">
        <v>3127</v>
      </c>
      <c r="AL65" s="37" t="s">
        <v>3128</v>
      </c>
      <c r="AM65" s="37" t="s">
        <v>3129</v>
      </c>
      <c r="AN65" s="37" t="s">
        <v>50</v>
      </c>
      <c r="AO65" s="43">
        <v>100</v>
      </c>
      <c r="AP65" s="35">
        <v>0</v>
      </c>
      <c r="AQ65" s="35" t="s">
        <v>441</v>
      </c>
      <c r="AR65" s="44">
        <v>100</v>
      </c>
      <c r="AS65" s="37" t="s">
        <v>52</v>
      </c>
    </row>
    <row r="66" spans="1:45" ht="57" customHeight="1" x14ac:dyDescent="0.25">
      <c r="A66" s="32" t="s">
        <v>3130</v>
      </c>
      <c r="B66" s="56">
        <v>45372</v>
      </c>
      <c r="C66" s="35" t="s">
        <v>548</v>
      </c>
      <c r="D66" s="36"/>
      <c r="E66" s="1" t="s">
        <v>3131</v>
      </c>
      <c r="F66" s="33">
        <v>45397</v>
      </c>
      <c r="G66" s="35" t="s">
        <v>3132</v>
      </c>
      <c r="H66" s="37" t="s">
        <v>3133</v>
      </c>
      <c r="I66" s="45" t="s">
        <v>3134</v>
      </c>
      <c r="J66" s="57">
        <v>17214516.600000001</v>
      </c>
      <c r="K66" s="40">
        <v>0</v>
      </c>
      <c r="L66" s="41">
        <v>0</v>
      </c>
      <c r="M66" s="57">
        <v>17214516.600000001</v>
      </c>
      <c r="N66" s="41">
        <v>0</v>
      </c>
      <c r="O66" s="57">
        <v>17214516.600000001</v>
      </c>
      <c r="P66" s="27">
        <v>17214516.600000001</v>
      </c>
      <c r="Q66" s="27">
        <v>17214516.600000001</v>
      </c>
      <c r="R66" s="27">
        <v>49.74</v>
      </c>
      <c r="S66" s="38">
        <v>49.74</v>
      </c>
      <c r="T66" s="38">
        <v>497.40000000000003</v>
      </c>
      <c r="U66" s="38">
        <v>346090</v>
      </c>
      <c r="V66" s="38">
        <v>103890</v>
      </c>
      <c r="W66" s="38">
        <v>242200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34609</v>
      </c>
      <c r="AD66" s="38">
        <v>34609</v>
      </c>
      <c r="AE66" s="33">
        <v>45444</v>
      </c>
      <c r="AF66" s="33">
        <v>45536</v>
      </c>
      <c r="AG66" s="33"/>
      <c r="AH66" s="33">
        <v>45474</v>
      </c>
      <c r="AI66" s="33">
        <v>45566</v>
      </c>
      <c r="AJ66" s="42"/>
      <c r="AK66" s="37" t="s">
        <v>3135</v>
      </c>
      <c r="AL66" s="37" t="s">
        <v>3136</v>
      </c>
      <c r="AM66" s="37" t="s">
        <v>3137</v>
      </c>
      <c r="AN66" s="37" t="s">
        <v>50</v>
      </c>
      <c r="AO66" s="43">
        <v>100</v>
      </c>
      <c r="AP66" s="35">
        <v>0</v>
      </c>
      <c r="AQ66" s="35" t="s">
        <v>441</v>
      </c>
      <c r="AR66" s="44">
        <v>10</v>
      </c>
      <c r="AS66" s="37" t="s">
        <v>52</v>
      </c>
    </row>
    <row r="67" spans="1:45" ht="57" customHeight="1" x14ac:dyDescent="0.25">
      <c r="A67" s="32" t="s">
        <v>3138</v>
      </c>
      <c r="B67" s="56">
        <v>45372</v>
      </c>
      <c r="C67" s="35" t="s">
        <v>548</v>
      </c>
      <c r="D67" s="36"/>
      <c r="E67" s="1" t="s">
        <v>3139</v>
      </c>
      <c r="F67" s="33">
        <v>45397</v>
      </c>
      <c r="G67" s="35" t="s">
        <v>3140</v>
      </c>
      <c r="H67" s="37" t="s">
        <v>2597</v>
      </c>
      <c r="I67" s="45" t="s">
        <v>2482</v>
      </c>
      <c r="J67" s="57">
        <v>16993350</v>
      </c>
      <c r="K67" s="40">
        <v>0</v>
      </c>
      <c r="L67" s="41">
        <v>0</v>
      </c>
      <c r="M67" s="57">
        <v>16993350</v>
      </c>
      <c r="N67" s="41">
        <v>0</v>
      </c>
      <c r="O67" s="57">
        <v>16993350</v>
      </c>
      <c r="P67" s="27">
        <v>16993350</v>
      </c>
      <c r="Q67" s="27">
        <v>16993350</v>
      </c>
      <c r="R67" s="27">
        <v>165</v>
      </c>
      <c r="S67" s="38">
        <v>165</v>
      </c>
      <c r="T67" s="38">
        <v>1650</v>
      </c>
      <c r="U67" s="38">
        <v>102990</v>
      </c>
      <c r="V67" s="38">
        <v>102990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10299</v>
      </c>
      <c r="AD67" s="38">
        <v>10299</v>
      </c>
      <c r="AE67" s="33">
        <v>45444</v>
      </c>
      <c r="AF67" s="33"/>
      <c r="AG67" s="33"/>
      <c r="AH67" s="33">
        <v>45474</v>
      </c>
      <c r="AI67" s="33"/>
      <c r="AJ67" s="42"/>
      <c r="AK67" s="37" t="s">
        <v>3141</v>
      </c>
      <c r="AL67" s="37" t="s">
        <v>3142</v>
      </c>
      <c r="AM67" s="37" t="s">
        <v>3143</v>
      </c>
      <c r="AN67" s="37" t="s">
        <v>2601</v>
      </c>
      <c r="AO67" s="43">
        <v>0</v>
      </c>
      <c r="AP67" s="35">
        <v>100</v>
      </c>
      <c r="AQ67" s="35" t="s">
        <v>441</v>
      </c>
      <c r="AR67" s="44">
        <v>10</v>
      </c>
      <c r="AS67" s="37" t="s">
        <v>52</v>
      </c>
    </row>
    <row r="68" spans="1:45" ht="57" customHeight="1" x14ac:dyDescent="0.25">
      <c r="A68" s="32" t="s">
        <v>3144</v>
      </c>
      <c r="B68" s="56">
        <v>45372</v>
      </c>
      <c r="C68" s="35" t="s">
        <v>548</v>
      </c>
      <c r="D68" s="36"/>
      <c r="E68" s="1" t="s">
        <v>3145</v>
      </c>
      <c r="F68" s="33">
        <v>45397</v>
      </c>
      <c r="G68" s="35" t="s">
        <v>3146</v>
      </c>
      <c r="H68" s="37" t="s">
        <v>291</v>
      </c>
      <c r="I68" s="58" t="s">
        <v>2482</v>
      </c>
      <c r="J68" s="57">
        <v>259688550</v>
      </c>
      <c r="K68" s="40">
        <v>0</v>
      </c>
      <c r="L68" s="41">
        <v>0</v>
      </c>
      <c r="M68" s="57">
        <v>259688550</v>
      </c>
      <c r="N68" s="41">
        <v>0</v>
      </c>
      <c r="O68" s="57">
        <v>259688550</v>
      </c>
      <c r="P68" s="27">
        <v>259688550</v>
      </c>
      <c r="Q68" s="27">
        <v>259688550</v>
      </c>
      <c r="R68" s="27">
        <v>165</v>
      </c>
      <c r="S68" s="38">
        <v>165</v>
      </c>
      <c r="T68" s="38" t="e">
        <v>#VALUE!</v>
      </c>
      <c r="U68" s="38">
        <v>1573870</v>
      </c>
      <c r="V68" s="38">
        <v>472170</v>
      </c>
      <c r="W68" s="38">
        <v>1101700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 t="e">
        <v>#VALUE!</v>
      </c>
      <c r="AD68" s="38" t="e">
        <v>#VALUE!</v>
      </c>
      <c r="AE68" s="33">
        <v>45444</v>
      </c>
      <c r="AF68" s="33">
        <v>45536</v>
      </c>
      <c r="AG68" s="33"/>
      <c r="AH68" s="33">
        <v>45474</v>
      </c>
      <c r="AI68" s="33">
        <v>45566</v>
      </c>
      <c r="AJ68" s="42"/>
      <c r="AK68" s="37" t="s">
        <v>3147</v>
      </c>
      <c r="AL68" s="37" t="s">
        <v>3148</v>
      </c>
      <c r="AM68" s="37" t="s">
        <v>3149</v>
      </c>
      <c r="AN68" s="37" t="s">
        <v>50</v>
      </c>
      <c r="AO68" s="43">
        <v>100</v>
      </c>
      <c r="AP68" s="35">
        <v>0</v>
      </c>
      <c r="AQ68" s="35" t="s">
        <v>441</v>
      </c>
      <c r="AR68" s="48" t="s">
        <v>3150</v>
      </c>
      <c r="AS68" s="37" t="s">
        <v>52</v>
      </c>
    </row>
    <row r="69" spans="1:45" ht="60" customHeight="1" x14ac:dyDescent="0.25">
      <c r="A69" s="32" t="s">
        <v>3157</v>
      </c>
      <c r="B69" s="56">
        <v>45373</v>
      </c>
      <c r="C69" s="37" t="s">
        <v>2074</v>
      </c>
      <c r="D69" s="36"/>
      <c r="E69" s="1" t="s">
        <v>3158</v>
      </c>
      <c r="F69" s="33">
        <v>45387</v>
      </c>
      <c r="G69" s="32" t="s">
        <v>3159</v>
      </c>
      <c r="H69" s="37" t="s">
        <v>2375</v>
      </c>
      <c r="I69" s="58" t="s">
        <v>3160</v>
      </c>
      <c r="J69" s="57">
        <v>572453</v>
      </c>
      <c r="K69" s="40">
        <v>0</v>
      </c>
      <c r="L69" s="41">
        <v>0</v>
      </c>
      <c r="M69" s="57">
        <v>572453</v>
      </c>
      <c r="N69" s="41">
        <v>0</v>
      </c>
      <c r="O69" s="57">
        <v>572453</v>
      </c>
      <c r="P69" s="27">
        <v>572453</v>
      </c>
      <c r="Q69" s="27">
        <v>572453</v>
      </c>
      <c r="R69" s="27">
        <v>5.3</v>
      </c>
      <c r="S69" s="38">
        <v>5.3</v>
      </c>
      <c r="T69" s="38" t="e">
        <v>#VALUE!</v>
      </c>
      <c r="U69" s="38">
        <v>108010</v>
      </c>
      <c r="V69" s="38">
        <v>108010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 t="e">
        <v>#VALUE!</v>
      </c>
      <c r="AD69" s="38" t="e">
        <v>#VALUE!</v>
      </c>
      <c r="AE69" s="33">
        <v>45444</v>
      </c>
      <c r="AF69" s="33"/>
      <c r="AG69" s="33"/>
      <c r="AH69" s="33">
        <v>45474</v>
      </c>
      <c r="AI69" s="33"/>
      <c r="AJ69" s="42"/>
      <c r="AK69" s="37" t="s">
        <v>3002</v>
      </c>
      <c r="AL69" s="37" t="s">
        <v>3161</v>
      </c>
      <c r="AM69" s="37" t="s">
        <v>2428</v>
      </c>
      <c r="AN69" s="37" t="s">
        <v>50</v>
      </c>
      <c r="AO69" s="43">
        <v>100</v>
      </c>
      <c r="AP69" s="35">
        <v>0</v>
      </c>
      <c r="AQ69" s="35" t="s">
        <v>441</v>
      </c>
      <c r="AR69" s="48" t="s">
        <v>2429</v>
      </c>
      <c r="AS69" s="37" t="s">
        <v>52</v>
      </c>
    </row>
    <row r="70" spans="1:45" ht="60" customHeight="1" x14ac:dyDescent="0.25">
      <c r="A70" s="32" t="s">
        <v>3162</v>
      </c>
      <c r="B70" s="56">
        <v>45373</v>
      </c>
      <c r="C70" s="37" t="s">
        <v>2074</v>
      </c>
      <c r="D70" s="36"/>
      <c r="E70" s="1" t="s">
        <v>3163</v>
      </c>
      <c r="F70" s="33">
        <v>45387</v>
      </c>
      <c r="G70" s="32" t="s">
        <v>3164</v>
      </c>
      <c r="H70" s="37" t="s">
        <v>1166</v>
      </c>
      <c r="I70" s="58" t="s">
        <v>2475</v>
      </c>
      <c r="J70" s="57">
        <v>27522.799999999999</v>
      </c>
      <c r="K70" s="40">
        <v>0</v>
      </c>
      <c r="L70" s="41">
        <v>0</v>
      </c>
      <c r="M70" s="57">
        <v>27522.799999999999</v>
      </c>
      <c r="N70" s="41">
        <v>0</v>
      </c>
      <c r="O70" s="57">
        <v>27522.799999999999</v>
      </c>
      <c r="P70" s="27">
        <v>27522.799999999999</v>
      </c>
      <c r="Q70" s="27">
        <v>27522.799999999999</v>
      </c>
      <c r="R70" s="27">
        <v>33.159999999999997</v>
      </c>
      <c r="S70" s="38">
        <v>33.159999999999997</v>
      </c>
      <c r="T70" s="38">
        <v>331.59999999999997</v>
      </c>
      <c r="U70" s="38">
        <v>830</v>
      </c>
      <c r="V70" s="38">
        <v>830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83</v>
      </c>
      <c r="AD70" s="38">
        <v>83</v>
      </c>
      <c r="AE70" s="33">
        <v>45427</v>
      </c>
      <c r="AF70" s="33"/>
      <c r="AG70" s="33"/>
      <c r="AH70" s="33">
        <v>45458</v>
      </c>
      <c r="AI70" s="33"/>
      <c r="AJ70" s="42"/>
      <c r="AK70" s="37" t="s">
        <v>3165</v>
      </c>
      <c r="AL70" s="37" t="s">
        <v>3166</v>
      </c>
      <c r="AM70" s="37" t="s">
        <v>3167</v>
      </c>
      <c r="AN70" s="37" t="s">
        <v>50</v>
      </c>
      <c r="AO70" s="43">
        <v>100</v>
      </c>
      <c r="AP70" s="35">
        <v>0</v>
      </c>
      <c r="AQ70" s="35" t="s">
        <v>441</v>
      </c>
      <c r="AR70" s="44">
        <v>10</v>
      </c>
      <c r="AS70" s="37" t="s">
        <v>52</v>
      </c>
    </row>
    <row r="71" spans="1:45" ht="60" customHeight="1" x14ac:dyDescent="0.25">
      <c r="A71" s="32" t="s">
        <v>3185</v>
      </c>
      <c r="B71" s="56">
        <v>45373</v>
      </c>
      <c r="C71" s="35" t="s">
        <v>548</v>
      </c>
      <c r="D71" s="36"/>
      <c r="E71" s="1" t="s">
        <v>3186</v>
      </c>
      <c r="F71" s="33">
        <v>45397</v>
      </c>
      <c r="G71" s="35" t="s">
        <v>3187</v>
      </c>
      <c r="H71" s="37" t="s">
        <v>2032</v>
      </c>
      <c r="I71" s="58" t="s">
        <v>3188</v>
      </c>
      <c r="J71" s="57">
        <v>9189299.1999999993</v>
      </c>
      <c r="K71" s="40">
        <v>0</v>
      </c>
      <c r="L71" s="41">
        <v>0</v>
      </c>
      <c r="M71" s="57">
        <v>9189299.1999999993</v>
      </c>
      <c r="N71" s="41">
        <v>0</v>
      </c>
      <c r="O71" s="57">
        <v>9189299.1999999993</v>
      </c>
      <c r="P71" s="27">
        <v>9189299.1999999993</v>
      </c>
      <c r="Q71" s="27">
        <v>9189299.1999999993</v>
      </c>
      <c r="R71" s="27">
        <v>33.159999999999997</v>
      </c>
      <c r="S71" s="38">
        <v>33.159999999999997</v>
      </c>
      <c r="T71" s="38">
        <v>331.59999999999997</v>
      </c>
      <c r="U71" s="38">
        <v>277120</v>
      </c>
      <c r="V71" s="38">
        <v>83150</v>
      </c>
      <c r="W71" s="38">
        <v>193970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27712</v>
      </c>
      <c r="AD71" s="38">
        <v>27712</v>
      </c>
      <c r="AE71" s="33">
        <v>45427</v>
      </c>
      <c r="AF71" s="33">
        <v>45536</v>
      </c>
      <c r="AG71" s="33"/>
      <c r="AH71" s="33">
        <v>45458</v>
      </c>
      <c r="AI71" s="33">
        <v>45566</v>
      </c>
      <c r="AJ71" s="42"/>
      <c r="AK71" s="37" t="s">
        <v>3189</v>
      </c>
      <c r="AL71" s="37" t="s">
        <v>3190</v>
      </c>
      <c r="AM71" s="37" t="s">
        <v>3191</v>
      </c>
      <c r="AN71" s="37" t="s">
        <v>50</v>
      </c>
      <c r="AO71" s="43">
        <v>100</v>
      </c>
      <c r="AP71" s="35">
        <v>0</v>
      </c>
      <c r="AQ71" s="35" t="s">
        <v>441</v>
      </c>
      <c r="AR71" s="44">
        <v>10</v>
      </c>
      <c r="AS71" s="37" t="s">
        <v>52</v>
      </c>
    </row>
    <row r="72" spans="1:45" ht="55.5" customHeight="1" x14ac:dyDescent="0.25">
      <c r="A72" s="32" t="s">
        <v>3229</v>
      </c>
      <c r="B72" s="56">
        <v>45378</v>
      </c>
      <c r="C72" s="35" t="s">
        <v>548</v>
      </c>
      <c r="D72" s="36"/>
      <c r="E72" s="1" t="s">
        <v>3230</v>
      </c>
      <c r="F72" s="33"/>
      <c r="G72" s="35"/>
      <c r="H72" s="37"/>
      <c r="I72" s="69" t="s">
        <v>3231</v>
      </c>
      <c r="J72" s="57">
        <v>3489327.04</v>
      </c>
      <c r="K72" s="40">
        <v>100</v>
      </c>
      <c r="L72" s="41">
        <v>3489327.04</v>
      </c>
      <c r="M72" s="38"/>
      <c r="N72" s="41">
        <v>3489327.04</v>
      </c>
      <c r="O72" s="38">
        <v>0</v>
      </c>
      <c r="P72" s="27">
        <v>0</v>
      </c>
      <c r="Q72" s="27">
        <v>0</v>
      </c>
      <c r="R72" s="27" t="e">
        <v>#DIV/0!</v>
      </c>
      <c r="S72" s="38" t="e">
        <v>#DIV/0!</v>
      </c>
      <c r="T72" s="38" t="e">
        <v>#DIV/0!</v>
      </c>
      <c r="U72" s="38">
        <v>0</v>
      </c>
      <c r="V72" s="38">
        <v>0</v>
      </c>
      <c r="W72" s="38">
        <v>0</v>
      </c>
      <c r="X72" s="38">
        <v>0</v>
      </c>
      <c r="Y72" s="38"/>
      <c r="Z72" s="38" t="e">
        <v>#DIV/0!</v>
      </c>
      <c r="AA72" s="38"/>
      <c r="AB72" s="38" t="e">
        <v>#DIV/0!</v>
      </c>
      <c r="AC72" s="38" t="e">
        <v>#DIV/0!</v>
      </c>
      <c r="AD72" s="38" t="e">
        <v>#DIV/0!</v>
      </c>
      <c r="AE72" s="33">
        <v>45444</v>
      </c>
      <c r="AF72" s="33"/>
      <c r="AG72" s="33"/>
      <c r="AH72" s="33"/>
      <c r="AI72" s="33"/>
      <c r="AJ72" s="42"/>
      <c r="AK72" s="37"/>
      <c r="AL72" s="37"/>
      <c r="AM72" s="37"/>
      <c r="AN72" s="37"/>
      <c r="AO72" s="43"/>
      <c r="AP72" s="35"/>
      <c r="AQ72" s="35"/>
      <c r="AR72" s="44"/>
      <c r="AS72" s="37"/>
    </row>
    <row r="73" spans="1:45" ht="55.5" customHeight="1" x14ac:dyDescent="0.25">
      <c r="A73" s="32" t="s">
        <v>3232</v>
      </c>
      <c r="B73" s="56">
        <v>45378</v>
      </c>
      <c r="C73" s="35" t="s">
        <v>548</v>
      </c>
      <c r="D73" s="36"/>
      <c r="E73" s="1" t="s">
        <v>3233</v>
      </c>
      <c r="F73" s="33">
        <v>45399</v>
      </c>
      <c r="G73" s="35" t="s">
        <v>3234</v>
      </c>
      <c r="H73" s="37" t="s">
        <v>2061</v>
      </c>
      <c r="I73" s="58" t="s">
        <v>3235</v>
      </c>
      <c r="J73" s="57">
        <v>5889338.4000000004</v>
      </c>
      <c r="K73" s="40">
        <v>0</v>
      </c>
      <c r="L73" s="41">
        <v>0</v>
      </c>
      <c r="M73" s="57">
        <v>5889338.4000000004</v>
      </c>
      <c r="N73" s="41">
        <v>0</v>
      </c>
      <c r="O73" s="57">
        <v>5889338.4000000004</v>
      </c>
      <c r="P73" s="27">
        <v>5889338.4000000004</v>
      </c>
      <c r="Q73" s="27">
        <v>5889338.4000000004</v>
      </c>
      <c r="R73" s="27">
        <v>22.55</v>
      </c>
      <c r="S73" s="38">
        <v>22.55</v>
      </c>
      <c r="T73" s="38" t="e">
        <v>#VALUE!</v>
      </c>
      <c r="U73" s="38">
        <v>261168</v>
      </c>
      <c r="V73" s="38">
        <v>261168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 t="e">
        <v>#VALUE!</v>
      </c>
      <c r="AD73" s="38" t="e">
        <v>#VALUE!</v>
      </c>
      <c r="AE73" s="33">
        <v>45444</v>
      </c>
      <c r="AF73" s="33"/>
      <c r="AG73" s="33"/>
      <c r="AH73" s="33">
        <v>45474</v>
      </c>
      <c r="AI73" s="33"/>
      <c r="AJ73" s="42"/>
      <c r="AK73" s="37" t="s">
        <v>3236</v>
      </c>
      <c r="AL73" s="37" t="s">
        <v>3237</v>
      </c>
      <c r="AM73" s="37" t="s">
        <v>3238</v>
      </c>
      <c r="AN73" s="37" t="s">
        <v>50</v>
      </c>
      <c r="AO73" s="43">
        <v>100</v>
      </c>
      <c r="AP73" s="35">
        <v>0</v>
      </c>
      <c r="AQ73" s="35" t="s">
        <v>398</v>
      </c>
      <c r="AR73" s="48" t="s">
        <v>3239</v>
      </c>
      <c r="AS73" s="37" t="s">
        <v>52</v>
      </c>
    </row>
    <row r="74" spans="1:45" ht="54.75" customHeight="1" x14ac:dyDescent="0.25">
      <c r="A74" s="46" t="s">
        <v>3257</v>
      </c>
      <c r="B74" s="33">
        <v>45383</v>
      </c>
      <c r="C74" s="37" t="s">
        <v>2074</v>
      </c>
      <c r="D74" s="36"/>
      <c r="E74" s="1" t="s">
        <v>3258</v>
      </c>
      <c r="F74" s="33">
        <v>45394</v>
      </c>
      <c r="G74" s="35" t="s">
        <v>3259</v>
      </c>
      <c r="H74" s="37" t="s">
        <v>3260</v>
      </c>
      <c r="I74" s="37" t="s">
        <v>2527</v>
      </c>
      <c r="J74" s="38">
        <v>85839.6</v>
      </c>
      <c r="K74" s="40">
        <v>0.50865800865801414</v>
      </c>
      <c r="L74" s="41">
        <v>436.63000000000466</v>
      </c>
      <c r="M74" s="38">
        <v>85402.97</v>
      </c>
      <c r="N74" s="41">
        <v>436.63000000000466</v>
      </c>
      <c r="O74" s="38">
        <v>85402.97</v>
      </c>
      <c r="P74" s="27">
        <v>85402.97</v>
      </c>
      <c r="Q74" s="27">
        <v>85402.97</v>
      </c>
      <c r="R74" s="27">
        <v>91.93</v>
      </c>
      <c r="S74" s="38">
        <v>91.93</v>
      </c>
      <c r="T74" s="38">
        <v>2298.25</v>
      </c>
      <c r="U74" s="38">
        <v>929</v>
      </c>
      <c r="V74" s="38">
        <v>929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37.159999999999997</v>
      </c>
      <c r="AD74" s="38">
        <v>38</v>
      </c>
      <c r="AE74" s="33">
        <v>45458</v>
      </c>
      <c r="AF74" s="33"/>
      <c r="AG74" s="33"/>
      <c r="AH74" s="33">
        <v>45488</v>
      </c>
      <c r="AI74" s="33"/>
      <c r="AJ74" s="42"/>
      <c r="AK74" s="37" t="s">
        <v>3261</v>
      </c>
      <c r="AL74" s="37" t="s">
        <v>3262</v>
      </c>
      <c r="AM74" s="37" t="s">
        <v>3263</v>
      </c>
      <c r="AN74" s="37" t="s">
        <v>50</v>
      </c>
      <c r="AO74" s="43">
        <v>100</v>
      </c>
      <c r="AP74" s="35">
        <v>0</v>
      </c>
      <c r="AQ74" s="35" t="s">
        <v>398</v>
      </c>
      <c r="AR74" s="44">
        <v>25</v>
      </c>
      <c r="AS74" s="37" t="s">
        <v>52</v>
      </c>
    </row>
    <row r="75" spans="1:45" ht="54.75" customHeight="1" x14ac:dyDescent="0.25">
      <c r="A75" s="46" t="s">
        <v>3264</v>
      </c>
      <c r="B75" s="33">
        <v>45383</v>
      </c>
      <c r="C75" s="37" t="s">
        <v>2074</v>
      </c>
      <c r="D75" s="36"/>
      <c r="E75" s="1" t="s">
        <v>3265</v>
      </c>
      <c r="F75" s="33">
        <v>45394</v>
      </c>
      <c r="G75" s="35" t="s">
        <v>3266</v>
      </c>
      <c r="H75" s="37" t="s">
        <v>3260</v>
      </c>
      <c r="I75" s="37" t="s">
        <v>2467</v>
      </c>
      <c r="J75" s="38">
        <v>550114.74</v>
      </c>
      <c r="K75" s="40">
        <v>0.53213262382316229</v>
      </c>
      <c r="L75" s="41">
        <v>2927.3399999999674</v>
      </c>
      <c r="M75" s="38">
        <v>547187.4</v>
      </c>
      <c r="N75" s="41">
        <v>2927.3399999999674</v>
      </c>
      <c r="O75" s="38">
        <v>547187.4</v>
      </c>
      <c r="P75" s="27">
        <v>547187.4</v>
      </c>
      <c r="Q75" s="27">
        <v>547187.4</v>
      </c>
      <c r="R75" s="27">
        <v>72.900000000000006</v>
      </c>
      <c r="S75" s="38">
        <v>72.900000000000006</v>
      </c>
      <c r="T75" s="38">
        <v>3645.0000000000005</v>
      </c>
      <c r="U75" s="38">
        <v>7506</v>
      </c>
      <c r="V75" s="38">
        <v>7506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150.12</v>
      </c>
      <c r="AD75" s="38">
        <v>151</v>
      </c>
      <c r="AE75" s="33">
        <v>45458</v>
      </c>
      <c r="AF75" s="33"/>
      <c r="AG75" s="33"/>
      <c r="AH75" s="33">
        <v>45488</v>
      </c>
      <c r="AI75" s="33"/>
      <c r="AJ75" s="42"/>
      <c r="AK75" s="37" t="s">
        <v>3261</v>
      </c>
      <c r="AL75" s="37" t="s">
        <v>3267</v>
      </c>
      <c r="AM75" s="37" t="s">
        <v>3268</v>
      </c>
      <c r="AN75" s="37" t="s">
        <v>50</v>
      </c>
      <c r="AO75" s="43">
        <v>100</v>
      </c>
      <c r="AP75" s="35">
        <v>0</v>
      </c>
      <c r="AQ75" s="35" t="s">
        <v>398</v>
      </c>
      <c r="AR75" s="44">
        <v>50</v>
      </c>
      <c r="AS75" s="37" t="s">
        <v>52</v>
      </c>
    </row>
    <row r="76" spans="1:45" ht="54.75" customHeight="1" x14ac:dyDescent="0.25">
      <c r="A76" s="32" t="s">
        <v>3277</v>
      </c>
      <c r="B76" s="56">
        <v>45386</v>
      </c>
      <c r="C76" s="37" t="s">
        <v>2074</v>
      </c>
      <c r="D76" s="36"/>
      <c r="E76" s="1" t="s">
        <v>3278</v>
      </c>
      <c r="F76" s="33">
        <v>45398</v>
      </c>
      <c r="G76" s="35" t="s">
        <v>3279</v>
      </c>
      <c r="H76" s="37" t="s">
        <v>2032</v>
      </c>
      <c r="I76" s="58" t="s">
        <v>2527</v>
      </c>
      <c r="J76" s="57">
        <v>1186323.6000000001</v>
      </c>
      <c r="K76" s="40">
        <v>0</v>
      </c>
      <c r="L76" s="41">
        <v>0</v>
      </c>
      <c r="M76" s="57">
        <v>1186323.6000000001</v>
      </c>
      <c r="N76" s="41">
        <v>0</v>
      </c>
      <c r="O76" s="57">
        <v>1186323.6000000001</v>
      </c>
      <c r="P76" s="27">
        <v>1186323.6000000001</v>
      </c>
      <c r="Q76" s="27">
        <v>1186323.6000000001</v>
      </c>
      <c r="R76" s="27">
        <v>92.4</v>
      </c>
      <c r="S76" s="38">
        <v>92.4</v>
      </c>
      <c r="T76" s="38" t="e">
        <v>#VALUE!</v>
      </c>
      <c r="U76" s="38">
        <v>12839</v>
      </c>
      <c r="V76" s="38">
        <v>12839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 t="e">
        <v>#VALUE!</v>
      </c>
      <c r="AD76" s="38" t="e">
        <v>#VALUE!</v>
      </c>
      <c r="AE76" s="33">
        <v>45458</v>
      </c>
      <c r="AF76" s="33"/>
      <c r="AG76" s="33"/>
      <c r="AH76" s="33">
        <v>45488</v>
      </c>
      <c r="AI76" s="33"/>
      <c r="AJ76" s="42"/>
      <c r="AK76" s="37" t="s">
        <v>3280</v>
      </c>
      <c r="AL76" s="37" t="s">
        <v>3281</v>
      </c>
      <c r="AM76" s="37" t="s">
        <v>3282</v>
      </c>
      <c r="AN76" s="37" t="s">
        <v>50</v>
      </c>
      <c r="AO76" s="43">
        <v>100</v>
      </c>
      <c r="AP76" s="35">
        <v>0</v>
      </c>
      <c r="AQ76" s="35" t="s">
        <v>398</v>
      </c>
      <c r="AR76" s="48" t="s">
        <v>3283</v>
      </c>
      <c r="AS76" s="37" t="s">
        <v>52</v>
      </c>
    </row>
  </sheetData>
  <autoFilter ref="A2:AS44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19F7DFE4-9EFF-46D4-A40C-1CDDD0395F19}"/>
    <hyperlink ref="E4" r:id="rId2" xr:uid="{FAC1FCA1-8824-4D79-8E70-79884F4E556D}"/>
    <hyperlink ref="E5" r:id="rId3" xr:uid="{2A10ECEA-66E5-4B85-83A0-7465AB8D705A}"/>
    <hyperlink ref="E6" r:id="rId4" xr:uid="{3E022AB4-C8B8-4670-941D-07B9A9862722}"/>
    <hyperlink ref="E7" r:id="rId5" xr:uid="{5351E406-1B47-45EA-88FE-D36174CCD33F}"/>
    <hyperlink ref="E8" r:id="rId6" xr:uid="{01A46C44-6DD0-4F14-8E42-848651E8A6C9}"/>
    <hyperlink ref="E9" r:id="rId7" xr:uid="{F84A19A9-F487-466A-9657-CAA15AF0B9F2}"/>
    <hyperlink ref="E10" r:id="rId8" xr:uid="{839FA148-8E9B-44C9-8779-DB8212B6A9CD}"/>
    <hyperlink ref="E11" r:id="rId9" xr:uid="{9C79D4D9-722F-4376-9B40-7A96A478969E}"/>
    <hyperlink ref="E12" r:id="rId10" xr:uid="{72739A88-37CA-4604-99DE-953846C5B3AA}"/>
    <hyperlink ref="E13" r:id="rId11" xr:uid="{90B9ECE3-0585-4D83-9168-72E6EAEF28C6}"/>
    <hyperlink ref="E14" r:id="rId12" xr:uid="{337AE8C5-27E8-458E-A9A3-8A1BAB52DECF}"/>
    <hyperlink ref="E15" r:id="rId13" xr:uid="{68D2038C-F304-41F0-9D95-DCB914621CBC}"/>
    <hyperlink ref="E16" r:id="rId14" xr:uid="{53A861F8-7E57-4639-83D7-B8C36476271C}"/>
    <hyperlink ref="E17" r:id="rId15" xr:uid="{95297620-C33C-46B3-90FE-44B3D2CCBE83}"/>
    <hyperlink ref="E18" r:id="rId16" xr:uid="{0F12DB18-5F47-4498-908B-9DCEF4F44260}"/>
    <hyperlink ref="E19" r:id="rId17" xr:uid="{B5141D7C-30CE-493B-B4AB-7F11DE5628A2}"/>
    <hyperlink ref="E20" r:id="rId18" xr:uid="{04000355-6E4B-4A3B-A6AD-19DC56746E5B}"/>
    <hyperlink ref="E21" r:id="rId19" xr:uid="{74FEED21-0993-4713-91D5-82CD666F25ED}"/>
    <hyperlink ref="E22" r:id="rId20" xr:uid="{A9222440-F2B0-435A-9461-540F62921936}"/>
    <hyperlink ref="E23" r:id="rId21" xr:uid="{1502B29E-3B59-4EA2-A6FF-3273952D8F91}"/>
    <hyperlink ref="E24" r:id="rId22" xr:uid="{D35CEE84-1463-4832-8A42-FCE1C3A3AE08}"/>
    <hyperlink ref="E25" r:id="rId23" xr:uid="{D5F2F7B9-DD9F-4E1E-8D0A-8453C2B87BC2}"/>
    <hyperlink ref="E26" r:id="rId24" xr:uid="{7DDB50CB-9006-478D-A443-E79A878EE4E0}"/>
    <hyperlink ref="E27" r:id="rId25" xr:uid="{3A8FA84D-0A1B-44A8-8FB7-6306FB716C27}"/>
    <hyperlink ref="E28" r:id="rId26" xr:uid="{D19CA9E5-B5DF-4E94-BED7-3D54EF51405B}"/>
    <hyperlink ref="E29" r:id="rId27" xr:uid="{F61C7B8C-A357-43AC-A2DD-13919A6A201C}"/>
    <hyperlink ref="E30" r:id="rId28" xr:uid="{EAB68DF9-865C-4153-9EC5-AF670FDC740E}"/>
    <hyperlink ref="E31" r:id="rId29" xr:uid="{922A3F8F-C3AA-48A2-908B-DB1626477314}"/>
    <hyperlink ref="E32" r:id="rId30" xr:uid="{019F0DF3-8EA4-4E0B-9DBF-B61665EF73AE}"/>
    <hyperlink ref="E33" r:id="rId31" xr:uid="{FE554AC6-6636-454F-90D6-407EC031ADFC}"/>
    <hyperlink ref="E34" r:id="rId32" xr:uid="{76050842-2645-4316-81E5-C81A437C8BDD}"/>
    <hyperlink ref="E35" r:id="rId33" xr:uid="{6BE65CB1-9752-4591-87B0-B5E998712870}"/>
    <hyperlink ref="E36" r:id="rId34" xr:uid="{F5238BDF-B2A1-4546-B955-D8E7DF8F89F0}"/>
    <hyperlink ref="E37" r:id="rId35" xr:uid="{295615D7-A9AC-471E-8190-EA0E3B6FB656}"/>
    <hyperlink ref="E38" r:id="rId36" xr:uid="{B8C174D3-37E0-414C-96F7-5D54EBA01728}"/>
    <hyperlink ref="E39" r:id="rId37" xr:uid="{76CE416F-D2F4-4563-B59B-918427A4A7BF}"/>
    <hyperlink ref="E40" r:id="rId38" xr:uid="{29013F7F-DC43-4A2F-8E94-9AA846F0D33A}"/>
    <hyperlink ref="E41" r:id="rId39" xr:uid="{90060F74-927E-45DE-A90C-05EA09171839}"/>
    <hyperlink ref="E42" r:id="rId40" xr:uid="{1CD9B9FE-1FFF-45F7-973B-5E5059874D9E}"/>
    <hyperlink ref="E43" r:id="rId41" xr:uid="{26D8BA33-B4E2-48AE-8C9B-717274BF611B}"/>
    <hyperlink ref="E44" r:id="rId42" xr:uid="{C0A04576-410B-4A25-A9A9-5D6CB8C96BB8}"/>
    <hyperlink ref="E45" r:id="rId43" xr:uid="{8435423F-252F-456A-8535-32B2722FD893}"/>
    <hyperlink ref="E46" r:id="rId44" xr:uid="{F528499D-1AD2-4706-B774-04CC2F341AF2}"/>
    <hyperlink ref="E47" r:id="rId45" xr:uid="{C974EF45-B3B3-42D8-9F58-D98B914E233D}"/>
    <hyperlink ref="E48" r:id="rId46" xr:uid="{40779A74-BEFF-45E9-96C5-9E7AF19B1E69}"/>
    <hyperlink ref="E49" r:id="rId47" xr:uid="{1E595501-2805-4AB1-A0E1-6423E5BAD8A6}"/>
    <hyperlink ref="E50" r:id="rId48" xr:uid="{5FCA8010-1DF1-42ED-904A-0011E3FFCCCF}"/>
    <hyperlink ref="E51" r:id="rId49" xr:uid="{223287A6-5292-48A7-8A85-D8E7B4E84E9C}"/>
    <hyperlink ref="E52" r:id="rId50" xr:uid="{6BBBDAD5-0418-4C7A-B9C4-9131AFC34694}"/>
    <hyperlink ref="E53" r:id="rId51" xr:uid="{ACACFF3F-071A-42C7-86EF-E09D1784981B}"/>
    <hyperlink ref="E54" r:id="rId52" xr:uid="{EBF92006-05C1-4EDD-B514-A39544E9F5CE}"/>
    <hyperlink ref="E55" r:id="rId53" xr:uid="{6BBE76B3-0874-456D-B267-99369EDDC5C8}"/>
    <hyperlink ref="E56" r:id="rId54" xr:uid="{7DABBBE4-08F2-4C69-985F-374A21A2F191}"/>
    <hyperlink ref="E57" r:id="rId55" xr:uid="{22E3C167-07BB-4C4A-9F95-8B729BB5798E}"/>
    <hyperlink ref="E58" r:id="rId56" xr:uid="{947E9715-C587-4793-AA73-0605BBF2847B}"/>
    <hyperlink ref="E59" r:id="rId57" xr:uid="{578AADF5-B500-4526-8745-478C51B64BAD}"/>
    <hyperlink ref="E60" r:id="rId58" xr:uid="{4507FA61-08EB-4D01-806C-764745410971}"/>
    <hyperlink ref="E61" r:id="rId59" xr:uid="{77BA9097-FD31-4684-891C-C0698C4EAAE1}"/>
    <hyperlink ref="E62" r:id="rId60" xr:uid="{462AC0BA-4A56-42EB-AEAC-C77B1496DE83}"/>
    <hyperlink ref="E63" r:id="rId61" xr:uid="{77D7712D-221B-48D0-903D-AEB66D0C9DB5}"/>
    <hyperlink ref="E64" r:id="rId62" xr:uid="{1D8B5A9D-561A-4A75-A7E9-338E82789245}"/>
    <hyperlink ref="E65" r:id="rId63" xr:uid="{201CA5DC-0408-4392-B3DE-599DFF56377E}"/>
    <hyperlink ref="E66" r:id="rId64" xr:uid="{B81E465C-A1E3-4C80-9084-33C83889BA3A}"/>
    <hyperlink ref="E67" r:id="rId65" xr:uid="{EBFBFE83-0D96-4074-8CC0-48D6926F2996}"/>
    <hyperlink ref="E68" r:id="rId66" xr:uid="{38556C0E-A6B5-40F0-B370-4D8696C2B62B}"/>
    <hyperlink ref="E69" r:id="rId67" xr:uid="{16505185-89B8-4BD4-94AB-387E84CFBD1C}"/>
    <hyperlink ref="E70" r:id="rId68" xr:uid="{ACEF5E8C-7EB3-4355-925B-BD72DFB4E4AE}"/>
    <hyperlink ref="E71" r:id="rId69" xr:uid="{787E61C6-F379-48BE-8CF2-12C9335506C1}"/>
    <hyperlink ref="E72" r:id="rId70" xr:uid="{56554D8B-813E-458F-A197-7087CC77E36D}"/>
    <hyperlink ref="E73" r:id="rId71" xr:uid="{E040420D-03D7-4D46-8650-FFBF625E6EF2}"/>
    <hyperlink ref="E74" r:id="rId72" xr:uid="{EFB2BBDF-147C-4370-A71D-1FE738691DD6}"/>
    <hyperlink ref="E75" r:id="rId73" xr:uid="{8DD5DB9B-6BA8-45DB-AC8C-E2E14EED3AD3}"/>
    <hyperlink ref="E76" r:id="rId74" xr:uid="{9B264DFE-40A7-4DBF-BDB9-F062500BAF3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72E4E-6638-4421-BB5D-CD84A7F89E3B}">
  <dimension ref="A1:AS60"/>
  <sheetViews>
    <sheetView zoomScale="77" zoomScaleNormal="77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8" sqref="C8"/>
    </sheetView>
  </sheetViews>
  <sheetFormatPr defaultColWidth="9.140625" defaultRowHeight="15.75" x14ac:dyDescent="0.25"/>
  <cols>
    <col min="1" max="1" width="23.85546875" style="18" customWidth="1"/>
    <col min="2" max="2" width="15.140625" style="71" customWidth="1"/>
    <col min="3" max="3" width="15.42578125" style="18" customWidth="1"/>
    <col min="4" max="4" width="15.7109375" style="18" customWidth="1"/>
    <col min="5" max="5" width="17.5703125" style="18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8" customWidth="1"/>
    <col min="10" max="10" width="22.140625" style="51" customWidth="1"/>
    <col min="11" max="11" width="19.140625" style="51" customWidth="1"/>
    <col min="12" max="12" width="21.28515625" style="18" customWidth="1"/>
    <col min="13" max="13" width="21.7109375" style="18" customWidth="1"/>
    <col min="14" max="14" width="19.5703125" style="18" customWidth="1"/>
    <col min="15" max="15" width="21.42578125" style="18" customWidth="1"/>
    <col min="16" max="16" width="23.5703125" style="18" customWidth="1"/>
    <col min="17" max="17" width="19.85546875" style="18" customWidth="1"/>
    <col min="18" max="18" width="15" style="18" customWidth="1"/>
    <col min="19" max="20" width="14.5703125" style="18" customWidth="1"/>
    <col min="21" max="21" width="20.140625" style="18" customWidth="1"/>
    <col min="22" max="22" width="17.5703125" style="73" customWidth="1"/>
    <col min="23" max="23" width="15.5703125" style="18" customWidth="1"/>
    <col min="24" max="24" width="15.5703125" style="72" customWidth="1"/>
    <col min="25" max="25" width="17.42578125" style="18" customWidth="1"/>
    <col min="26" max="28" width="17" style="18" customWidth="1"/>
    <col min="29" max="29" width="20.85546875" style="18" customWidth="1"/>
    <col min="30" max="30" width="16.42578125" style="18" customWidth="1"/>
    <col min="31" max="31" width="13.7109375" style="18" customWidth="1"/>
    <col min="32" max="32" width="14" style="18" customWidth="1"/>
    <col min="33" max="33" width="13.5703125" style="51" customWidth="1"/>
    <col min="34" max="34" width="14.85546875" style="51" customWidth="1"/>
    <col min="35" max="35" width="15.42578125" style="18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8" customWidth="1"/>
    <col min="42" max="42" width="14.7109375" style="52" customWidth="1"/>
    <col min="43" max="43" width="12.5703125" style="18" customWidth="1"/>
    <col min="44" max="44" width="13.85546875" style="72" customWidth="1"/>
    <col min="45" max="45" width="17.140625" style="18" customWidth="1"/>
    <col min="46" max="16384" width="9.140625" style="18"/>
  </cols>
  <sheetData>
    <row r="1" spans="1:45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9" t="s">
        <v>15</v>
      </c>
      <c r="Q1" s="8" t="s">
        <v>16</v>
      </c>
      <c r="R1" s="9" t="s">
        <v>17</v>
      </c>
      <c r="S1" s="9" t="s">
        <v>18</v>
      </c>
      <c r="T1" s="3" t="s">
        <v>19</v>
      </c>
      <c r="U1" s="10" t="s">
        <v>20</v>
      </c>
      <c r="V1" s="11"/>
      <c r="W1" s="11"/>
      <c r="X1" s="11"/>
      <c r="Y1" s="11"/>
      <c r="Z1" s="11"/>
      <c r="AA1" s="11"/>
      <c r="AB1" s="11"/>
      <c r="AC1" s="11"/>
      <c r="AD1" s="12"/>
      <c r="AE1" s="13" t="s">
        <v>21</v>
      </c>
      <c r="AF1" s="14"/>
      <c r="AG1" s="15"/>
      <c r="AH1" s="13" t="s">
        <v>22</v>
      </c>
      <c r="AI1" s="14"/>
      <c r="AJ1" s="15"/>
      <c r="AK1" s="16" t="s">
        <v>23</v>
      </c>
      <c r="AL1" s="16" t="s">
        <v>24</v>
      </c>
      <c r="AM1" s="16" t="s">
        <v>25</v>
      </c>
      <c r="AN1" s="16" t="s">
        <v>26</v>
      </c>
      <c r="AO1" s="8" t="s">
        <v>27</v>
      </c>
      <c r="AP1" s="8" t="s">
        <v>28</v>
      </c>
      <c r="AQ1" s="9" t="s">
        <v>29</v>
      </c>
      <c r="AR1" s="17" t="s">
        <v>30</v>
      </c>
      <c r="AS1" s="16" t="s">
        <v>31</v>
      </c>
    </row>
    <row r="2" spans="1:45" ht="45" customHeight="1" x14ac:dyDescent="0.25">
      <c r="A2" s="19"/>
      <c r="B2" s="20"/>
      <c r="C2" s="23"/>
      <c r="D2" s="24"/>
      <c r="E2" s="22"/>
      <c r="F2" s="21"/>
      <c r="G2" s="22"/>
      <c r="H2" s="22"/>
      <c r="I2" s="25"/>
      <c r="J2" s="26"/>
      <c r="K2" s="26"/>
      <c r="L2" s="26"/>
      <c r="M2" s="25"/>
      <c r="N2" s="25"/>
      <c r="O2" s="25"/>
      <c r="P2" s="25"/>
      <c r="Q2" s="25"/>
      <c r="R2" s="26"/>
      <c r="S2" s="26"/>
      <c r="T2" s="20"/>
      <c r="U2" s="27" t="s">
        <v>32</v>
      </c>
      <c r="V2" s="27" t="s">
        <v>33</v>
      </c>
      <c r="W2" s="27" t="s">
        <v>34</v>
      </c>
      <c r="X2" s="27" t="s">
        <v>35</v>
      </c>
      <c r="Y2" s="27" t="s">
        <v>36</v>
      </c>
      <c r="Z2" s="27" t="s">
        <v>37</v>
      </c>
      <c r="AA2" s="27" t="s">
        <v>38</v>
      </c>
      <c r="AB2" s="27" t="s">
        <v>39</v>
      </c>
      <c r="AC2" s="27" t="s">
        <v>40</v>
      </c>
      <c r="AD2" s="27" t="s">
        <v>41</v>
      </c>
      <c r="AE2" s="28" t="s">
        <v>33</v>
      </c>
      <c r="AF2" s="28" t="s">
        <v>34</v>
      </c>
      <c r="AG2" s="28" t="s">
        <v>35</v>
      </c>
      <c r="AH2" s="28" t="s">
        <v>33</v>
      </c>
      <c r="AI2" s="28" t="s">
        <v>34</v>
      </c>
      <c r="AJ2" s="28" t="s">
        <v>35</v>
      </c>
      <c r="AK2" s="29"/>
      <c r="AL2" s="29"/>
      <c r="AM2" s="29"/>
      <c r="AN2" s="29"/>
      <c r="AO2" s="25"/>
      <c r="AP2" s="25"/>
      <c r="AQ2" s="26"/>
      <c r="AR2" s="30"/>
      <c r="AS2" s="29"/>
    </row>
    <row r="3" spans="1:45" ht="58.5" customHeight="1" x14ac:dyDescent="0.25">
      <c r="A3" s="32" t="s">
        <v>42</v>
      </c>
      <c r="B3" s="33" t="s">
        <v>43</v>
      </c>
      <c r="C3" s="35">
        <v>1688</v>
      </c>
      <c r="D3" s="36"/>
      <c r="E3" s="37"/>
      <c r="F3" s="33">
        <v>45369</v>
      </c>
      <c r="G3" s="35" t="s">
        <v>44</v>
      </c>
      <c r="H3" s="37" t="s">
        <v>45</v>
      </c>
      <c r="I3" s="37" t="s">
        <v>46</v>
      </c>
      <c r="J3" s="38">
        <v>251931120</v>
      </c>
      <c r="K3" s="40">
        <v>0</v>
      </c>
      <c r="L3" s="38">
        <v>0</v>
      </c>
      <c r="M3" s="38" t="s">
        <v>43</v>
      </c>
      <c r="N3" s="41">
        <v>0</v>
      </c>
      <c r="O3" s="38">
        <v>251931120</v>
      </c>
      <c r="P3" s="27">
        <v>251931120</v>
      </c>
      <c r="Q3" s="27">
        <v>251931120</v>
      </c>
      <c r="R3" s="27">
        <v>155.13</v>
      </c>
      <c r="S3" s="38">
        <v>155.13</v>
      </c>
      <c r="T3" s="38">
        <v>1551.3</v>
      </c>
      <c r="U3" s="38">
        <v>1624000</v>
      </c>
      <c r="V3" s="38">
        <v>210000</v>
      </c>
      <c r="W3" s="38">
        <v>462000</v>
      </c>
      <c r="X3" s="38">
        <v>952000</v>
      </c>
      <c r="Y3" s="38">
        <v>0</v>
      </c>
      <c r="Z3" s="38">
        <v>0</v>
      </c>
      <c r="AA3" s="38">
        <v>0</v>
      </c>
      <c r="AB3" s="38">
        <v>0</v>
      </c>
      <c r="AC3" s="38">
        <v>162400</v>
      </c>
      <c r="AD3" s="38">
        <v>162400</v>
      </c>
      <c r="AE3" s="33">
        <v>45413</v>
      </c>
      <c r="AF3" s="33">
        <v>45505</v>
      </c>
      <c r="AG3" s="33">
        <v>45611</v>
      </c>
      <c r="AH3" s="33">
        <v>45444</v>
      </c>
      <c r="AI3" s="33">
        <v>45536</v>
      </c>
      <c r="AJ3" s="42">
        <v>45641</v>
      </c>
      <c r="AK3" s="37" t="s">
        <v>47</v>
      </c>
      <c r="AL3" s="37" t="s">
        <v>48</v>
      </c>
      <c r="AM3" s="37" t="s">
        <v>49</v>
      </c>
      <c r="AN3" s="37" t="s">
        <v>50</v>
      </c>
      <c r="AO3" s="43">
        <v>100</v>
      </c>
      <c r="AP3" s="35">
        <v>0</v>
      </c>
      <c r="AQ3" s="35" t="s">
        <v>51</v>
      </c>
      <c r="AR3" s="44">
        <v>10</v>
      </c>
      <c r="AS3" s="37" t="s">
        <v>52</v>
      </c>
    </row>
    <row r="4" spans="1:45" ht="58.5" customHeight="1" x14ac:dyDescent="0.25">
      <c r="A4" s="32" t="s">
        <v>42</v>
      </c>
      <c r="B4" s="33" t="s">
        <v>43</v>
      </c>
      <c r="C4" s="35">
        <v>1688</v>
      </c>
      <c r="D4" s="36"/>
      <c r="E4" s="37"/>
      <c r="F4" s="33">
        <v>45376</v>
      </c>
      <c r="G4" s="35" t="s">
        <v>53</v>
      </c>
      <c r="H4" s="37" t="s">
        <v>45</v>
      </c>
      <c r="I4" s="37" t="s">
        <v>54</v>
      </c>
      <c r="J4" s="38">
        <v>107705707.14</v>
      </c>
      <c r="K4" s="40">
        <v>0</v>
      </c>
      <c r="L4" s="38">
        <v>0</v>
      </c>
      <c r="M4" s="38" t="s">
        <v>43</v>
      </c>
      <c r="N4" s="41">
        <v>0</v>
      </c>
      <c r="O4" s="38">
        <v>107705707.14</v>
      </c>
      <c r="P4" s="27">
        <v>107705707.14</v>
      </c>
      <c r="Q4" s="27">
        <v>107705707.14</v>
      </c>
      <c r="R4" s="27">
        <v>178.77</v>
      </c>
      <c r="S4" s="38">
        <v>178.77</v>
      </c>
      <c r="T4" s="38">
        <v>1787.7</v>
      </c>
      <c r="U4" s="38">
        <v>602482</v>
      </c>
      <c r="V4" s="38">
        <v>266482</v>
      </c>
      <c r="W4" s="38">
        <v>336000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60248.2</v>
      </c>
      <c r="AD4" s="38">
        <v>60249</v>
      </c>
      <c r="AE4" s="33">
        <v>45412</v>
      </c>
      <c r="AF4" s="33">
        <v>45565</v>
      </c>
      <c r="AG4" s="33"/>
      <c r="AH4" s="33">
        <v>45442</v>
      </c>
      <c r="AI4" s="33">
        <v>45595</v>
      </c>
      <c r="AJ4" s="42"/>
      <c r="AK4" s="37" t="s">
        <v>55</v>
      </c>
      <c r="AL4" s="37" t="s">
        <v>48</v>
      </c>
      <c r="AM4" s="37" t="s">
        <v>56</v>
      </c>
      <c r="AN4" s="37" t="s">
        <v>50</v>
      </c>
      <c r="AO4" s="43">
        <v>100</v>
      </c>
      <c r="AP4" s="35">
        <v>0</v>
      </c>
      <c r="AQ4" s="35" t="s">
        <v>51</v>
      </c>
      <c r="AR4" s="44">
        <v>10</v>
      </c>
      <c r="AS4" s="37" t="s">
        <v>52</v>
      </c>
    </row>
    <row r="5" spans="1:45" ht="39" customHeight="1" x14ac:dyDescent="0.25">
      <c r="A5" s="32" t="s">
        <v>42</v>
      </c>
      <c r="B5" s="33" t="s">
        <v>43</v>
      </c>
      <c r="C5" s="35">
        <v>1688</v>
      </c>
      <c r="D5" s="36"/>
      <c r="E5" s="37"/>
      <c r="F5" s="33">
        <v>45376</v>
      </c>
      <c r="G5" s="35" t="s">
        <v>57</v>
      </c>
      <c r="H5" s="37" t="s">
        <v>45</v>
      </c>
      <c r="I5" s="37" t="s">
        <v>58</v>
      </c>
      <c r="J5" s="38">
        <v>15775211.880000001</v>
      </c>
      <c r="K5" s="40">
        <v>0</v>
      </c>
      <c r="L5" s="38">
        <v>0</v>
      </c>
      <c r="M5" s="38" t="s">
        <v>43</v>
      </c>
      <c r="N5" s="41">
        <v>0</v>
      </c>
      <c r="O5" s="38">
        <v>15775211.880000001</v>
      </c>
      <c r="P5" s="27">
        <v>15775211.880000001</v>
      </c>
      <c r="Q5" s="27">
        <v>15775211.880000001</v>
      </c>
      <c r="R5" s="27">
        <v>77.94</v>
      </c>
      <c r="S5" s="38">
        <v>77.94</v>
      </c>
      <c r="T5" s="38">
        <v>779.4</v>
      </c>
      <c r="U5" s="38">
        <v>202402</v>
      </c>
      <c r="V5" s="38">
        <v>202402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20240.2</v>
      </c>
      <c r="AD5" s="38">
        <v>20241</v>
      </c>
      <c r="AE5" s="33">
        <v>45412</v>
      </c>
      <c r="AF5" s="33"/>
      <c r="AG5" s="33"/>
      <c r="AH5" s="33">
        <v>45442</v>
      </c>
      <c r="AI5" s="33"/>
      <c r="AJ5" s="42"/>
      <c r="AK5" s="37" t="s">
        <v>59</v>
      </c>
      <c r="AL5" s="37" t="s">
        <v>60</v>
      </c>
      <c r="AM5" s="37" t="s">
        <v>61</v>
      </c>
      <c r="AN5" s="37" t="s">
        <v>50</v>
      </c>
      <c r="AO5" s="43">
        <v>100</v>
      </c>
      <c r="AP5" s="35">
        <v>0</v>
      </c>
      <c r="AQ5" s="35" t="s">
        <v>51</v>
      </c>
      <c r="AR5" s="44">
        <v>10</v>
      </c>
      <c r="AS5" s="37" t="s">
        <v>52</v>
      </c>
    </row>
    <row r="6" spans="1:45" ht="42" customHeight="1" x14ac:dyDescent="0.25">
      <c r="A6" s="32" t="s">
        <v>42</v>
      </c>
      <c r="B6" s="33" t="s">
        <v>43</v>
      </c>
      <c r="C6" s="35">
        <v>1688</v>
      </c>
      <c r="D6" s="36"/>
      <c r="E6" s="37"/>
      <c r="F6" s="33">
        <v>45376</v>
      </c>
      <c r="G6" s="35" t="s">
        <v>62</v>
      </c>
      <c r="H6" s="37" t="s">
        <v>45</v>
      </c>
      <c r="I6" s="37" t="s">
        <v>63</v>
      </c>
      <c r="J6" s="38">
        <v>139840957.30000001</v>
      </c>
      <c r="K6" s="40">
        <v>0</v>
      </c>
      <c r="L6" s="38">
        <v>0</v>
      </c>
      <c r="M6" s="38" t="s">
        <v>43</v>
      </c>
      <c r="N6" s="41">
        <v>0</v>
      </c>
      <c r="O6" s="38">
        <v>139840957.30000001</v>
      </c>
      <c r="P6" s="27">
        <v>139840957.30000001</v>
      </c>
      <c r="Q6" s="27">
        <v>139840957.30000001</v>
      </c>
      <c r="R6" s="27">
        <v>86.9</v>
      </c>
      <c r="S6" s="38">
        <v>86.9</v>
      </c>
      <c r="T6" s="38">
        <v>869</v>
      </c>
      <c r="U6" s="38">
        <v>1609217</v>
      </c>
      <c r="V6" s="38">
        <v>1385881</v>
      </c>
      <c r="W6" s="38">
        <v>223336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160921.70000000001</v>
      </c>
      <c r="AD6" s="38">
        <v>160922</v>
      </c>
      <c r="AE6" s="33">
        <v>45412</v>
      </c>
      <c r="AF6" s="33">
        <v>45536</v>
      </c>
      <c r="AG6" s="33"/>
      <c r="AH6" s="33">
        <v>45442</v>
      </c>
      <c r="AI6" s="33">
        <v>45566</v>
      </c>
      <c r="AJ6" s="42"/>
      <c r="AK6" s="37" t="s">
        <v>59</v>
      </c>
      <c r="AL6" s="37" t="s">
        <v>64</v>
      </c>
      <c r="AM6" s="37" t="s">
        <v>61</v>
      </c>
      <c r="AN6" s="37" t="s">
        <v>50</v>
      </c>
      <c r="AO6" s="43">
        <v>100</v>
      </c>
      <c r="AP6" s="35">
        <v>0</v>
      </c>
      <c r="AQ6" s="35" t="s">
        <v>51</v>
      </c>
      <c r="AR6" s="44">
        <v>10</v>
      </c>
      <c r="AS6" s="37" t="s">
        <v>52</v>
      </c>
    </row>
    <row r="7" spans="1:45" ht="42" customHeight="1" x14ac:dyDescent="0.25">
      <c r="A7" s="32" t="s">
        <v>42</v>
      </c>
      <c r="B7" s="33" t="s">
        <v>43</v>
      </c>
      <c r="C7" s="35">
        <v>1688</v>
      </c>
      <c r="D7" s="36"/>
      <c r="E7" s="37"/>
      <c r="F7" s="33">
        <v>45376</v>
      </c>
      <c r="G7" s="35" t="s">
        <v>65</v>
      </c>
      <c r="H7" s="37" t="s">
        <v>45</v>
      </c>
      <c r="I7" s="37" t="s">
        <v>66</v>
      </c>
      <c r="J7" s="38">
        <v>1187269.1100000001</v>
      </c>
      <c r="K7" s="40">
        <v>0</v>
      </c>
      <c r="L7" s="38">
        <v>0</v>
      </c>
      <c r="M7" s="38" t="s">
        <v>43</v>
      </c>
      <c r="N7" s="41">
        <v>0</v>
      </c>
      <c r="O7" s="38">
        <v>1187269.1100000001</v>
      </c>
      <c r="P7" s="27">
        <v>1187269.1100000001</v>
      </c>
      <c r="Q7" s="27">
        <v>1187269.1100000001</v>
      </c>
      <c r="R7" s="27">
        <v>28.230000000000004</v>
      </c>
      <c r="S7" s="38">
        <v>28.230000000000004</v>
      </c>
      <c r="T7" s="38">
        <v>564.60000000000014</v>
      </c>
      <c r="U7" s="38">
        <v>42057</v>
      </c>
      <c r="V7" s="38">
        <v>42057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2102.85</v>
      </c>
      <c r="AD7" s="38">
        <v>2103</v>
      </c>
      <c r="AE7" s="33">
        <v>45412</v>
      </c>
      <c r="AF7" s="33"/>
      <c r="AG7" s="33"/>
      <c r="AH7" s="33">
        <v>45442</v>
      </c>
      <c r="AI7" s="33"/>
      <c r="AJ7" s="42"/>
      <c r="AK7" s="37" t="s">
        <v>67</v>
      </c>
      <c r="AL7" s="37" t="s">
        <v>68</v>
      </c>
      <c r="AM7" s="37" t="s">
        <v>69</v>
      </c>
      <c r="AN7" s="37" t="s">
        <v>50</v>
      </c>
      <c r="AO7" s="43">
        <v>100</v>
      </c>
      <c r="AP7" s="35">
        <v>0</v>
      </c>
      <c r="AQ7" s="35" t="s">
        <v>51</v>
      </c>
      <c r="AR7" s="44">
        <v>20</v>
      </c>
      <c r="AS7" s="37" t="s">
        <v>52</v>
      </c>
    </row>
    <row r="8" spans="1:45" ht="42" customHeight="1" x14ac:dyDescent="0.25">
      <c r="A8" s="32" t="s">
        <v>42</v>
      </c>
      <c r="B8" s="33" t="s">
        <v>43</v>
      </c>
      <c r="C8" s="35">
        <v>1688</v>
      </c>
      <c r="D8" s="36"/>
      <c r="E8" s="37"/>
      <c r="F8" s="33">
        <v>45376</v>
      </c>
      <c r="G8" s="35" t="s">
        <v>70</v>
      </c>
      <c r="H8" s="37" t="s">
        <v>45</v>
      </c>
      <c r="I8" s="37" t="s">
        <v>71</v>
      </c>
      <c r="J8" s="38">
        <v>41956309.329999998</v>
      </c>
      <c r="K8" s="40">
        <v>0</v>
      </c>
      <c r="L8" s="38">
        <v>0</v>
      </c>
      <c r="M8" s="38" t="s">
        <v>43</v>
      </c>
      <c r="N8" s="41">
        <v>0</v>
      </c>
      <c r="O8" s="38">
        <v>41956309.329999998</v>
      </c>
      <c r="P8" s="27">
        <v>41956309.329999998</v>
      </c>
      <c r="Q8" s="27">
        <v>41956309.329999998</v>
      </c>
      <c r="R8" s="27">
        <v>36.79</v>
      </c>
      <c r="S8" s="38">
        <v>36.79</v>
      </c>
      <c r="T8" s="38">
        <v>735.8</v>
      </c>
      <c r="U8" s="38">
        <v>1140427</v>
      </c>
      <c r="V8" s="38">
        <v>1000620</v>
      </c>
      <c r="W8" s="38">
        <v>139807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57021.35</v>
      </c>
      <c r="AD8" s="38">
        <v>57022</v>
      </c>
      <c r="AE8" s="33">
        <v>45412</v>
      </c>
      <c r="AF8" s="33">
        <v>45535</v>
      </c>
      <c r="AG8" s="33"/>
      <c r="AH8" s="33">
        <v>45442</v>
      </c>
      <c r="AI8" s="33">
        <v>45566</v>
      </c>
      <c r="AJ8" s="42"/>
      <c r="AK8" s="37" t="s">
        <v>72</v>
      </c>
      <c r="AL8" s="37" t="s">
        <v>73</v>
      </c>
      <c r="AM8" s="37" t="s">
        <v>74</v>
      </c>
      <c r="AN8" s="37" t="s">
        <v>50</v>
      </c>
      <c r="AO8" s="43">
        <v>100</v>
      </c>
      <c r="AP8" s="35">
        <v>0</v>
      </c>
      <c r="AQ8" s="35" t="s">
        <v>51</v>
      </c>
      <c r="AR8" s="44">
        <v>20</v>
      </c>
      <c r="AS8" s="37" t="s">
        <v>52</v>
      </c>
    </row>
    <row r="9" spans="1:45" ht="42.75" customHeight="1" x14ac:dyDescent="0.25">
      <c r="A9" s="32" t="s">
        <v>42</v>
      </c>
      <c r="B9" s="33" t="s">
        <v>43</v>
      </c>
      <c r="C9" s="35">
        <v>1688</v>
      </c>
      <c r="D9" s="36"/>
      <c r="E9" s="37"/>
      <c r="F9" s="33">
        <v>45376</v>
      </c>
      <c r="G9" s="35" t="s">
        <v>75</v>
      </c>
      <c r="H9" s="37" t="s">
        <v>45</v>
      </c>
      <c r="I9" s="37" t="s">
        <v>76</v>
      </c>
      <c r="J9" s="38">
        <v>10489944.300000001</v>
      </c>
      <c r="K9" s="40">
        <v>0</v>
      </c>
      <c r="L9" s="38">
        <v>0</v>
      </c>
      <c r="M9" s="38" t="s">
        <v>43</v>
      </c>
      <c r="N9" s="41">
        <v>0</v>
      </c>
      <c r="O9" s="38">
        <v>10489944.300000001</v>
      </c>
      <c r="P9" s="27">
        <v>10489944.300000001</v>
      </c>
      <c r="Q9" s="27">
        <v>10489944.300000001</v>
      </c>
      <c r="R9" s="27">
        <v>127.10000000000001</v>
      </c>
      <c r="S9" s="38">
        <v>127.10000000000001</v>
      </c>
      <c r="T9" s="38">
        <v>1271</v>
      </c>
      <c r="U9" s="38">
        <v>82533</v>
      </c>
      <c r="V9" s="38">
        <v>82533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8253.2999999999993</v>
      </c>
      <c r="AD9" s="38">
        <v>8254</v>
      </c>
      <c r="AE9" s="33">
        <v>45536</v>
      </c>
      <c r="AF9" s="33"/>
      <c r="AG9" s="33"/>
      <c r="AH9" s="33">
        <v>45566</v>
      </c>
      <c r="AI9" s="33"/>
      <c r="AJ9" s="42"/>
      <c r="AK9" s="37" t="s">
        <v>77</v>
      </c>
      <c r="AL9" s="37" t="s">
        <v>78</v>
      </c>
      <c r="AM9" s="37" t="s">
        <v>79</v>
      </c>
      <c r="AN9" s="37" t="s">
        <v>50</v>
      </c>
      <c r="AO9" s="43">
        <v>100</v>
      </c>
      <c r="AP9" s="35">
        <v>0</v>
      </c>
      <c r="AQ9" s="35" t="s">
        <v>51</v>
      </c>
      <c r="AR9" s="44">
        <v>10</v>
      </c>
      <c r="AS9" s="37" t="s">
        <v>52</v>
      </c>
    </row>
    <row r="10" spans="1:45" ht="42.75" customHeight="1" x14ac:dyDescent="0.25">
      <c r="A10" s="32" t="s">
        <v>42</v>
      </c>
      <c r="B10" s="33" t="s">
        <v>43</v>
      </c>
      <c r="C10" s="35">
        <v>1688</v>
      </c>
      <c r="D10" s="36"/>
      <c r="E10" s="37"/>
      <c r="F10" s="33">
        <v>45376</v>
      </c>
      <c r="G10" s="35" t="s">
        <v>80</v>
      </c>
      <c r="H10" s="37" t="s">
        <v>45</v>
      </c>
      <c r="I10" s="37" t="s">
        <v>81</v>
      </c>
      <c r="J10" s="38">
        <v>446779980.66000003</v>
      </c>
      <c r="K10" s="40">
        <v>0</v>
      </c>
      <c r="L10" s="38">
        <v>0</v>
      </c>
      <c r="M10" s="38" t="s">
        <v>43</v>
      </c>
      <c r="N10" s="41">
        <v>0</v>
      </c>
      <c r="O10" s="38">
        <v>446779980.66000003</v>
      </c>
      <c r="P10" s="27">
        <v>446779980.66000003</v>
      </c>
      <c r="Q10" s="27">
        <v>446779980.66000003</v>
      </c>
      <c r="R10" s="27">
        <v>39.630000000000003</v>
      </c>
      <c r="S10" s="38">
        <v>39.630000000000003</v>
      </c>
      <c r="T10" s="38">
        <v>792.6</v>
      </c>
      <c r="U10" s="38">
        <v>11273782</v>
      </c>
      <c r="V10" s="38">
        <v>4697400</v>
      </c>
      <c r="W10" s="38">
        <v>6553982</v>
      </c>
      <c r="X10" s="38">
        <v>22400</v>
      </c>
      <c r="Y10" s="38">
        <v>0</v>
      </c>
      <c r="Z10" s="38">
        <v>0</v>
      </c>
      <c r="AA10" s="38">
        <v>0</v>
      </c>
      <c r="AB10" s="38">
        <v>0</v>
      </c>
      <c r="AC10" s="38">
        <v>563689.1</v>
      </c>
      <c r="AD10" s="38">
        <v>563690</v>
      </c>
      <c r="AE10" s="33">
        <v>45412</v>
      </c>
      <c r="AF10" s="33">
        <v>45565</v>
      </c>
      <c r="AG10" s="33">
        <v>45626</v>
      </c>
      <c r="AH10" s="33">
        <v>45442</v>
      </c>
      <c r="AI10" s="33">
        <v>45595</v>
      </c>
      <c r="AJ10" s="42">
        <v>45641</v>
      </c>
      <c r="AK10" s="37" t="s">
        <v>82</v>
      </c>
      <c r="AL10" s="37" t="s">
        <v>83</v>
      </c>
      <c r="AM10" s="37" t="s">
        <v>84</v>
      </c>
      <c r="AN10" s="37" t="s">
        <v>50</v>
      </c>
      <c r="AO10" s="43">
        <v>100</v>
      </c>
      <c r="AP10" s="35">
        <v>0</v>
      </c>
      <c r="AQ10" s="35" t="s">
        <v>51</v>
      </c>
      <c r="AR10" s="44">
        <v>20</v>
      </c>
      <c r="AS10" s="37" t="s">
        <v>52</v>
      </c>
    </row>
    <row r="11" spans="1:45" ht="42.75" customHeight="1" x14ac:dyDescent="0.25">
      <c r="A11" s="32" t="s">
        <v>42</v>
      </c>
      <c r="B11" s="33" t="s">
        <v>43</v>
      </c>
      <c r="C11" s="35">
        <v>1688</v>
      </c>
      <c r="D11" s="36"/>
      <c r="E11" s="37"/>
      <c r="F11" s="33">
        <v>45376</v>
      </c>
      <c r="G11" s="35" t="s">
        <v>85</v>
      </c>
      <c r="H11" s="37" t="s">
        <v>45</v>
      </c>
      <c r="I11" s="37" t="s">
        <v>86</v>
      </c>
      <c r="J11" s="38">
        <v>189735733.08000001</v>
      </c>
      <c r="K11" s="40">
        <v>0</v>
      </c>
      <c r="L11" s="38">
        <v>0</v>
      </c>
      <c r="M11" s="38" t="s">
        <v>43</v>
      </c>
      <c r="N11" s="41">
        <v>0</v>
      </c>
      <c r="O11" s="38">
        <v>189735733.08000001</v>
      </c>
      <c r="P11" s="27">
        <v>191045904.47999999</v>
      </c>
      <c r="Q11" s="27">
        <v>191045904.47999999</v>
      </c>
      <c r="R11" s="27">
        <v>77.94</v>
      </c>
      <c r="S11" s="38">
        <v>77.94</v>
      </c>
      <c r="T11" s="38">
        <v>779.4</v>
      </c>
      <c r="U11" s="38">
        <v>2451192</v>
      </c>
      <c r="V11" s="38">
        <v>2451192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245119.2</v>
      </c>
      <c r="AD11" s="38">
        <v>245120</v>
      </c>
      <c r="AE11" s="33">
        <v>45412</v>
      </c>
      <c r="AF11" s="33"/>
      <c r="AG11" s="33"/>
      <c r="AH11" s="33">
        <v>45442</v>
      </c>
      <c r="AI11" s="33"/>
      <c r="AJ11" s="42"/>
      <c r="AK11" s="37" t="s">
        <v>59</v>
      </c>
      <c r="AL11" s="37" t="s">
        <v>60</v>
      </c>
      <c r="AM11" s="37" t="s">
        <v>61</v>
      </c>
      <c r="AN11" s="37" t="s">
        <v>50</v>
      </c>
      <c r="AO11" s="43">
        <v>100</v>
      </c>
      <c r="AP11" s="35">
        <v>0</v>
      </c>
      <c r="AQ11" s="35" t="s">
        <v>51</v>
      </c>
      <c r="AR11" s="44">
        <v>10</v>
      </c>
      <c r="AS11" s="37" t="s">
        <v>52</v>
      </c>
    </row>
    <row r="12" spans="1:45" ht="57" customHeight="1" x14ac:dyDescent="0.25">
      <c r="A12" s="32" t="s">
        <v>42</v>
      </c>
      <c r="B12" s="33" t="s">
        <v>43</v>
      </c>
      <c r="C12" s="35">
        <v>1688</v>
      </c>
      <c r="D12" s="36"/>
      <c r="E12" s="37"/>
      <c r="F12" s="33">
        <v>45385</v>
      </c>
      <c r="G12" s="35" t="s">
        <v>87</v>
      </c>
      <c r="H12" s="37" t="s">
        <v>45</v>
      </c>
      <c r="I12" s="37" t="s">
        <v>88</v>
      </c>
      <c r="J12" s="38">
        <v>242434400</v>
      </c>
      <c r="K12" s="40">
        <v>0</v>
      </c>
      <c r="L12" s="38">
        <v>0</v>
      </c>
      <c r="M12" s="38" t="s">
        <v>43</v>
      </c>
      <c r="N12" s="41">
        <v>0</v>
      </c>
      <c r="O12" s="38">
        <v>116555000</v>
      </c>
      <c r="P12" s="27">
        <v>116555000</v>
      </c>
      <c r="Q12" s="38">
        <v>242434400</v>
      </c>
      <c r="R12" s="27">
        <v>233.11</v>
      </c>
      <c r="S12" s="38">
        <v>233.11</v>
      </c>
      <c r="T12" s="38">
        <v>2331.1000000000004</v>
      </c>
      <c r="U12" s="38">
        <v>1040000</v>
      </c>
      <c r="V12" s="38">
        <v>351000</v>
      </c>
      <c r="W12" s="38">
        <v>149000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104000</v>
      </c>
      <c r="AD12" s="38">
        <v>104000</v>
      </c>
      <c r="AE12" s="33">
        <v>45596</v>
      </c>
      <c r="AF12" s="33">
        <v>45646</v>
      </c>
      <c r="AG12" s="33"/>
      <c r="AH12" s="33">
        <v>45626</v>
      </c>
      <c r="AI12" s="33">
        <v>45647</v>
      </c>
      <c r="AJ12" s="42"/>
      <c r="AK12" s="37" t="s">
        <v>89</v>
      </c>
      <c r="AL12" s="37" t="s">
        <v>90</v>
      </c>
      <c r="AM12" s="37" t="s">
        <v>91</v>
      </c>
      <c r="AN12" s="37" t="s">
        <v>50</v>
      </c>
      <c r="AO12" s="43">
        <v>100</v>
      </c>
      <c r="AP12" s="35">
        <v>0</v>
      </c>
      <c r="AQ12" s="35" t="s">
        <v>51</v>
      </c>
      <c r="AR12" s="44">
        <v>10</v>
      </c>
      <c r="AS12" s="37" t="s">
        <v>52</v>
      </c>
    </row>
    <row r="13" spans="1:45" ht="54.75" customHeight="1" x14ac:dyDescent="0.25">
      <c r="A13" s="32" t="s">
        <v>42</v>
      </c>
      <c r="B13" s="33" t="s">
        <v>43</v>
      </c>
      <c r="C13" s="35">
        <v>1688</v>
      </c>
      <c r="D13" s="36"/>
      <c r="E13" s="37"/>
      <c r="F13" s="33">
        <v>45385</v>
      </c>
      <c r="G13" s="35" t="s">
        <v>92</v>
      </c>
      <c r="H13" s="37" t="s">
        <v>45</v>
      </c>
      <c r="I13" s="37" t="s">
        <v>93</v>
      </c>
      <c r="J13" s="38">
        <v>22240485.420000002</v>
      </c>
      <c r="K13" s="40">
        <v>0</v>
      </c>
      <c r="L13" s="38">
        <v>0</v>
      </c>
      <c r="M13" s="38" t="s">
        <v>43</v>
      </c>
      <c r="N13" s="41">
        <v>0</v>
      </c>
      <c r="O13" s="38">
        <v>16629585.42</v>
      </c>
      <c r="P13" s="27">
        <v>16629585.42</v>
      </c>
      <c r="Q13" s="38">
        <v>22240485.420000002</v>
      </c>
      <c r="R13" s="27">
        <v>187.03</v>
      </c>
      <c r="S13" s="38">
        <v>187.03</v>
      </c>
      <c r="T13" s="38">
        <v>1870.3</v>
      </c>
      <c r="U13" s="38">
        <v>118914</v>
      </c>
      <c r="V13" s="38">
        <v>88914</v>
      </c>
      <c r="W13" s="38">
        <v>30000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11891.4</v>
      </c>
      <c r="AD13" s="38">
        <v>11892</v>
      </c>
      <c r="AE13" s="33">
        <v>45626</v>
      </c>
      <c r="AF13" s="33"/>
      <c r="AG13" s="33"/>
      <c r="AH13" s="33">
        <v>45641</v>
      </c>
      <c r="AI13" s="33"/>
      <c r="AJ13" s="42"/>
      <c r="AK13" s="37" t="s">
        <v>94</v>
      </c>
      <c r="AL13" s="37" t="s">
        <v>90</v>
      </c>
      <c r="AM13" s="37" t="s">
        <v>95</v>
      </c>
      <c r="AN13" s="37" t="s">
        <v>50</v>
      </c>
      <c r="AO13" s="43">
        <v>100</v>
      </c>
      <c r="AP13" s="35">
        <v>0</v>
      </c>
      <c r="AQ13" s="35" t="s">
        <v>51</v>
      </c>
      <c r="AR13" s="44">
        <v>10</v>
      </c>
      <c r="AS13" s="37" t="s">
        <v>52</v>
      </c>
    </row>
    <row r="14" spans="1:45" ht="47.25" customHeight="1" x14ac:dyDescent="0.25">
      <c r="A14" s="32" t="s">
        <v>42</v>
      </c>
      <c r="B14" s="33" t="s">
        <v>43</v>
      </c>
      <c r="C14" s="35">
        <v>1688</v>
      </c>
      <c r="D14" s="36"/>
      <c r="E14" s="37"/>
      <c r="F14" s="33">
        <v>45385</v>
      </c>
      <c r="G14" s="35" t="s">
        <v>96</v>
      </c>
      <c r="H14" s="37" t="s">
        <v>45</v>
      </c>
      <c r="I14" s="37" t="s">
        <v>97</v>
      </c>
      <c r="J14" s="38">
        <v>66398524.280000001</v>
      </c>
      <c r="K14" s="40">
        <v>0</v>
      </c>
      <c r="L14" s="38">
        <v>0</v>
      </c>
      <c r="M14" s="38" t="s">
        <v>43</v>
      </c>
      <c r="N14" s="41">
        <v>0</v>
      </c>
      <c r="O14" s="38">
        <v>27879570.18</v>
      </c>
      <c r="P14" s="27">
        <v>27879570.18</v>
      </c>
      <c r="Q14" s="38">
        <v>66398524.280000001</v>
      </c>
      <c r="R14" s="27">
        <v>24.86</v>
      </c>
      <c r="S14" s="38">
        <v>24.86</v>
      </c>
      <c r="T14" s="38">
        <v>1243</v>
      </c>
      <c r="U14" s="38">
        <v>2670898</v>
      </c>
      <c r="V14" s="38">
        <v>47400</v>
      </c>
      <c r="W14" s="38">
        <v>289891</v>
      </c>
      <c r="X14" s="39" t="s">
        <v>98</v>
      </c>
      <c r="Y14" s="38">
        <v>0</v>
      </c>
      <c r="Z14" s="38">
        <v>0</v>
      </c>
      <c r="AA14" s="38">
        <v>0</v>
      </c>
      <c r="AB14" s="38">
        <v>0</v>
      </c>
      <c r="AC14" s="38">
        <v>53417.96</v>
      </c>
      <c r="AD14" s="38">
        <v>53418</v>
      </c>
      <c r="AE14" s="33">
        <v>45427</v>
      </c>
      <c r="AF14" s="33">
        <v>45535</v>
      </c>
      <c r="AG14" s="42" t="s">
        <v>99</v>
      </c>
      <c r="AH14" s="33">
        <v>45458</v>
      </c>
      <c r="AI14" s="33">
        <v>45565</v>
      </c>
      <c r="AJ14" s="42" t="s">
        <v>100</v>
      </c>
      <c r="AK14" s="37" t="s">
        <v>101</v>
      </c>
      <c r="AL14" s="37" t="s">
        <v>102</v>
      </c>
      <c r="AM14" s="37" t="s">
        <v>103</v>
      </c>
      <c r="AN14" s="37" t="s">
        <v>50</v>
      </c>
      <c r="AO14" s="43">
        <v>100</v>
      </c>
      <c r="AP14" s="35">
        <v>0</v>
      </c>
      <c r="AQ14" s="35" t="s">
        <v>51</v>
      </c>
      <c r="AR14" s="44">
        <v>50</v>
      </c>
      <c r="AS14" s="37" t="s">
        <v>52</v>
      </c>
    </row>
    <row r="15" spans="1:45" ht="52.5" customHeight="1" x14ac:dyDescent="0.25">
      <c r="A15" s="32" t="s">
        <v>42</v>
      </c>
      <c r="B15" s="33" t="s">
        <v>43</v>
      </c>
      <c r="C15" s="35">
        <v>1688</v>
      </c>
      <c r="D15" s="36"/>
      <c r="E15" s="37"/>
      <c r="F15" s="33">
        <v>45385</v>
      </c>
      <c r="G15" s="35" t="s">
        <v>104</v>
      </c>
      <c r="H15" s="37" t="s">
        <v>45</v>
      </c>
      <c r="I15" s="37" t="s">
        <v>105</v>
      </c>
      <c r="J15" s="38">
        <v>101680610.64</v>
      </c>
      <c r="K15" s="40">
        <v>0</v>
      </c>
      <c r="L15" s="38">
        <v>0</v>
      </c>
      <c r="M15" s="38" t="s">
        <v>43</v>
      </c>
      <c r="N15" s="41">
        <v>0</v>
      </c>
      <c r="O15" s="38">
        <v>43580022.920000002</v>
      </c>
      <c r="P15" s="27">
        <v>43580022.920000002</v>
      </c>
      <c r="Q15" s="38">
        <v>101680610.64</v>
      </c>
      <c r="R15" s="27">
        <v>68.39</v>
      </c>
      <c r="S15" s="38">
        <v>68.39</v>
      </c>
      <c r="T15" s="38">
        <v>1367.8</v>
      </c>
      <c r="U15" s="38">
        <v>1486776</v>
      </c>
      <c r="V15" s="38">
        <v>178820</v>
      </c>
      <c r="W15" s="38">
        <v>232000</v>
      </c>
      <c r="X15" s="38">
        <v>226408</v>
      </c>
      <c r="Y15" s="38">
        <v>0</v>
      </c>
      <c r="Z15" s="38">
        <v>0</v>
      </c>
      <c r="AA15" s="38">
        <v>0</v>
      </c>
      <c r="AB15" s="38">
        <v>0</v>
      </c>
      <c r="AC15" s="38">
        <v>74338.8</v>
      </c>
      <c r="AD15" s="38">
        <v>74339</v>
      </c>
      <c r="AE15" s="33">
        <v>45427</v>
      </c>
      <c r="AF15" s="33">
        <v>45535</v>
      </c>
      <c r="AG15" s="33">
        <v>45626</v>
      </c>
      <c r="AH15" s="33">
        <v>45458</v>
      </c>
      <c r="AI15" s="33">
        <v>45565</v>
      </c>
      <c r="AJ15" s="42">
        <v>45641</v>
      </c>
      <c r="AK15" s="37" t="s">
        <v>106</v>
      </c>
      <c r="AL15" s="37" t="s">
        <v>107</v>
      </c>
      <c r="AM15" s="37" t="s">
        <v>108</v>
      </c>
      <c r="AN15" s="37" t="s">
        <v>50</v>
      </c>
      <c r="AO15" s="43">
        <v>100</v>
      </c>
      <c r="AP15" s="35">
        <v>0</v>
      </c>
      <c r="AQ15" s="35" t="s">
        <v>51</v>
      </c>
      <c r="AR15" s="44">
        <v>20</v>
      </c>
      <c r="AS15" s="37" t="s">
        <v>52</v>
      </c>
    </row>
    <row r="16" spans="1:45" ht="75" customHeight="1" x14ac:dyDescent="0.25">
      <c r="A16" s="32" t="s">
        <v>42</v>
      </c>
      <c r="B16" s="33" t="s">
        <v>43</v>
      </c>
      <c r="C16" s="35">
        <v>1688</v>
      </c>
      <c r="D16" s="36"/>
      <c r="E16" s="37"/>
      <c r="F16" s="33">
        <v>45385</v>
      </c>
      <c r="G16" s="35" t="s">
        <v>109</v>
      </c>
      <c r="H16" s="37" t="s">
        <v>45</v>
      </c>
      <c r="I16" s="37" t="s">
        <v>110</v>
      </c>
      <c r="J16" s="38">
        <v>1537201270</v>
      </c>
      <c r="K16" s="40">
        <v>0</v>
      </c>
      <c r="L16" s="38">
        <v>0</v>
      </c>
      <c r="M16" s="38" t="s">
        <v>43</v>
      </c>
      <c r="N16" s="41">
        <v>0</v>
      </c>
      <c r="O16" s="38">
        <v>554901270</v>
      </c>
      <c r="P16" s="27">
        <v>554901270</v>
      </c>
      <c r="Q16" s="38">
        <v>1537201270</v>
      </c>
      <c r="R16" s="27">
        <v>491.15</v>
      </c>
      <c r="S16" s="38">
        <v>491.15</v>
      </c>
      <c r="T16" s="38">
        <v>4911.5</v>
      </c>
      <c r="U16" s="38">
        <v>3129800</v>
      </c>
      <c r="V16" s="38">
        <v>376600</v>
      </c>
      <c r="W16" s="38">
        <v>753200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312980</v>
      </c>
      <c r="AD16" s="38">
        <v>312980</v>
      </c>
      <c r="AE16" s="33">
        <v>45596</v>
      </c>
      <c r="AF16" s="33">
        <v>45636</v>
      </c>
      <c r="AG16" s="33"/>
      <c r="AH16" s="33">
        <v>45626</v>
      </c>
      <c r="AI16" s="33">
        <v>45643</v>
      </c>
      <c r="AJ16" s="42"/>
      <c r="AK16" s="37" t="s">
        <v>111</v>
      </c>
      <c r="AL16" s="37" t="s">
        <v>112</v>
      </c>
      <c r="AM16" s="37" t="s">
        <v>113</v>
      </c>
      <c r="AN16" s="37" t="s">
        <v>50</v>
      </c>
      <c r="AO16" s="43">
        <v>100</v>
      </c>
      <c r="AP16" s="35">
        <v>0</v>
      </c>
      <c r="AQ16" s="35" t="s">
        <v>51</v>
      </c>
      <c r="AR16" s="44">
        <v>10</v>
      </c>
      <c r="AS16" s="37" t="s">
        <v>52</v>
      </c>
    </row>
    <row r="17" spans="1:45" ht="58.5" customHeight="1" x14ac:dyDescent="0.25">
      <c r="A17" s="32" t="s">
        <v>42</v>
      </c>
      <c r="B17" s="33" t="s">
        <v>43</v>
      </c>
      <c r="C17" s="35">
        <v>1688</v>
      </c>
      <c r="D17" s="36"/>
      <c r="E17" s="37"/>
      <c r="F17" s="33">
        <v>45391</v>
      </c>
      <c r="G17" s="35" t="s">
        <v>114</v>
      </c>
      <c r="H17" s="37" t="s">
        <v>45</v>
      </c>
      <c r="I17" s="37" t="s">
        <v>115</v>
      </c>
      <c r="J17" s="38">
        <v>2406336264</v>
      </c>
      <c r="K17" s="40">
        <v>0</v>
      </c>
      <c r="L17" s="38">
        <v>0</v>
      </c>
      <c r="M17" s="38" t="s">
        <v>43</v>
      </c>
      <c r="N17" s="41">
        <v>0</v>
      </c>
      <c r="O17" s="38">
        <v>1203168132</v>
      </c>
      <c r="P17" s="27">
        <v>1203168132</v>
      </c>
      <c r="Q17" s="27">
        <v>2406336264</v>
      </c>
      <c r="R17" s="27">
        <v>153</v>
      </c>
      <c r="S17" s="38">
        <v>153</v>
      </c>
      <c r="T17" s="38">
        <v>1530</v>
      </c>
      <c r="U17" s="38">
        <v>15727688</v>
      </c>
      <c r="V17" s="38">
        <v>7863844</v>
      </c>
      <c r="W17" s="38">
        <v>7863844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1572768.8</v>
      </c>
      <c r="AD17" s="38">
        <v>1572769</v>
      </c>
      <c r="AE17" s="33">
        <v>45565</v>
      </c>
      <c r="AF17" s="33"/>
      <c r="AG17" s="33"/>
      <c r="AH17" s="33">
        <v>45595</v>
      </c>
      <c r="AI17" s="33"/>
      <c r="AJ17" s="42"/>
      <c r="AK17" s="37" t="s">
        <v>116</v>
      </c>
      <c r="AL17" s="37" t="s">
        <v>117</v>
      </c>
      <c r="AM17" s="37" t="s">
        <v>118</v>
      </c>
      <c r="AN17" s="37" t="s">
        <v>50</v>
      </c>
      <c r="AO17" s="43">
        <v>100</v>
      </c>
      <c r="AP17" s="35">
        <v>0</v>
      </c>
      <c r="AQ17" s="35" t="s">
        <v>51</v>
      </c>
      <c r="AR17" s="44">
        <v>10</v>
      </c>
      <c r="AS17" s="37" t="s">
        <v>52</v>
      </c>
    </row>
    <row r="18" spans="1:45" ht="58.5" customHeight="1" x14ac:dyDescent="0.25">
      <c r="A18" s="32" t="s">
        <v>42</v>
      </c>
      <c r="B18" s="33" t="s">
        <v>43</v>
      </c>
      <c r="C18" s="35">
        <v>1688</v>
      </c>
      <c r="D18" s="36"/>
      <c r="E18" s="37"/>
      <c r="F18" s="33">
        <v>45391</v>
      </c>
      <c r="G18" s="35" t="s">
        <v>119</v>
      </c>
      <c r="H18" s="37" t="s">
        <v>45</v>
      </c>
      <c r="I18" s="37" t="s">
        <v>120</v>
      </c>
      <c r="J18" s="38">
        <v>182044940.06</v>
      </c>
      <c r="K18" s="40">
        <v>0</v>
      </c>
      <c r="L18" s="38">
        <v>0</v>
      </c>
      <c r="M18" s="38" t="s">
        <v>43</v>
      </c>
      <c r="N18" s="41">
        <v>0</v>
      </c>
      <c r="O18" s="38">
        <v>90193323.319999993</v>
      </c>
      <c r="P18" s="27">
        <v>90193323.319999993</v>
      </c>
      <c r="Q18" s="38">
        <v>182044940.06</v>
      </c>
      <c r="R18" s="27">
        <v>15.67</v>
      </c>
      <c r="S18" s="38">
        <v>15.67</v>
      </c>
      <c r="T18" s="38">
        <v>1567</v>
      </c>
      <c r="U18" s="38">
        <v>11617418</v>
      </c>
      <c r="V18" s="38">
        <v>3419600</v>
      </c>
      <c r="W18" s="38">
        <v>461398</v>
      </c>
      <c r="X18" s="38">
        <v>1874798</v>
      </c>
      <c r="Y18" s="38">
        <v>0</v>
      </c>
      <c r="Z18" s="38">
        <v>0</v>
      </c>
      <c r="AA18" s="38">
        <v>0</v>
      </c>
      <c r="AB18" s="38">
        <v>0</v>
      </c>
      <c r="AC18" s="38">
        <v>116174.18</v>
      </c>
      <c r="AD18" s="38">
        <v>116175</v>
      </c>
      <c r="AE18" s="33">
        <v>45535</v>
      </c>
      <c r="AF18" s="33">
        <v>45565</v>
      </c>
      <c r="AG18" s="33">
        <v>45627</v>
      </c>
      <c r="AH18" s="33">
        <v>45565</v>
      </c>
      <c r="AI18" s="33">
        <v>45595</v>
      </c>
      <c r="AJ18" s="42">
        <v>45641</v>
      </c>
      <c r="AK18" s="37" t="s">
        <v>121</v>
      </c>
      <c r="AL18" s="37" t="s">
        <v>122</v>
      </c>
      <c r="AM18" s="37" t="s">
        <v>123</v>
      </c>
      <c r="AN18" s="37" t="s">
        <v>50</v>
      </c>
      <c r="AO18" s="43">
        <v>100</v>
      </c>
      <c r="AP18" s="35">
        <v>0</v>
      </c>
      <c r="AQ18" s="35" t="s">
        <v>51</v>
      </c>
      <c r="AR18" s="44">
        <v>100</v>
      </c>
      <c r="AS18" s="37" t="s">
        <v>52</v>
      </c>
    </row>
    <row r="19" spans="1:45" ht="58.5" customHeight="1" x14ac:dyDescent="0.25">
      <c r="A19" s="32" t="s">
        <v>42</v>
      </c>
      <c r="B19" s="33" t="s">
        <v>43</v>
      </c>
      <c r="C19" s="35">
        <v>1688</v>
      </c>
      <c r="D19" s="36"/>
      <c r="E19" s="37"/>
      <c r="F19" s="33">
        <v>45392</v>
      </c>
      <c r="G19" s="35" t="s">
        <v>124</v>
      </c>
      <c r="H19" s="37" t="s">
        <v>45</v>
      </c>
      <c r="I19" s="37" t="s">
        <v>125</v>
      </c>
      <c r="J19" s="38">
        <v>9322964640</v>
      </c>
      <c r="K19" s="40">
        <v>0</v>
      </c>
      <c r="L19" s="38">
        <v>0</v>
      </c>
      <c r="M19" s="38" t="s">
        <v>43</v>
      </c>
      <c r="N19" s="41">
        <v>0</v>
      </c>
      <c r="O19" s="38">
        <v>4661482320</v>
      </c>
      <c r="P19" s="27">
        <v>4661482320</v>
      </c>
      <c r="Q19" s="38">
        <v>9322964640</v>
      </c>
      <c r="R19" s="27">
        <v>330</v>
      </c>
      <c r="S19" s="38">
        <v>330</v>
      </c>
      <c r="T19" s="38">
        <v>3300</v>
      </c>
      <c r="U19" s="38">
        <v>28251408</v>
      </c>
      <c r="V19" s="38">
        <v>9688000</v>
      </c>
      <c r="W19" s="38">
        <v>4437704</v>
      </c>
      <c r="X19" s="38"/>
      <c r="Y19" s="38">
        <v>0</v>
      </c>
      <c r="Z19" s="38">
        <v>0</v>
      </c>
      <c r="AA19" s="38">
        <v>0</v>
      </c>
      <c r="AB19" s="38">
        <v>0</v>
      </c>
      <c r="AC19" s="38">
        <v>2825140.8</v>
      </c>
      <c r="AD19" s="38">
        <v>2825141</v>
      </c>
      <c r="AE19" s="33">
        <v>45536</v>
      </c>
      <c r="AF19" s="33">
        <v>45626</v>
      </c>
      <c r="AG19" s="33"/>
      <c r="AH19" s="33">
        <v>45566</v>
      </c>
      <c r="AI19" s="33">
        <v>45641</v>
      </c>
      <c r="AJ19" s="42"/>
      <c r="AK19" s="37" t="s">
        <v>126</v>
      </c>
      <c r="AL19" s="37" t="s">
        <v>127</v>
      </c>
      <c r="AM19" s="37" t="s">
        <v>128</v>
      </c>
      <c r="AN19" s="37" t="s">
        <v>50</v>
      </c>
      <c r="AO19" s="43">
        <v>100</v>
      </c>
      <c r="AP19" s="35">
        <v>0</v>
      </c>
      <c r="AQ19" s="35" t="s">
        <v>51</v>
      </c>
      <c r="AR19" s="44">
        <v>10</v>
      </c>
      <c r="AS19" s="37" t="s">
        <v>52</v>
      </c>
    </row>
    <row r="20" spans="1:45" ht="58.5" customHeight="1" x14ac:dyDescent="0.25">
      <c r="A20" s="32" t="s">
        <v>42</v>
      </c>
      <c r="B20" s="33" t="s">
        <v>43</v>
      </c>
      <c r="C20" s="35">
        <v>1688</v>
      </c>
      <c r="D20" s="36"/>
      <c r="E20" s="37"/>
      <c r="F20" s="33">
        <v>45393</v>
      </c>
      <c r="G20" s="35" t="s">
        <v>129</v>
      </c>
      <c r="H20" s="37" t="s">
        <v>45</v>
      </c>
      <c r="I20" s="37" t="s">
        <v>130</v>
      </c>
      <c r="J20" s="38">
        <v>14893482978</v>
      </c>
      <c r="K20" s="40">
        <v>0</v>
      </c>
      <c r="L20" s="38">
        <v>0</v>
      </c>
      <c r="M20" s="38" t="s">
        <v>43</v>
      </c>
      <c r="N20" s="41">
        <v>0</v>
      </c>
      <c r="O20" s="38">
        <v>7446741489</v>
      </c>
      <c r="P20" s="27">
        <v>7446741489</v>
      </c>
      <c r="Q20" s="38">
        <v>14893482978</v>
      </c>
      <c r="R20" s="27">
        <v>153</v>
      </c>
      <c r="S20" s="38">
        <v>153</v>
      </c>
      <c r="T20" s="38">
        <v>1530</v>
      </c>
      <c r="U20" s="38">
        <v>97343026</v>
      </c>
      <c r="V20" s="38">
        <v>11500000</v>
      </c>
      <c r="W20" s="38">
        <v>13700000</v>
      </c>
      <c r="X20" s="38">
        <v>23471513</v>
      </c>
      <c r="Y20" s="38">
        <v>0</v>
      </c>
      <c r="Z20" s="38">
        <v>0</v>
      </c>
      <c r="AA20" s="38">
        <v>0</v>
      </c>
      <c r="AB20" s="38">
        <v>0</v>
      </c>
      <c r="AC20" s="38">
        <v>9734302.5999999996</v>
      </c>
      <c r="AD20" s="38">
        <v>9734303</v>
      </c>
      <c r="AE20" s="33">
        <v>45536</v>
      </c>
      <c r="AF20" s="33">
        <v>45566</v>
      </c>
      <c r="AG20" s="33">
        <v>45626</v>
      </c>
      <c r="AH20" s="33">
        <v>45566</v>
      </c>
      <c r="AI20" s="33">
        <v>45597</v>
      </c>
      <c r="AJ20" s="42">
        <v>45641</v>
      </c>
      <c r="AK20" s="37" t="s">
        <v>131</v>
      </c>
      <c r="AL20" s="37" t="s">
        <v>132</v>
      </c>
      <c r="AM20" s="37" t="s">
        <v>133</v>
      </c>
      <c r="AN20" s="37" t="s">
        <v>50</v>
      </c>
      <c r="AO20" s="43">
        <v>100</v>
      </c>
      <c r="AP20" s="35">
        <v>0</v>
      </c>
      <c r="AQ20" s="35" t="s">
        <v>51</v>
      </c>
      <c r="AR20" s="44">
        <v>10</v>
      </c>
      <c r="AS20" s="37" t="s">
        <v>52</v>
      </c>
    </row>
    <row r="21" spans="1:45" ht="76.5" customHeight="1" x14ac:dyDescent="0.25">
      <c r="A21" s="46" t="s">
        <v>360</v>
      </c>
      <c r="B21" s="33">
        <v>45044</v>
      </c>
      <c r="C21" s="35">
        <v>1688</v>
      </c>
      <c r="D21" s="36" t="s">
        <v>361</v>
      </c>
      <c r="E21" s="1" t="s">
        <v>362</v>
      </c>
      <c r="F21" s="33">
        <v>45072</v>
      </c>
      <c r="G21" s="35" t="s">
        <v>363</v>
      </c>
      <c r="H21" s="37" t="s">
        <v>364</v>
      </c>
      <c r="I21" s="37" t="s">
        <v>365</v>
      </c>
      <c r="J21" s="38">
        <v>6205835185.9200001</v>
      </c>
      <c r="K21" s="40">
        <v>0</v>
      </c>
      <c r="L21" s="41">
        <v>0</v>
      </c>
      <c r="M21" s="38">
        <v>6205835185.9200001</v>
      </c>
      <c r="N21" s="41">
        <v>0</v>
      </c>
      <c r="O21" s="38">
        <v>3102917592.96</v>
      </c>
      <c r="P21" s="27">
        <v>3102917592.96</v>
      </c>
      <c r="Q21" s="27">
        <v>6205835185.9200001</v>
      </c>
      <c r="R21" s="27">
        <v>1137.6600000000001</v>
      </c>
      <c r="S21" s="38">
        <v>1137.6600000000001</v>
      </c>
      <c r="T21" s="38">
        <v>1137.6600000000001</v>
      </c>
      <c r="U21" s="38">
        <v>5454912</v>
      </c>
      <c r="V21" s="38"/>
      <c r="W21" s="38"/>
      <c r="X21" s="38">
        <v>2727456</v>
      </c>
      <c r="Y21" s="38">
        <v>0</v>
      </c>
      <c r="Z21" s="38">
        <v>0</v>
      </c>
      <c r="AA21" s="38">
        <v>0</v>
      </c>
      <c r="AB21" s="38">
        <v>0</v>
      </c>
      <c r="AC21" s="38">
        <v>5454912</v>
      </c>
      <c r="AD21" s="38">
        <v>5454912</v>
      </c>
      <c r="AE21" s="33">
        <v>45107</v>
      </c>
      <c r="AF21" s="33">
        <v>45214</v>
      </c>
      <c r="AG21" s="33">
        <v>45323</v>
      </c>
      <c r="AH21" s="33">
        <v>45122</v>
      </c>
      <c r="AI21" s="33">
        <v>45229</v>
      </c>
      <c r="AJ21" s="42">
        <v>45352</v>
      </c>
      <c r="AK21" s="37" t="s">
        <v>366</v>
      </c>
      <c r="AL21" s="37" t="s">
        <v>367</v>
      </c>
      <c r="AM21" s="37" t="s">
        <v>368</v>
      </c>
      <c r="AN21" s="37" t="s">
        <v>369</v>
      </c>
      <c r="AO21" s="43">
        <v>0</v>
      </c>
      <c r="AP21" s="35">
        <v>100</v>
      </c>
      <c r="AQ21" s="35" t="s">
        <v>51</v>
      </c>
      <c r="AR21" s="44">
        <v>1</v>
      </c>
      <c r="AS21" s="37" t="s">
        <v>176</v>
      </c>
    </row>
    <row r="22" spans="1:45" ht="58.5" customHeight="1" x14ac:dyDescent="0.25">
      <c r="A22" s="46" t="s">
        <v>1490</v>
      </c>
      <c r="B22" s="42">
        <v>45289</v>
      </c>
      <c r="C22" s="37">
        <v>1688</v>
      </c>
      <c r="D22" s="36" t="s">
        <v>485</v>
      </c>
      <c r="E22" s="1" t="s">
        <v>1491</v>
      </c>
      <c r="F22" s="33" t="s">
        <v>485</v>
      </c>
      <c r="G22" s="35" t="s">
        <v>485</v>
      </c>
      <c r="H22" s="37" t="s">
        <v>485</v>
      </c>
      <c r="I22" s="37" t="s">
        <v>97</v>
      </c>
      <c r="J22" s="39">
        <v>2263398</v>
      </c>
      <c r="K22" s="40">
        <v>100</v>
      </c>
      <c r="L22" s="41">
        <v>2263398</v>
      </c>
      <c r="M22" s="38"/>
      <c r="N22" s="41">
        <v>2263398</v>
      </c>
      <c r="O22" s="38">
        <v>0</v>
      </c>
      <c r="P22" s="27">
        <v>0</v>
      </c>
      <c r="Q22" s="27">
        <v>0</v>
      </c>
      <c r="R22" s="27" t="e">
        <v>#DIV/0!</v>
      </c>
      <c r="S22" s="38" t="e">
        <v>#DIV/0!</v>
      </c>
      <c r="T22" s="38" t="e">
        <v>#DIV/0!</v>
      </c>
      <c r="U22" s="38">
        <v>0</v>
      </c>
      <c r="V22" s="38">
        <v>0</v>
      </c>
      <c r="W22" s="38">
        <v>0</v>
      </c>
      <c r="X22" s="38">
        <v>0</v>
      </c>
      <c r="Y22" s="38"/>
      <c r="Z22" s="38" t="e">
        <v>#DIV/0!</v>
      </c>
      <c r="AA22" s="38"/>
      <c r="AB22" s="38" t="e">
        <v>#DIV/0!</v>
      </c>
      <c r="AC22" s="38" t="e">
        <v>#DIV/0!</v>
      </c>
      <c r="AD22" s="38" t="e">
        <v>#DIV/0!</v>
      </c>
      <c r="AE22" s="33">
        <v>45337</v>
      </c>
      <c r="AF22" s="33"/>
      <c r="AG22" s="33"/>
      <c r="AH22" s="33"/>
      <c r="AI22" s="33"/>
      <c r="AJ22" s="42"/>
      <c r="AK22" s="37"/>
      <c r="AL22" s="37"/>
      <c r="AM22" s="37"/>
      <c r="AN22" s="37"/>
      <c r="AO22" s="43"/>
      <c r="AP22" s="35"/>
      <c r="AQ22" s="35"/>
      <c r="AR22" s="44"/>
      <c r="AS22" s="37" t="s">
        <v>485</v>
      </c>
    </row>
    <row r="23" spans="1:45" ht="58.5" customHeight="1" x14ac:dyDescent="0.25">
      <c r="A23" s="46" t="s">
        <v>1522</v>
      </c>
      <c r="B23" s="42">
        <v>45289</v>
      </c>
      <c r="C23" s="37">
        <v>1688</v>
      </c>
      <c r="D23" s="36" t="s">
        <v>485</v>
      </c>
      <c r="E23" s="1" t="s">
        <v>1523</v>
      </c>
      <c r="F23" s="33" t="s">
        <v>485</v>
      </c>
      <c r="G23" s="35" t="s">
        <v>485</v>
      </c>
      <c r="H23" s="37" t="s">
        <v>485</v>
      </c>
      <c r="I23" s="37" t="s">
        <v>46</v>
      </c>
      <c r="J23" s="39">
        <v>18480709.800000001</v>
      </c>
      <c r="K23" s="40">
        <v>100</v>
      </c>
      <c r="L23" s="41">
        <v>18480709.800000001</v>
      </c>
      <c r="M23" s="38"/>
      <c r="N23" s="41">
        <v>18480709.800000001</v>
      </c>
      <c r="O23" s="38">
        <v>0</v>
      </c>
      <c r="P23" s="27">
        <v>0</v>
      </c>
      <c r="Q23" s="27">
        <v>0</v>
      </c>
      <c r="R23" s="27" t="e">
        <v>#DIV/0!</v>
      </c>
      <c r="S23" s="38" t="e">
        <v>#DIV/0!</v>
      </c>
      <c r="T23" s="38" t="e">
        <v>#DIV/0!</v>
      </c>
      <c r="U23" s="38">
        <v>0</v>
      </c>
      <c r="V23" s="38">
        <v>0</v>
      </c>
      <c r="W23" s="38">
        <v>0</v>
      </c>
      <c r="X23" s="38">
        <v>0</v>
      </c>
      <c r="Y23" s="38"/>
      <c r="Z23" s="38" t="e">
        <v>#DIV/0!</v>
      </c>
      <c r="AA23" s="38"/>
      <c r="AB23" s="38" t="e">
        <v>#DIV/0!</v>
      </c>
      <c r="AC23" s="38" t="e">
        <v>#DIV/0!</v>
      </c>
      <c r="AD23" s="38" t="e">
        <v>#DIV/0!</v>
      </c>
      <c r="AE23" s="33">
        <v>45337</v>
      </c>
      <c r="AF23" s="33"/>
      <c r="AG23" s="33"/>
      <c r="AH23" s="33"/>
      <c r="AI23" s="33"/>
      <c r="AJ23" s="42"/>
      <c r="AK23" s="37"/>
      <c r="AL23" s="37"/>
      <c r="AM23" s="37"/>
      <c r="AN23" s="37"/>
      <c r="AO23" s="43"/>
      <c r="AP23" s="35"/>
      <c r="AQ23" s="35"/>
      <c r="AR23" s="44"/>
      <c r="AS23" s="37" t="s">
        <v>485</v>
      </c>
    </row>
    <row r="24" spans="1:45" ht="58.5" customHeight="1" x14ac:dyDescent="0.25">
      <c r="A24" s="46" t="s">
        <v>1524</v>
      </c>
      <c r="B24" s="42">
        <v>45289</v>
      </c>
      <c r="C24" s="37">
        <v>1688</v>
      </c>
      <c r="D24" s="36" t="s">
        <v>485</v>
      </c>
      <c r="E24" s="1" t="s">
        <v>1525</v>
      </c>
      <c r="F24" s="33" t="s">
        <v>485</v>
      </c>
      <c r="G24" s="35" t="s">
        <v>485</v>
      </c>
      <c r="H24" s="37" t="s">
        <v>485</v>
      </c>
      <c r="I24" s="37" t="s">
        <v>88</v>
      </c>
      <c r="J24" s="39">
        <v>22320340.800000001</v>
      </c>
      <c r="K24" s="40">
        <v>100</v>
      </c>
      <c r="L24" s="41">
        <v>22320340.800000001</v>
      </c>
      <c r="M24" s="38"/>
      <c r="N24" s="41">
        <v>22320340.800000001</v>
      </c>
      <c r="O24" s="38">
        <v>0</v>
      </c>
      <c r="P24" s="27">
        <v>0</v>
      </c>
      <c r="Q24" s="27">
        <v>0</v>
      </c>
      <c r="R24" s="27" t="e">
        <v>#DIV/0!</v>
      </c>
      <c r="S24" s="38" t="e">
        <v>#DIV/0!</v>
      </c>
      <c r="T24" s="38" t="e">
        <v>#DIV/0!</v>
      </c>
      <c r="U24" s="38">
        <v>0</v>
      </c>
      <c r="V24" s="38">
        <v>0</v>
      </c>
      <c r="W24" s="38">
        <v>0</v>
      </c>
      <c r="X24" s="38">
        <v>0</v>
      </c>
      <c r="Y24" s="38"/>
      <c r="Z24" s="38" t="e">
        <v>#DIV/0!</v>
      </c>
      <c r="AA24" s="38"/>
      <c r="AB24" s="38" t="e">
        <v>#DIV/0!</v>
      </c>
      <c r="AC24" s="38" t="e">
        <v>#DIV/0!</v>
      </c>
      <c r="AD24" s="38" t="e">
        <v>#DIV/0!</v>
      </c>
      <c r="AE24" s="33">
        <v>45337</v>
      </c>
      <c r="AF24" s="33"/>
      <c r="AG24" s="33"/>
      <c r="AH24" s="33"/>
      <c r="AI24" s="33"/>
      <c r="AJ24" s="42"/>
      <c r="AK24" s="37"/>
      <c r="AL24" s="37"/>
      <c r="AM24" s="37"/>
      <c r="AN24" s="37"/>
      <c r="AO24" s="43"/>
      <c r="AP24" s="35"/>
      <c r="AQ24" s="35"/>
      <c r="AR24" s="44"/>
      <c r="AS24" s="37" t="s">
        <v>485</v>
      </c>
    </row>
    <row r="25" spans="1:45" ht="58.5" customHeight="1" x14ac:dyDescent="0.25">
      <c r="A25" s="46" t="s">
        <v>1526</v>
      </c>
      <c r="B25" s="42">
        <v>45289</v>
      </c>
      <c r="C25" s="37">
        <v>1688</v>
      </c>
      <c r="D25" s="36" t="s">
        <v>485</v>
      </c>
      <c r="E25" s="1" t="s">
        <v>1527</v>
      </c>
      <c r="F25" s="33" t="s">
        <v>485</v>
      </c>
      <c r="G25" s="35" t="s">
        <v>485</v>
      </c>
      <c r="H25" s="37" t="s">
        <v>485</v>
      </c>
      <c r="I25" s="37" t="s">
        <v>71</v>
      </c>
      <c r="J25" s="39">
        <v>1681405.5</v>
      </c>
      <c r="K25" s="40">
        <v>100</v>
      </c>
      <c r="L25" s="41">
        <v>1681405.5</v>
      </c>
      <c r="M25" s="38"/>
      <c r="N25" s="41">
        <v>1681405.5</v>
      </c>
      <c r="O25" s="38">
        <v>0</v>
      </c>
      <c r="P25" s="27">
        <v>0</v>
      </c>
      <c r="Q25" s="27">
        <v>0</v>
      </c>
      <c r="R25" s="27" t="e">
        <v>#DIV/0!</v>
      </c>
      <c r="S25" s="38" t="e">
        <v>#DIV/0!</v>
      </c>
      <c r="T25" s="38" t="e">
        <v>#DIV/0!</v>
      </c>
      <c r="U25" s="38">
        <v>0</v>
      </c>
      <c r="V25" s="38">
        <v>0</v>
      </c>
      <c r="W25" s="38">
        <v>0</v>
      </c>
      <c r="X25" s="38">
        <v>0</v>
      </c>
      <c r="Y25" s="38"/>
      <c r="Z25" s="38" t="e">
        <v>#DIV/0!</v>
      </c>
      <c r="AA25" s="38"/>
      <c r="AB25" s="38" t="e">
        <v>#DIV/0!</v>
      </c>
      <c r="AC25" s="38" t="e">
        <v>#DIV/0!</v>
      </c>
      <c r="AD25" s="38" t="e">
        <v>#DIV/0!</v>
      </c>
      <c r="AE25" s="33">
        <v>45337</v>
      </c>
      <c r="AF25" s="33"/>
      <c r="AG25" s="33"/>
      <c r="AH25" s="33"/>
      <c r="AI25" s="33"/>
      <c r="AJ25" s="42"/>
      <c r="AK25" s="37"/>
      <c r="AL25" s="37"/>
      <c r="AM25" s="37"/>
      <c r="AN25" s="37"/>
      <c r="AO25" s="43"/>
      <c r="AP25" s="35"/>
      <c r="AQ25" s="35"/>
      <c r="AR25" s="44"/>
      <c r="AS25" s="37" t="s">
        <v>485</v>
      </c>
    </row>
    <row r="26" spans="1:45" ht="58.5" customHeight="1" x14ac:dyDescent="0.25">
      <c r="A26" s="46" t="s">
        <v>1528</v>
      </c>
      <c r="B26" s="42">
        <v>45289</v>
      </c>
      <c r="C26" s="37">
        <v>1688</v>
      </c>
      <c r="D26" s="36" t="s">
        <v>485</v>
      </c>
      <c r="E26" s="1" t="s">
        <v>1529</v>
      </c>
      <c r="F26" s="33" t="s">
        <v>485</v>
      </c>
      <c r="G26" s="35" t="s">
        <v>485</v>
      </c>
      <c r="H26" s="37" t="s">
        <v>485</v>
      </c>
      <c r="I26" s="37" t="s">
        <v>93</v>
      </c>
      <c r="J26" s="39">
        <v>1575266</v>
      </c>
      <c r="K26" s="40">
        <v>100</v>
      </c>
      <c r="L26" s="41">
        <v>1575266</v>
      </c>
      <c r="M26" s="38"/>
      <c r="N26" s="41">
        <v>1575266</v>
      </c>
      <c r="O26" s="38">
        <v>0</v>
      </c>
      <c r="P26" s="27">
        <v>0</v>
      </c>
      <c r="Q26" s="27">
        <v>0</v>
      </c>
      <c r="R26" s="27" t="e">
        <v>#DIV/0!</v>
      </c>
      <c r="S26" s="38" t="e">
        <v>#DIV/0!</v>
      </c>
      <c r="T26" s="38" t="e">
        <v>#DIV/0!</v>
      </c>
      <c r="U26" s="38">
        <v>0</v>
      </c>
      <c r="V26" s="38">
        <v>0</v>
      </c>
      <c r="W26" s="38">
        <v>0</v>
      </c>
      <c r="X26" s="38">
        <v>0</v>
      </c>
      <c r="Y26" s="38"/>
      <c r="Z26" s="38" t="e">
        <v>#DIV/0!</v>
      </c>
      <c r="AA26" s="38"/>
      <c r="AB26" s="38" t="e">
        <v>#DIV/0!</v>
      </c>
      <c r="AC26" s="38" t="e">
        <v>#DIV/0!</v>
      </c>
      <c r="AD26" s="38" t="e">
        <v>#DIV/0!</v>
      </c>
      <c r="AE26" s="33">
        <v>45337</v>
      </c>
      <c r="AF26" s="33"/>
      <c r="AG26" s="33"/>
      <c r="AH26" s="33"/>
      <c r="AI26" s="33"/>
      <c r="AJ26" s="42"/>
      <c r="AK26" s="37"/>
      <c r="AL26" s="37"/>
      <c r="AM26" s="37"/>
      <c r="AN26" s="37"/>
      <c r="AO26" s="43"/>
      <c r="AP26" s="35"/>
      <c r="AQ26" s="35"/>
      <c r="AR26" s="44"/>
      <c r="AS26" s="37" t="s">
        <v>485</v>
      </c>
    </row>
    <row r="27" spans="1:45" ht="58.5" customHeight="1" x14ac:dyDescent="0.25">
      <c r="A27" s="46" t="s">
        <v>1530</v>
      </c>
      <c r="B27" s="42">
        <v>45289</v>
      </c>
      <c r="C27" s="37">
        <v>1688</v>
      </c>
      <c r="D27" s="36" t="s">
        <v>485</v>
      </c>
      <c r="E27" s="1" t="s">
        <v>1531</v>
      </c>
      <c r="F27" s="33" t="s">
        <v>485</v>
      </c>
      <c r="G27" s="35" t="s">
        <v>485</v>
      </c>
      <c r="H27" s="37" t="s">
        <v>485</v>
      </c>
      <c r="I27" s="37" t="s">
        <v>54</v>
      </c>
      <c r="J27" s="39">
        <v>9131068.6500000004</v>
      </c>
      <c r="K27" s="40">
        <v>100</v>
      </c>
      <c r="L27" s="41">
        <v>9131068.6500000004</v>
      </c>
      <c r="M27" s="38"/>
      <c r="N27" s="41">
        <v>9131068.6500000004</v>
      </c>
      <c r="O27" s="38">
        <v>0</v>
      </c>
      <c r="P27" s="27">
        <v>0</v>
      </c>
      <c r="Q27" s="27">
        <v>0</v>
      </c>
      <c r="R27" s="27" t="e">
        <v>#DIV/0!</v>
      </c>
      <c r="S27" s="38" t="e">
        <v>#DIV/0!</v>
      </c>
      <c r="T27" s="38" t="e">
        <v>#DIV/0!</v>
      </c>
      <c r="U27" s="38">
        <v>0</v>
      </c>
      <c r="V27" s="38">
        <v>0</v>
      </c>
      <c r="W27" s="38">
        <v>0</v>
      </c>
      <c r="X27" s="38">
        <v>0</v>
      </c>
      <c r="Y27" s="38"/>
      <c r="Z27" s="38" t="e">
        <v>#DIV/0!</v>
      </c>
      <c r="AA27" s="38"/>
      <c r="AB27" s="38" t="e">
        <v>#DIV/0!</v>
      </c>
      <c r="AC27" s="38" t="e">
        <v>#DIV/0!</v>
      </c>
      <c r="AD27" s="38" t="e">
        <v>#DIV/0!</v>
      </c>
      <c r="AE27" s="33">
        <v>45337</v>
      </c>
      <c r="AF27" s="33"/>
      <c r="AG27" s="33"/>
      <c r="AH27" s="33"/>
      <c r="AI27" s="33"/>
      <c r="AJ27" s="42"/>
      <c r="AK27" s="37"/>
      <c r="AL27" s="37"/>
      <c r="AM27" s="37"/>
      <c r="AN27" s="37"/>
      <c r="AO27" s="43"/>
      <c r="AP27" s="35"/>
      <c r="AQ27" s="35"/>
      <c r="AR27" s="44"/>
      <c r="AS27" s="37" t="s">
        <v>485</v>
      </c>
    </row>
    <row r="28" spans="1:45" ht="58.5" customHeight="1" x14ac:dyDescent="0.25">
      <c r="A28" s="46" t="s">
        <v>1532</v>
      </c>
      <c r="B28" s="42">
        <v>45289</v>
      </c>
      <c r="C28" s="37">
        <v>1688</v>
      </c>
      <c r="D28" s="36" t="s">
        <v>485</v>
      </c>
      <c r="E28" s="1" t="s">
        <v>1533</v>
      </c>
      <c r="F28" s="33" t="s">
        <v>485</v>
      </c>
      <c r="G28" s="35" t="s">
        <v>485</v>
      </c>
      <c r="H28" s="37" t="s">
        <v>485</v>
      </c>
      <c r="I28" s="37" t="s">
        <v>1534</v>
      </c>
      <c r="J28" s="39">
        <v>5736354</v>
      </c>
      <c r="K28" s="40">
        <v>100</v>
      </c>
      <c r="L28" s="41">
        <v>5736354</v>
      </c>
      <c r="M28" s="38"/>
      <c r="N28" s="41">
        <v>5736354</v>
      </c>
      <c r="O28" s="38">
        <v>0</v>
      </c>
      <c r="P28" s="27">
        <v>0</v>
      </c>
      <c r="Q28" s="27">
        <v>0</v>
      </c>
      <c r="R28" s="27" t="e">
        <v>#DIV/0!</v>
      </c>
      <c r="S28" s="38" t="e">
        <v>#DIV/0!</v>
      </c>
      <c r="T28" s="38" t="e">
        <v>#DIV/0!</v>
      </c>
      <c r="U28" s="38">
        <v>0</v>
      </c>
      <c r="V28" s="38">
        <v>0</v>
      </c>
      <c r="W28" s="38">
        <v>0</v>
      </c>
      <c r="X28" s="38">
        <v>0</v>
      </c>
      <c r="Y28" s="38"/>
      <c r="Z28" s="38" t="e">
        <v>#DIV/0!</v>
      </c>
      <c r="AA28" s="38"/>
      <c r="AB28" s="38" t="e">
        <v>#DIV/0!</v>
      </c>
      <c r="AC28" s="38" t="e">
        <v>#DIV/0!</v>
      </c>
      <c r="AD28" s="38" t="e">
        <v>#DIV/0!</v>
      </c>
      <c r="AE28" s="33">
        <v>45337</v>
      </c>
      <c r="AF28" s="33"/>
      <c r="AG28" s="33"/>
      <c r="AH28" s="33"/>
      <c r="AI28" s="33"/>
      <c r="AJ28" s="42"/>
      <c r="AK28" s="37"/>
      <c r="AL28" s="37"/>
      <c r="AM28" s="37"/>
      <c r="AN28" s="37"/>
      <c r="AO28" s="43"/>
      <c r="AP28" s="35"/>
      <c r="AQ28" s="35"/>
      <c r="AR28" s="44"/>
      <c r="AS28" s="37" t="s">
        <v>485</v>
      </c>
    </row>
    <row r="29" spans="1:45" ht="58.5" customHeight="1" x14ac:dyDescent="0.25">
      <c r="A29" s="46" t="s">
        <v>1535</v>
      </c>
      <c r="B29" s="42">
        <v>45289</v>
      </c>
      <c r="C29" s="37">
        <v>1688</v>
      </c>
      <c r="D29" s="36" t="s">
        <v>485</v>
      </c>
      <c r="E29" s="1" t="s">
        <v>1536</v>
      </c>
      <c r="F29" s="33" t="s">
        <v>485</v>
      </c>
      <c r="G29" s="35" t="s">
        <v>485</v>
      </c>
      <c r="H29" s="37" t="s">
        <v>485</v>
      </c>
      <c r="I29" s="37" t="s">
        <v>1537</v>
      </c>
      <c r="J29" s="39">
        <v>48510</v>
      </c>
      <c r="K29" s="40">
        <v>100</v>
      </c>
      <c r="L29" s="41">
        <v>48510</v>
      </c>
      <c r="M29" s="38"/>
      <c r="N29" s="41">
        <v>48510</v>
      </c>
      <c r="O29" s="38">
        <v>0</v>
      </c>
      <c r="P29" s="27">
        <v>0</v>
      </c>
      <c r="Q29" s="27">
        <v>0</v>
      </c>
      <c r="R29" s="27" t="e">
        <v>#DIV/0!</v>
      </c>
      <c r="S29" s="38" t="e">
        <v>#DIV/0!</v>
      </c>
      <c r="T29" s="38" t="e">
        <v>#DIV/0!</v>
      </c>
      <c r="U29" s="38">
        <v>0</v>
      </c>
      <c r="V29" s="38">
        <v>0</v>
      </c>
      <c r="W29" s="38">
        <v>0</v>
      </c>
      <c r="X29" s="38">
        <v>0</v>
      </c>
      <c r="Y29" s="38"/>
      <c r="Z29" s="38" t="e">
        <v>#DIV/0!</v>
      </c>
      <c r="AA29" s="38"/>
      <c r="AB29" s="38" t="e">
        <v>#DIV/0!</v>
      </c>
      <c r="AC29" s="38" t="e">
        <v>#DIV/0!</v>
      </c>
      <c r="AD29" s="38" t="e">
        <v>#DIV/0!</v>
      </c>
      <c r="AE29" s="33">
        <v>45337</v>
      </c>
      <c r="AF29" s="33"/>
      <c r="AG29" s="33"/>
      <c r="AH29" s="33"/>
      <c r="AI29" s="33"/>
      <c r="AJ29" s="42"/>
      <c r="AK29" s="37"/>
      <c r="AL29" s="37"/>
      <c r="AM29" s="37"/>
      <c r="AN29" s="37"/>
      <c r="AO29" s="43"/>
      <c r="AP29" s="35"/>
      <c r="AQ29" s="35"/>
      <c r="AR29" s="44"/>
      <c r="AS29" s="37" t="s">
        <v>485</v>
      </c>
    </row>
    <row r="30" spans="1:45" ht="58.5" customHeight="1" x14ac:dyDescent="0.25">
      <c r="A30" s="46" t="s">
        <v>1538</v>
      </c>
      <c r="B30" s="42">
        <v>45289</v>
      </c>
      <c r="C30" s="37">
        <v>1688</v>
      </c>
      <c r="D30" s="36" t="s">
        <v>485</v>
      </c>
      <c r="E30" s="1" t="s">
        <v>1539</v>
      </c>
      <c r="F30" s="33" t="s">
        <v>485</v>
      </c>
      <c r="G30" s="35" t="s">
        <v>485</v>
      </c>
      <c r="H30" s="37" t="s">
        <v>485</v>
      </c>
      <c r="I30" s="37" t="s">
        <v>105</v>
      </c>
      <c r="J30" s="39">
        <v>2140185.6000000001</v>
      </c>
      <c r="K30" s="40">
        <v>100</v>
      </c>
      <c r="L30" s="41">
        <v>2140185.6000000001</v>
      </c>
      <c r="M30" s="38"/>
      <c r="N30" s="41">
        <v>2140185.6000000001</v>
      </c>
      <c r="O30" s="38">
        <v>0</v>
      </c>
      <c r="P30" s="27">
        <v>0</v>
      </c>
      <c r="Q30" s="27">
        <v>0</v>
      </c>
      <c r="R30" s="27" t="e">
        <v>#DIV/0!</v>
      </c>
      <c r="S30" s="38" t="e">
        <v>#DIV/0!</v>
      </c>
      <c r="T30" s="38" t="e">
        <v>#DIV/0!</v>
      </c>
      <c r="U30" s="38">
        <v>0</v>
      </c>
      <c r="V30" s="38">
        <v>0</v>
      </c>
      <c r="W30" s="38">
        <v>0</v>
      </c>
      <c r="X30" s="38">
        <v>0</v>
      </c>
      <c r="Y30" s="38"/>
      <c r="Z30" s="38" t="e">
        <v>#DIV/0!</v>
      </c>
      <c r="AA30" s="38"/>
      <c r="AB30" s="38" t="e">
        <v>#DIV/0!</v>
      </c>
      <c r="AC30" s="38" t="e">
        <v>#DIV/0!</v>
      </c>
      <c r="AD30" s="38" t="e">
        <v>#DIV/0!</v>
      </c>
      <c r="AE30" s="33">
        <v>45337</v>
      </c>
      <c r="AF30" s="33"/>
      <c r="AG30" s="33"/>
      <c r="AH30" s="33"/>
      <c r="AI30" s="33"/>
      <c r="AJ30" s="42"/>
      <c r="AK30" s="37"/>
      <c r="AL30" s="37"/>
      <c r="AM30" s="37"/>
      <c r="AN30" s="37"/>
      <c r="AO30" s="43"/>
      <c r="AP30" s="35"/>
      <c r="AQ30" s="35"/>
      <c r="AR30" s="44"/>
      <c r="AS30" s="37" t="s">
        <v>485</v>
      </c>
    </row>
    <row r="31" spans="1:45" ht="58.5" customHeight="1" x14ac:dyDescent="0.25">
      <c r="A31" s="46" t="s">
        <v>1540</v>
      </c>
      <c r="B31" s="42">
        <v>45289</v>
      </c>
      <c r="C31" s="37">
        <v>1688</v>
      </c>
      <c r="D31" s="36" t="s">
        <v>485</v>
      </c>
      <c r="E31" s="1" t="s">
        <v>1541</v>
      </c>
      <c r="F31" s="33" t="s">
        <v>485</v>
      </c>
      <c r="G31" s="35" t="s">
        <v>485</v>
      </c>
      <c r="H31" s="37" t="s">
        <v>485</v>
      </c>
      <c r="I31" s="37" t="s">
        <v>1542</v>
      </c>
      <c r="J31" s="39">
        <v>17084253.760000002</v>
      </c>
      <c r="K31" s="40">
        <v>100</v>
      </c>
      <c r="L31" s="41">
        <v>17084253.760000002</v>
      </c>
      <c r="M31" s="38"/>
      <c r="N31" s="41">
        <v>17084253.760000002</v>
      </c>
      <c r="O31" s="38">
        <v>0</v>
      </c>
      <c r="P31" s="27">
        <v>0</v>
      </c>
      <c r="Q31" s="27">
        <v>0</v>
      </c>
      <c r="R31" s="27" t="e">
        <v>#DIV/0!</v>
      </c>
      <c r="S31" s="38" t="e">
        <v>#DIV/0!</v>
      </c>
      <c r="T31" s="38" t="e">
        <v>#DIV/0!</v>
      </c>
      <c r="U31" s="38">
        <v>0</v>
      </c>
      <c r="V31" s="38">
        <v>0</v>
      </c>
      <c r="W31" s="38">
        <v>0</v>
      </c>
      <c r="X31" s="38">
        <v>0</v>
      </c>
      <c r="Y31" s="38"/>
      <c r="Z31" s="38" t="e">
        <v>#DIV/0!</v>
      </c>
      <c r="AA31" s="38"/>
      <c r="AB31" s="38" t="e">
        <v>#DIV/0!</v>
      </c>
      <c r="AC31" s="38" t="e">
        <v>#DIV/0!</v>
      </c>
      <c r="AD31" s="38" t="e">
        <v>#DIV/0!</v>
      </c>
      <c r="AE31" s="33">
        <v>45337</v>
      </c>
      <c r="AF31" s="33"/>
      <c r="AG31" s="33"/>
      <c r="AH31" s="33"/>
      <c r="AI31" s="33"/>
      <c r="AJ31" s="42"/>
      <c r="AK31" s="37"/>
      <c r="AL31" s="37"/>
      <c r="AM31" s="37"/>
      <c r="AN31" s="37"/>
      <c r="AO31" s="43"/>
      <c r="AP31" s="35"/>
      <c r="AQ31" s="35"/>
      <c r="AR31" s="44"/>
      <c r="AS31" s="37" t="s">
        <v>485</v>
      </c>
    </row>
    <row r="32" spans="1:45" ht="48.75" customHeight="1" x14ac:dyDescent="0.25">
      <c r="A32" s="32" t="s">
        <v>1767</v>
      </c>
      <c r="B32" s="56">
        <v>45316</v>
      </c>
      <c r="C32" s="37">
        <v>1688</v>
      </c>
      <c r="D32" s="36" t="s">
        <v>1768</v>
      </c>
      <c r="E32" s="1" t="s">
        <v>1769</v>
      </c>
      <c r="F32" s="33">
        <v>45336</v>
      </c>
      <c r="G32" s="35" t="s">
        <v>1770</v>
      </c>
      <c r="H32" s="37" t="s">
        <v>45</v>
      </c>
      <c r="I32" s="37" t="s">
        <v>86</v>
      </c>
      <c r="J32" s="57">
        <v>63865214.5</v>
      </c>
      <c r="K32" s="40">
        <v>0</v>
      </c>
      <c r="L32" s="41">
        <v>0</v>
      </c>
      <c r="M32" s="38">
        <v>63865214.5</v>
      </c>
      <c r="N32" s="41">
        <v>0</v>
      </c>
      <c r="O32" s="38">
        <v>63865214.5</v>
      </c>
      <c r="P32" s="27">
        <v>63865214.5</v>
      </c>
      <c r="Q32" s="27">
        <v>63865214.5</v>
      </c>
      <c r="R32" s="27">
        <v>77.95</v>
      </c>
      <c r="S32" s="38">
        <v>77.95</v>
      </c>
      <c r="T32" s="38">
        <v>779.5</v>
      </c>
      <c r="U32" s="38">
        <v>819310</v>
      </c>
      <c r="V32" s="38">
        <v>819310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81931</v>
      </c>
      <c r="AD32" s="38">
        <v>81931</v>
      </c>
      <c r="AE32" s="33">
        <v>45366</v>
      </c>
      <c r="AF32" s="33"/>
      <c r="AG32" s="33"/>
      <c r="AH32" s="33">
        <v>45397</v>
      </c>
      <c r="AI32" s="33"/>
      <c r="AJ32" s="42"/>
      <c r="AK32" s="37" t="s">
        <v>1771</v>
      </c>
      <c r="AL32" s="37" t="s">
        <v>1772</v>
      </c>
      <c r="AM32" s="37" t="s">
        <v>61</v>
      </c>
      <c r="AN32" s="37" t="s">
        <v>50</v>
      </c>
      <c r="AO32" s="43">
        <v>100</v>
      </c>
      <c r="AP32" s="35">
        <v>0</v>
      </c>
      <c r="AQ32" s="35" t="s">
        <v>51</v>
      </c>
      <c r="AR32" s="44">
        <v>10</v>
      </c>
      <c r="AS32" s="37" t="s">
        <v>52</v>
      </c>
    </row>
    <row r="33" spans="1:45" ht="48.75" customHeight="1" x14ac:dyDescent="0.25">
      <c r="A33" s="32" t="s">
        <v>1773</v>
      </c>
      <c r="B33" s="56">
        <v>45316</v>
      </c>
      <c r="C33" s="37">
        <v>1688</v>
      </c>
      <c r="D33" s="36" t="s">
        <v>1774</v>
      </c>
      <c r="E33" s="1" t="s">
        <v>1775</v>
      </c>
      <c r="F33" s="33">
        <v>45336</v>
      </c>
      <c r="G33" s="35" t="s">
        <v>1776</v>
      </c>
      <c r="H33" s="37" t="s">
        <v>45</v>
      </c>
      <c r="I33" s="37" t="s">
        <v>58</v>
      </c>
      <c r="J33" s="57">
        <v>7597007</v>
      </c>
      <c r="K33" s="40">
        <v>0</v>
      </c>
      <c r="L33" s="41">
        <v>0</v>
      </c>
      <c r="M33" s="38">
        <v>7597007</v>
      </c>
      <c r="N33" s="41">
        <v>0</v>
      </c>
      <c r="O33" s="38">
        <v>7597007</v>
      </c>
      <c r="P33" s="27">
        <v>7597007</v>
      </c>
      <c r="Q33" s="27">
        <v>7597007</v>
      </c>
      <c r="R33" s="27">
        <v>77.95</v>
      </c>
      <c r="S33" s="38">
        <v>77.95</v>
      </c>
      <c r="T33" s="38">
        <v>779.5</v>
      </c>
      <c r="U33" s="38">
        <v>97460</v>
      </c>
      <c r="V33" s="38">
        <v>97460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9746</v>
      </c>
      <c r="AD33" s="38">
        <v>9746</v>
      </c>
      <c r="AE33" s="33">
        <v>45366</v>
      </c>
      <c r="AF33" s="33"/>
      <c r="AG33" s="33"/>
      <c r="AH33" s="33">
        <v>45397</v>
      </c>
      <c r="AI33" s="33"/>
      <c r="AJ33" s="42"/>
      <c r="AK33" s="37" t="s">
        <v>1771</v>
      </c>
      <c r="AL33" s="37" t="s">
        <v>1772</v>
      </c>
      <c r="AM33" s="37" t="s">
        <v>61</v>
      </c>
      <c r="AN33" s="37" t="s">
        <v>50</v>
      </c>
      <c r="AO33" s="43">
        <v>100</v>
      </c>
      <c r="AP33" s="35">
        <v>0</v>
      </c>
      <c r="AQ33" s="35" t="s">
        <v>51</v>
      </c>
      <c r="AR33" s="44">
        <v>10</v>
      </c>
      <c r="AS33" s="37" t="s">
        <v>52</v>
      </c>
    </row>
    <row r="34" spans="1:45" ht="48.75" customHeight="1" x14ac:dyDescent="0.25">
      <c r="A34" s="32" t="s">
        <v>1777</v>
      </c>
      <c r="B34" s="56">
        <v>45316</v>
      </c>
      <c r="C34" s="37">
        <v>1688</v>
      </c>
      <c r="D34" s="36" t="s">
        <v>1778</v>
      </c>
      <c r="E34" s="1" t="s">
        <v>1779</v>
      </c>
      <c r="F34" s="33">
        <v>45336</v>
      </c>
      <c r="G34" s="35" t="s">
        <v>1780</v>
      </c>
      <c r="H34" s="37" t="s">
        <v>45</v>
      </c>
      <c r="I34" s="37" t="s">
        <v>1781</v>
      </c>
      <c r="J34" s="57">
        <v>51128223.299999997</v>
      </c>
      <c r="K34" s="40">
        <v>0</v>
      </c>
      <c r="L34" s="41">
        <v>0</v>
      </c>
      <c r="M34" s="57">
        <v>51128223.299999997</v>
      </c>
      <c r="N34" s="41">
        <v>0</v>
      </c>
      <c r="O34" s="57">
        <v>51128223.299999997</v>
      </c>
      <c r="P34" s="27">
        <v>51128223.299999997</v>
      </c>
      <c r="Q34" s="27">
        <v>51128223.299999997</v>
      </c>
      <c r="R34" s="27">
        <v>86.899999999999991</v>
      </c>
      <c r="S34" s="38">
        <v>86.899999999999991</v>
      </c>
      <c r="T34" s="38">
        <v>868.99999999999989</v>
      </c>
      <c r="U34" s="38">
        <v>588357</v>
      </c>
      <c r="V34" s="38">
        <v>588357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58835.7</v>
      </c>
      <c r="AD34" s="38">
        <v>58836</v>
      </c>
      <c r="AE34" s="33">
        <v>45366</v>
      </c>
      <c r="AF34" s="33"/>
      <c r="AG34" s="33"/>
      <c r="AH34" s="33">
        <v>45397</v>
      </c>
      <c r="AI34" s="33"/>
      <c r="AJ34" s="42"/>
      <c r="AK34" s="37" t="s">
        <v>1771</v>
      </c>
      <c r="AL34" s="37" t="s">
        <v>64</v>
      </c>
      <c r="AM34" s="37" t="s">
        <v>61</v>
      </c>
      <c r="AN34" s="37" t="s">
        <v>50</v>
      </c>
      <c r="AO34" s="43">
        <v>100</v>
      </c>
      <c r="AP34" s="35">
        <v>0</v>
      </c>
      <c r="AQ34" s="35" t="s">
        <v>51</v>
      </c>
      <c r="AR34" s="44">
        <v>10</v>
      </c>
      <c r="AS34" s="37" t="s">
        <v>52</v>
      </c>
    </row>
    <row r="35" spans="1:45" ht="48.75" customHeight="1" x14ac:dyDescent="0.25">
      <c r="A35" s="32" t="s">
        <v>1785</v>
      </c>
      <c r="B35" s="56">
        <v>45317</v>
      </c>
      <c r="C35" s="37">
        <v>1688</v>
      </c>
      <c r="D35" s="36" t="s">
        <v>1786</v>
      </c>
      <c r="E35" s="1" t="s">
        <v>1787</v>
      </c>
      <c r="F35" s="33">
        <v>45341</v>
      </c>
      <c r="G35" s="35" t="s">
        <v>1788</v>
      </c>
      <c r="H35" s="37" t="s">
        <v>45</v>
      </c>
      <c r="I35" s="37" t="s">
        <v>1789</v>
      </c>
      <c r="J35" s="57">
        <v>30678726</v>
      </c>
      <c r="K35" s="40">
        <v>0</v>
      </c>
      <c r="L35" s="41">
        <v>0</v>
      </c>
      <c r="M35" s="38">
        <v>30678726</v>
      </c>
      <c r="N35" s="41">
        <v>0</v>
      </c>
      <c r="O35" s="38">
        <v>30678726</v>
      </c>
      <c r="P35" s="27">
        <v>30678726</v>
      </c>
      <c r="Q35" s="27">
        <v>30678726</v>
      </c>
      <c r="R35" s="27">
        <v>15.67</v>
      </c>
      <c r="S35" s="38">
        <v>15.67</v>
      </c>
      <c r="T35" s="38">
        <v>1567</v>
      </c>
      <c r="U35" s="38">
        <v>1957800</v>
      </c>
      <c r="V35" s="38">
        <v>1957800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19578</v>
      </c>
      <c r="AD35" s="38">
        <v>19578</v>
      </c>
      <c r="AE35" s="33">
        <v>45366</v>
      </c>
      <c r="AF35" s="33"/>
      <c r="AG35" s="33"/>
      <c r="AH35" s="33">
        <v>45397</v>
      </c>
      <c r="AI35" s="33"/>
      <c r="AJ35" s="42"/>
      <c r="AK35" s="37" t="s">
        <v>121</v>
      </c>
      <c r="AL35" s="37" t="s">
        <v>121</v>
      </c>
      <c r="AM35" s="37" t="s">
        <v>1790</v>
      </c>
      <c r="AN35" s="37" t="s">
        <v>50</v>
      </c>
      <c r="AO35" s="43">
        <v>100</v>
      </c>
      <c r="AP35" s="35">
        <v>0</v>
      </c>
      <c r="AQ35" s="35" t="s">
        <v>51</v>
      </c>
      <c r="AR35" s="44">
        <v>100</v>
      </c>
      <c r="AS35" s="37" t="s">
        <v>52</v>
      </c>
    </row>
    <row r="36" spans="1:45" ht="48.75" customHeight="1" x14ac:dyDescent="0.25">
      <c r="A36" s="32" t="s">
        <v>1791</v>
      </c>
      <c r="B36" s="56">
        <v>45317</v>
      </c>
      <c r="C36" s="37">
        <v>1688</v>
      </c>
      <c r="D36" s="36" t="s">
        <v>1792</v>
      </c>
      <c r="E36" s="1" t="s">
        <v>1793</v>
      </c>
      <c r="F36" s="33">
        <v>45341</v>
      </c>
      <c r="G36" s="35" t="s">
        <v>1794</v>
      </c>
      <c r="H36" s="37" t="s">
        <v>45</v>
      </c>
      <c r="I36" s="37" t="s">
        <v>54</v>
      </c>
      <c r="J36" s="57">
        <v>48654579.509999998</v>
      </c>
      <c r="K36" s="40">
        <v>0</v>
      </c>
      <c r="L36" s="41">
        <v>0</v>
      </c>
      <c r="M36" s="38">
        <v>48654579.509999998</v>
      </c>
      <c r="N36" s="41">
        <v>0</v>
      </c>
      <c r="O36" s="38">
        <v>48654579.509999998</v>
      </c>
      <c r="P36" s="27">
        <v>48654579.509999998</v>
      </c>
      <c r="Q36" s="27">
        <v>48654579.509999998</v>
      </c>
      <c r="R36" s="27">
        <v>178.76999999999998</v>
      </c>
      <c r="S36" s="38">
        <v>178.76999999999998</v>
      </c>
      <c r="T36" s="38">
        <v>1787.6999999999998</v>
      </c>
      <c r="U36" s="38">
        <v>272163</v>
      </c>
      <c r="V36" s="38">
        <v>272163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27216.3</v>
      </c>
      <c r="AD36" s="38">
        <v>27217</v>
      </c>
      <c r="AE36" s="33">
        <v>45383</v>
      </c>
      <c r="AF36" s="33"/>
      <c r="AG36" s="33"/>
      <c r="AH36" s="33">
        <v>45413</v>
      </c>
      <c r="AI36" s="33"/>
      <c r="AJ36" s="42"/>
      <c r="AK36" s="37" t="s">
        <v>55</v>
      </c>
      <c r="AL36" s="37" t="s">
        <v>48</v>
      </c>
      <c r="AM36" s="37" t="s">
        <v>56</v>
      </c>
      <c r="AN36" s="37" t="s">
        <v>50</v>
      </c>
      <c r="AO36" s="43">
        <v>100</v>
      </c>
      <c r="AP36" s="35">
        <v>0</v>
      </c>
      <c r="AQ36" s="35" t="s">
        <v>51</v>
      </c>
      <c r="AR36" s="44">
        <v>10</v>
      </c>
      <c r="AS36" s="37" t="s">
        <v>52</v>
      </c>
    </row>
    <row r="37" spans="1:45" ht="48.75" customHeight="1" x14ac:dyDescent="0.25">
      <c r="A37" s="32" t="s">
        <v>1795</v>
      </c>
      <c r="B37" s="56">
        <v>45317</v>
      </c>
      <c r="C37" s="37">
        <v>1688</v>
      </c>
      <c r="D37" s="36" t="s">
        <v>1796</v>
      </c>
      <c r="E37" s="1" t="s">
        <v>1797</v>
      </c>
      <c r="F37" s="33">
        <v>45341</v>
      </c>
      <c r="G37" s="35" t="s">
        <v>1798</v>
      </c>
      <c r="H37" s="37" t="s">
        <v>45</v>
      </c>
      <c r="I37" s="37" t="s">
        <v>97</v>
      </c>
      <c r="J37" s="57">
        <v>9668054</v>
      </c>
      <c r="K37" s="40">
        <v>0</v>
      </c>
      <c r="L37" s="41">
        <v>0</v>
      </c>
      <c r="M37" s="38">
        <v>9668054</v>
      </c>
      <c r="N37" s="41">
        <v>0</v>
      </c>
      <c r="O37" s="38">
        <v>9668054</v>
      </c>
      <c r="P37" s="27">
        <v>9668054</v>
      </c>
      <c r="Q37" s="27">
        <v>9668054</v>
      </c>
      <c r="R37" s="27">
        <v>24.86</v>
      </c>
      <c r="S37" s="38">
        <v>24.86</v>
      </c>
      <c r="T37" s="38">
        <v>1243</v>
      </c>
      <c r="U37" s="38">
        <v>388900</v>
      </c>
      <c r="V37" s="38">
        <v>210000</v>
      </c>
      <c r="W37" s="38">
        <v>178900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7778</v>
      </c>
      <c r="AD37" s="38">
        <v>7778</v>
      </c>
      <c r="AE37" s="33">
        <v>45366</v>
      </c>
      <c r="AF37" s="33">
        <v>45504</v>
      </c>
      <c r="AG37" s="33"/>
      <c r="AH37" s="33">
        <v>45397</v>
      </c>
      <c r="AI37" s="33">
        <v>45536</v>
      </c>
      <c r="AJ37" s="42"/>
      <c r="AK37" s="37" t="s">
        <v>101</v>
      </c>
      <c r="AL37" s="37" t="s">
        <v>102</v>
      </c>
      <c r="AM37" s="37" t="s">
        <v>103</v>
      </c>
      <c r="AN37" s="37" t="s">
        <v>50</v>
      </c>
      <c r="AO37" s="43">
        <v>100</v>
      </c>
      <c r="AP37" s="35">
        <v>0</v>
      </c>
      <c r="AQ37" s="35" t="s">
        <v>51</v>
      </c>
      <c r="AR37" s="44">
        <v>50</v>
      </c>
      <c r="AS37" s="37" t="s">
        <v>52</v>
      </c>
    </row>
    <row r="38" spans="1:45" ht="48.75" customHeight="1" x14ac:dyDescent="0.25">
      <c r="A38" s="32" t="s">
        <v>1799</v>
      </c>
      <c r="B38" s="56">
        <v>45317</v>
      </c>
      <c r="C38" s="37">
        <v>1688</v>
      </c>
      <c r="D38" s="36" t="s">
        <v>1800</v>
      </c>
      <c r="E38" s="1" t="s">
        <v>1801</v>
      </c>
      <c r="F38" s="33">
        <v>45341</v>
      </c>
      <c r="G38" s="35" t="s">
        <v>1802</v>
      </c>
      <c r="H38" s="37" t="s">
        <v>45</v>
      </c>
      <c r="I38" s="37" t="s">
        <v>1803</v>
      </c>
      <c r="J38" s="57">
        <v>395783.6</v>
      </c>
      <c r="K38" s="40">
        <v>0</v>
      </c>
      <c r="L38" s="41">
        <v>0</v>
      </c>
      <c r="M38" s="38">
        <v>395783.6</v>
      </c>
      <c r="N38" s="41">
        <v>0</v>
      </c>
      <c r="O38" s="38">
        <v>395783.6</v>
      </c>
      <c r="P38" s="27">
        <v>395783.6</v>
      </c>
      <c r="Q38" s="27">
        <v>395783.6</v>
      </c>
      <c r="R38" s="27">
        <v>28.24</v>
      </c>
      <c r="S38" s="38">
        <v>28.24</v>
      </c>
      <c r="T38" s="38">
        <v>564.79999999999995</v>
      </c>
      <c r="U38" s="38">
        <v>14015</v>
      </c>
      <c r="V38" s="38">
        <v>14015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700.75</v>
      </c>
      <c r="AD38" s="38">
        <v>701</v>
      </c>
      <c r="AE38" s="33">
        <v>45437</v>
      </c>
      <c r="AF38" s="33"/>
      <c r="AG38" s="33"/>
      <c r="AH38" s="33">
        <v>45468</v>
      </c>
      <c r="AI38" s="33"/>
      <c r="AJ38" s="42"/>
      <c r="AK38" s="37" t="s">
        <v>67</v>
      </c>
      <c r="AL38" s="37" t="s">
        <v>68</v>
      </c>
      <c r="AM38" s="37" t="s">
        <v>69</v>
      </c>
      <c r="AN38" s="37" t="s">
        <v>50</v>
      </c>
      <c r="AO38" s="43">
        <v>100</v>
      </c>
      <c r="AP38" s="35">
        <v>0</v>
      </c>
      <c r="AQ38" s="35" t="s">
        <v>51</v>
      </c>
      <c r="AR38" s="44">
        <v>20</v>
      </c>
      <c r="AS38" s="37" t="s">
        <v>52</v>
      </c>
    </row>
    <row r="39" spans="1:45" ht="48.75" customHeight="1" x14ac:dyDescent="0.25">
      <c r="A39" s="32" t="s">
        <v>1804</v>
      </c>
      <c r="B39" s="56">
        <v>45317</v>
      </c>
      <c r="C39" s="37">
        <v>1688</v>
      </c>
      <c r="D39" s="36" t="s">
        <v>1805</v>
      </c>
      <c r="E39" s="1" t="s">
        <v>1806</v>
      </c>
      <c r="F39" s="33">
        <v>45341</v>
      </c>
      <c r="G39" s="35" t="s">
        <v>1807</v>
      </c>
      <c r="H39" s="37" t="s">
        <v>45</v>
      </c>
      <c r="I39" s="37" t="s">
        <v>88</v>
      </c>
      <c r="J39" s="57">
        <v>58226215.799999997</v>
      </c>
      <c r="K39" s="40">
        <v>0</v>
      </c>
      <c r="L39" s="41">
        <v>0</v>
      </c>
      <c r="M39" s="38">
        <v>58226215.799999997</v>
      </c>
      <c r="N39" s="41">
        <v>0</v>
      </c>
      <c r="O39" s="38">
        <v>58226215.799999997</v>
      </c>
      <c r="P39" s="27">
        <v>58226215.799999997</v>
      </c>
      <c r="Q39" s="27">
        <v>58226215.799999997</v>
      </c>
      <c r="R39" s="27">
        <v>233.10999999999999</v>
      </c>
      <c r="S39" s="38">
        <v>233.10999999999999</v>
      </c>
      <c r="T39" s="38">
        <v>2331.1</v>
      </c>
      <c r="U39" s="38">
        <v>249780</v>
      </c>
      <c r="V39" s="38">
        <v>249780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24978</v>
      </c>
      <c r="AD39" s="38">
        <v>24978</v>
      </c>
      <c r="AE39" s="33">
        <v>45621</v>
      </c>
      <c r="AF39" s="33"/>
      <c r="AG39" s="33"/>
      <c r="AH39" s="33">
        <v>45649</v>
      </c>
      <c r="AI39" s="33"/>
      <c r="AJ39" s="42"/>
      <c r="AK39" s="37" t="s">
        <v>89</v>
      </c>
      <c r="AL39" s="37" t="s">
        <v>1808</v>
      </c>
      <c r="AM39" s="37" t="s">
        <v>91</v>
      </c>
      <c r="AN39" s="37" t="s">
        <v>50</v>
      </c>
      <c r="AO39" s="43">
        <v>100</v>
      </c>
      <c r="AP39" s="35">
        <v>0</v>
      </c>
      <c r="AQ39" s="35" t="s">
        <v>51</v>
      </c>
      <c r="AR39" s="44">
        <v>10</v>
      </c>
      <c r="AS39" s="37" t="s">
        <v>52</v>
      </c>
    </row>
    <row r="40" spans="1:45" ht="48.75" customHeight="1" x14ac:dyDescent="0.25">
      <c r="A40" s="32" t="s">
        <v>1809</v>
      </c>
      <c r="B40" s="56">
        <v>45317</v>
      </c>
      <c r="C40" s="37">
        <v>1688</v>
      </c>
      <c r="D40" s="36" t="s">
        <v>1810</v>
      </c>
      <c r="E40" s="1" t="s">
        <v>1811</v>
      </c>
      <c r="F40" s="33">
        <v>45341</v>
      </c>
      <c r="G40" s="35" t="s">
        <v>1812</v>
      </c>
      <c r="H40" s="37" t="s">
        <v>45</v>
      </c>
      <c r="I40" s="37" t="s">
        <v>105</v>
      </c>
      <c r="J40" s="57">
        <v>14520564.800000001</v>
      </c>
      <c r="K40" s="40">
        <v>0</v>
      </c>
      <c r="L40" s="41">
        <v>0</v>
      </c>
      <c r="M40" s="38">
        <v>14520564.800000001</v>
      </c>
      <c r="N40" s="41">
        <v>0</v>
      </c>
      <c r="O40" s="38">
        <v>14520564.800000001</v>
      </c>
      <c r="P40" s="27">
        <v>14520564.800000001</v>
      </c>
      <c r="Q40" s="27">
        <v>14520564.800000001</v>
      </c>
      <c r="R40" s="27">
        <v>68.39</v>
      </c>
      <c r="S40" s="38">
        <v>68.39</v>
      </c>
      <c r="T40" s="38">
        <v>1367.8</v>
      </c>
      <c r="U40" s="38">
        <v>212320</v>
      </c>
      <c r="V40" s="38">
        <v>212320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10616</v>
      </c>
      <c r="AD40" s="38">
        <v>10616</v>
      </c>
      <c r="AE40" s="33">
        <v>45366</v>
      </c>
      <c r="AF40" s="33"/>
      <c r="AG40" s="33"/>
      <c r="AH40" s="33">
        <v>45397</v>
      </c>
      <c r="AI40" s="33"/>
      <c r="AJ40" s="42"/>
      <c r="AK40" s="37" t="s">
        <v>106</v>
      </c>
      <c r="AL40" s="37" t="s">
        <v>107</v>
      </c>
      <c r="AM40" s="37" t="s">
        <v>108</v>
      </c>
      <c r="AN40" s="37" t="s">
        <v>50</v>
      </c>
      <c r="AO40" s="43">
        <v>100</v>
      </c>
      <c r="AP40" s="35">
        <v>0</v>
      </c>
      <c r="AQ40" s="35" t="s">
        <v>51</v>
      </c>
      <c r="AR40" s="44">
        <v>20</v>
      </c>
      <c r="AS40" s="37" t="s">
        <v>52</v>
      </c>
    </row>
    <row r="41" spans="1:45" ht="48.75" customHeight="1" x14ac:dyDescent="0.25">
      <c r="A41" s="32" t="s">
        <v>1813</v>
      </c>
      <c r="B41" s="56">
        <v>45320</v>
      </c>
      <c r="C41" s="37">
        <v>1688</v>
      </c>
      <c r="D41" s="36" t="s">
        <v>1814</v>
      </c>
      <c r="E41" s="1" t="s">
        <v>1815</v>
      </c>
      <c r="F41" s="33">
        <v>45343</v>
      </c>
      <c r="G41" s="35" t="s">
        <v>1816</v>
      </c>
      <c r="H41" s="37" t="s">
        <v>1817</v>
      </c>
      <c r="I41" s="37" t="s">
        <v>1818</v>
      </c>
      <c r="J41" s="57">
        <v>15481314</v>
      </c>
      <c r="K41" s="40">
        <v>0</v>
      </c>
      <c r="L41" s="41">
        <v>0</v>
      </c>
      <c r="M41" s="57">
        <v>15481314</v>
      </c>
      <c r="N41" s="41">
        <v>0</v>
      </c>
      <c r="O41" s="57">
        <v>15481314</v>
      </c>
      <c r="P41" s="27">
        <v>15481314</v>
      </c>
      <c r="Q41" s="27">
        <v>15481314</v>
      </c>
      <c r="R41" s="27">
        <v>15.01</v>
      </c>
      <c r="S41" s="38">
        <v>15.01</v>
      </c>
      <c r="T41" s="38">
        <v>1501</v>
      </c>
      <c r="U41" s="38">
        <v>1031400</v>
      </c>
      <c r="V41" s="38">
        <v>200000</v>
      </c>
      <c r="W41" s="38">
        <v>831400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10314</v>
      </c>
      <c r="AD41" s="38">
        <v>10314</v>
      </c>
      <c r="AE41" s="33">
        <v>45366</v>
      </c>
      <c r="AF41" s="33">
        <v>45412</v>
      </c>
      <c r="AG41" s="33"/>
      <c r="AH41" s="33">
        <v>45397</v>
      </c>
      <c r="AI41" s="33">
        <v>45444</v>
      </c>
      <c r="AJ41" s="42"/>
      <c r="AK41" s="37" t="s">
        <v>1819</v>
      </c>
      <c r="AL41" s="37" t="s">
        <v>1820</v>
      </c>
      <c r="AM41" s="37" t="s">
        <v>1821</v>
      </c>
      <c r="AN41" s="37" t="s">
        <v>50</v>
      </c>
      <c r="AO41" s="43">
        <v>100</v>
      </c>
      <c r="AP41" s="35">
        <v>0</v>
      </c>
      <c r="AQ41" s="35" t="s">
        <v>51</v>
      </c>
      <c r="AR41" s="44">
        <v>100</v>
      </c>
      <c r="AS41" s="37" t="s">
        <v>52</v>
      </c>
    </row>
    <row r="42" spans="1:45" ht="48.75" customHeight="1" x14ac:dyDescent="0.25">
      <c r="A42" s="32" t="s">
        <v>1830</v>
      </c>
      <c r="B42" s="56">
        <v>45320</v>
      </c>
      <c r="C42" s="37">
        <v>1688</v>
      </c>
      <c r="D42" s="36" t="s">
        <v>1831</v>
      </c>
      <c r="E42" s="1" t="s">
        <v>1832</v>
      </c>
      <c r="F42" s="33">
        <v>45342</v>
      </c>
      <c r="G42" s="35" t="s">
        <v>1833</v>
      </c>
      <c r="H42" s="37" t="s">
        <v>45</v>
      </c>
      <c r="I42" s="37" t="s">
        <v>71</v>
      </c>
      <c r="J42" s="57">
        <v>14220438.699999999</v>
      </c>
      <c r="K42" s="40">
        <v>0</v>
      </c>
      <c r="L42" s="41">
        <v>0</v>
      </c>
      <c r="M42" s="38">
        <v>14220438.699999999</v>
      </c>
      <c r="N42" s="41">
        <v>0</v>
      </c>
      <c r="O42" s="38">
        <v>14220438.699999999</v>
      </c>
      <c r="P42" s="27">
        <v>14220438.699999999</v>
      </c>
      <c r="Q42" s="27">
        <v>14220438.699999999</v>
      </c>
      <c r="R42" s="27">
        <v>36.79</v>
      </c>
      <c r="S42" s="38">
        <v>36.79</v>
      </c>
      <c r="T42" s="38">
        <v>735.8</v>
      </c>
      <c r="U42" s="38">
        <v>386530</v>
      </c>
      <c r="V42" s="38">
        <v>386530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19326.5</v>
      </c>
      <c r="AD42" s="38">
        <v>19327</v>
      </c>
      <c r="AE42" s="33">
        <v>45366</v>
      </c>
      <c r="AF42" s="33"/>
      <c r="AG42" s="33"/>
      <c r="AH42" s="33">
        <v>45397</v>
      </c>
      <c r="AI42" s="33"/>
      <c r="AJ42" s="42"/>
      <c r="AK42" s="37" t="s">
        <v>72</v>
      </c>
      <c r="AL42" s="37" t="s">
        <v>73</v>
      </c>
      <c r="AM42" s="37" t="s">
        <v>74</v>
      </c>
      <c r="AN42" s="37" t="s">
        <v>50</v>
      </c>
      <c r="AO42" s="43">
        <v>100</v>
      </c>
      <c r="AP42" s="35">
        <v>0</v>
      </c>
      <c r="AQ42" s="35" t="s">
        <v>51</v>
      </c>
      <c r="AR42" s="44">
        <v>20</v>
      </c>
      <c r="AS42" s="37" t="s">
        <v>52</v>
      </c>
    </row>
    <row r="43" spans="1:45" ht="48.75" customHeight="1" x14ac:dyDescent="0.25">
      <c r="A43" s="32" t="s">
        <v>1839</v>
      </c>
      <c r="B43" s="56">
        <v>45320</v>
      </c>
      <c r="C43" s="37">
        <v>1688</v>
      </c>
      <c r="D43" s="36" t="s">
        <v>1840</v>
      </c>
      <c r="E43" s="1" t="s">
        <v>1841</v>
      </c>
      <c r="F43" s="33">
        <v>45342</v>
      </c>
      <c r="G43" s="35" t="s">
        <v>1842</v>
      </c>
      <c r="H43" s="37" t="s">
        <v>45</v>
      </c>
      <c r="I43" s="37" t="s">
        <v>93</v>
      </c>
      <c r="J43" s="57">
        <v>5451924.5</v>
      </c>
      <c r="K43" s="40">
        <v>0</v>
      </c>
      <c r="L43" s="41">
        <v>0</v>
      </c>
      <c r="M43" s="38">
        <v>5451924.5</v>
      </c>
      <c r="N43" s="41">
        <v>0</v>
      </c>
      <c r="O43" s="38">
        <v>5451924.5</v>
      </c>
      <c r="P43" s="27">
        <v>5451924.5</v>
      </c>
      <c r="Q43" s="27">
        <v>5451924.5</v>
      </c>
      <c r="R43" s="27">
        <v>187.03</v>
      </c>
      <c r="S43" s="38">
        <v>187.03</v>
      </c>
      <c r="T43" s="38">
        <v>1870.3</v>
      </c>
      <c r="U43" s="38">
        <v>29150</v>
      </c>
      <c r="V43" s="38">
        <v>29150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2915</v>
      </c>
      <c r="AD43" s="38">
        <v>2915</v>
      </c>
      <c r="AE43" s="33">
        <v>45621</v>
      </c>
      <c r="AF43" s="33"/>
      <c r="AG43" s="33"/>
      <c r="AH43" s="33">
        <v>45649</v>
      </c>
      <c r="AI43" s="33"/>
      <c r="AJ43" s="42"/>
      <c r="AK43" s="37" t="s">
        <v>94</v>
      </c>
      <c r="AL43" s="37" t="s">
        <v>1808</v>
      </c>
      <c r="AM43" s="37" t="s">
        <v>95</v>
      </c>
      <c r="AN43" s="37" t="s">
        <v>50</v>
      </c>
      <c r="AO43" s="43">
        <v>100</v>
      </c>
      <c r="AP43" s="35">
        <v>0</v>
      </c>
      <c r="AQ43" s="35" t="s">
        <v>51</v>
      </c>
      <c r="AR43" s="44">
        <v>10</v>
      </c>
      <c r="AS43" s="37" t="s">
        <v>52</v>
      </c>
    </row>
    <row r="44" spans="1:45" ht="48.75" customHeight="1" x14ac:dyDescent="0.25">
      <c r="A44" s="32" t="s">
        <v>1843</v>
      </c>
      <c r="B44" s="56">
        <v>45320</v>
      </c>
      <c r="C44" s="37">
        <v>1688</v>
      </c>
      <c r="D44" s="36" t="s">
        <v>1844</v>
      </c>
      <c r="E44" s="1" t="s">
        <v>1845</v>
      </c>
      <c r="F44" s="33">
        <v>45343</v>
      </c>
      <c r="G44" s="35" t="s">
        <v>1846</v>
      </c>
      <c r="H44" s="37" t="s">
        <v>1847</v>
      </c>
      <c r="I44" s="37" t="s">
        <v>1848</v>
      </c>
      <c r="J44" s="57">
        <v>23115840</v>
      </c>
      <c r="K44" s="40">
        <v>0</v>
      </c>
      <c r="L44" s="41">
        <v>0</v>
      </c>
      <c r="M44" s="57">
        <v>23115840</v>
      </c>
      <c r="N44" s="41">
        <v>0</v>
      </c>
      <c r="O44" s="57">
        <v>23115840</v>
      </c>
      <c r="P44" s="27">
        <v>23115840</v>
      </c>
      <c r="Q44" s="27">
        <v>23115840</v>
      </c>
      <c r="R44" s="27">
        <v>176</v>
      </c>
      <c r="S44" s="38">
        <v>176</v>
      </c>
      <c r="T44" s="38">
        <v>880</v>
      </c>
      <c r="U44" s="38">
        <v>131340</v>
      </c>
      <c r="V44" s="38">
        <v>131340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26268</v>
      </c>
      <c r="AD44" s="38">
        <v>26268</v>
      </c>
      <c r="AE44" s="33">
        <v>45413</v>
      </c>
      <c r="AF44" s="33"/>
      <c r="AG44" s="33"/>
      <c r="AH44" s="33">
        <v>45444</v>
      </c>
      <c r="AI44" s="33"/>
      <c r="AJ44" s="42"/>
      <c r="AK44" s="37" t="s">
        <v>1849</v>
      </c>
      <c r="AL44" s="37" t="s">
        <v>1850</v>
      </c>
      <c r="AM44" s="37" t="s">
        <v>1851</v>
      </c>
      <c r="AN44" s="37" t="s">
        <v>50</v>
      </c>
      <c r="AO44" s="43">
        <v>100</v>
      </c>
      <c r="AP44" s="35">
        <v>0</v>
      </c>
      <c r="AQ44" s="35" t="s">
        <v>51</v>
      </c>
      <c r="AR44" s="44">
        <v>5</v>
      </c>
      <c r="AS44" s="37" t="s">
        <v>52</v>
      </c>
    </row>
    <row r="45" spans="1:45" ht="48.75" customHeight="1" x14ac:dyDescent="0.25">
      <c r="A45" s="32" t="s">
        <v>1855</v>
      </c>
      <c r="B45" s="56">
        <v>45320</v>
      </c>
      <c r="C45" s="37">
        <v>1688</v>
      </c>
      <c r="D45" s="36" t="s">
        <v>1856</v>
      </c>
      <c r="E45" s="1" t="s">
        <v>1857</v>
      </c>
      <c r="F45" s="33">
        <v>45342</v>
      </c>
      <c r="G45" s="35" t="s">
        <v>1858</v>
      </c>
      <c r="H45" s="37" t="s">
        <v>45</v>
      </c>
      <c r="I45" s="37" t="s">
        <v>1542</v>
      </c>
      <c r="J45" s="57">
        <v>156002068.31999999</v>
      </c>
      <c r="K45" s="40">
        <v>0</v>
      </c>
      <c r="L45" s="41">
        <v>0</v>
      </c>
      <c r="M45" s="38">
        <v>156002068.31999999</v>
      </c>
      <c r="N45" s="41">
        <v>0</v>
      </c>
      <c r="O45" s="38">
        <v>156002068.31999999</v>
      </c>
      <c r="P45" s="27">
        <v>156002068.31999999</v>
      </c>
      <c r="Q45" s="27">
        <v>156002068.31999999</v>
      </c>
      <c r="R45" s="27" t="s">
        <v>1859</v>
      </c>
      <c r="S45" s="38">
        <v>39.629999999999995</v>
      </c>
      <c r="T45" s="38">
        <v>792.59999999999991</v>
      </c>
      <c r="U45" s="38">
        <v>3936464</v>
      </c>
      <c r="V45" s="38">
        <v>3936464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196823.2</v>
      </c>
      <c r="AD45" s="38">
        <v>196824</v>
      </c>
      <c r="AE45" s="33">
        <v>45366</v>
      </c>
      <c r="AF45" s="33"/>
      <c r="AG45" s="33"/>
      <c r="AH45" s="33">
        <v>45397</v>
      </c>
      <c r="AI45" s="33"/>
      <c r="AJ45" s="42"/>
      <c r="AK45" s="37" t="s">
        <v>82</v>
      </c>
      <c r="AL45" s="37" t="s">
        <v>83</v>
      </c>
      <c r="AM45" s="37" t="s">
        <v>84</v>
      </c>
      <c r="AN45" s="37" t="s">
        <v>50</v>
      </c>
      <c r="AO45" s="43">
        <v>100</v>
      </c>
      <c r="AP45" s="35">
        <v>0</v>
      </c>
      <c r="AQ45" s="35" t="s">
        <v>51</v>
      </c>
      <c r="AR45" s="44">
        <v>20</v>
      </c>
      <c r="AS45" s="37" t="s">
        <v>52</v>
      </c>
    </row>
    <row r="46" spans="1:45" ht="48" customHeight="1" x14ac:dyDescent="0.25">
      <c r="A46" s="32" t="s">
        <v>1869</v>
      </c>
      <c r="B46" s="56">
        <v>45322</v>
      </c>
      <c r="C46" s="37">
        <v>1688</v>
      </c>
      <c r="D46" s="35" t="s">
        <v>485</v>
      </c>
      <c r="E46" s="1" t="s">
        <v>1870</v>
      </c>
      <c r="F46" s="35" t="s">
        <v>485</v>
      </c>
      <c r="G46" s="35" t="s">
        <v>485</v>
      </c>
      <c r="H46" s="35" t="s">
        <v>485</v>
      </c>
      <c r="I46" s="58" t="s">
        <v>1871</v>
      </c>
      <c r="J46" s="57">
        <v>27006669.719999999</v>
      </c>
      <c r="K46" s="40">
        <v>100</v>
      </c>
      <c r="L46" s="41">
        <v>27006669.719999999</v>
      </c>
      <c r="M46" s="38"/>
      <c r="N46" s="41">
        <v>27006669.719999999</v>
      </c>
      <c r="O46" s="38">
        <v>0</v>
      </c>
      <c r="P46" s="27">
        <v>0</v>
      </c>
      <c r="Q46" s="27">
        <v>0</v>
      </c>
      <c r="R46" s="27" t="s">
        <v>1872</v>
      </c>
      <c r="S46" s="38">
        <v>0</v>
      </c>
      <c r="T46" s="38">
        <v>0</v>
      </c>
      <c r="U46" s="38">
        <v>414467</v>
      </c>
      <c r="V46" s="38">
        <v>414467</v>
      </c>
      <c r="W46" s="38">
        <v>0</v>
      </c>
      <c r="X46" s="38">
        <v>0</v>
      </c>
      <c r="Y46" s="38"/>
      <c r="Z46" s="38">
        <v>0</v>
      </c>
      <c r="AA46" s="38"/>
      <c r="AB46" s="38">
        <v>0</v>
      </c>
      <c r="AC46" s="38" t="e">
        <v>#DIV/0!</v>
      </c>
      <c r="AD46" s="38" t="e">
        <v>#DIV/0!</v>
      </c>
      <c r="AE46" s="33">
        <v>45621</v>
      </c>
      <c r="AF46" s="33"/>
      <c r="AG46" s="33"/>
      <c r="AH46" s="33"/>
      <c r="AI46" s="33"/>
      <c r="AJ46" s="42"/>
      <c r="AK46" s="37"/>
      <c r="AL46" s="37"/>
      <c r="AM46" s="37"/>
      <c r="AN46" s="37"/>
      <c r="AO46" s="43"/>
      <c r="AP46" s="35"/>
      <c r="AQ46" s="35"/>
      <c r="AR46" s="44"/>
      <c r="AS46" s="37" t="s">
        <v>485</v>
      </c>
    </row>
    <row r="47" spans="1:45" ht="48" customHeight="1" x14ac:dyDescent="0.25">
      <c r="A47" s="32" t="s">
        <v>1873</v>
      </c>
      <c r="B47" s="56">
        <v>45322</v>
      </c>
      <c r="C47" s="37">
        <v>1688</v>
      </c>
      <c r="D47" s="35" t="s">
        <v>485</v>
      </c>
      <c r="E47" s="1" t="s">
        <v>1874</v>
      </c>
      <c r="F47" s="35" t="s">
        <v>485</v>
      </c>
      <c r="G47" s="35" t="s">
        <v>485</v>
      </c>
      <c r="H47" s="35" t="s">
        <v>485</v>
      </c>
      <c r="I47" s="58" t="s">
        <v>1875</v>
      </c>
      <c r="J47" s="57">
        <v>182095170.19999999</v>
      </c>
      <c r="K47" s="40">
        <v>100</v>
      </c>
      <c r="L47" s="41">
        <v>182095170.19999999</v>
      </c>
      <c r="M47" s="38"/>
      <c r="N47" s="41">
        <v>182095170.19999999</v>
      </c>
      <c r="O47" s="38">
        <v>0</v>
      </c>
      <c r="P47" s="27">
        <v>0</v>
      </c>
      <c r="Q47" s="27">
        <v>0</v>
      </c>
      <c r="R47" s="27">
        <v>429.49</v>
      </c>
      <c r="S47" s="38">
        <v>0</v>
      </c>
      <c r="T47" s="38">
        <v>0</v>
      </c>
      <c r="U47" s="38">
        <v>423980</v>
      </c>
      <c r="V47" s="38">
        <v>423980</v>
      </c>
      <c r="W47" s="38">
        <v>0</v>
      </c>
      <c r="X47" s="38">
        <v>0</v>
      </c>
      <c r="Y47" s="38"/>
      <c r="Z47" s="38">
        <v>0</v>
      </c>
      <c r="AA47" s="38"/>
      <c r="AB47" s="38">
        <v>0</v>
      </c>
      <c r="AC47" s="38" t="e">
        <v>#DIV/0!</v>
      </c>
      <c r="AD47" s="38" t="e">
        <v>#DIV/0!</v>
      </c>
      <c r="AE47" s="33">
        <v>45383</v>
      </c>
      <c r="AF47" s="33"/>
      <c r="AG47" s="33"/>
      <c r="AH47" s="33"/>
      <c r="AI47" s="33"/>
      <c r="AJ47" s="42"/>
      <c r="AK47" s="37"/>
      <c r="AL47" s="37"/>
      <c r="AM47" s="37"/>
      <c r="AN47" s="37"/>
      <c r="AO47" s="43"/>
      <c r="AP47" s="35"/>
      <c r="AQ47" s="35"/>
      <c r="AR47" s="44"/>
      <c r="AS47" s="37" t="s">
        <v>485</v>
      </c>
    </row>
    <row r="48" spans="1:45" ht="48" customHeight="1" x14ac:dyDescent="0.25">
      <c r="A48" s="32" t="s">
        <v>1876</v>
      </c>
      <c r="B48" s="56">
        <v>45322</v>
      </c>
      <c r="C48" s="37">
        <v>1688</v>
      </c>
      <c r="D48" s="35" t="s">
        <v>485</v>
      </c>
      <c r="E48" s="1" t="s">
        <v>1877</v>
      </c>
      <c r="F48" s="35" t="s">
        <v>485</v>
      </c>
      <c r="G48" s="35" t="s">
        <v>485</v>
      </c>
      <c r="H48" s="35" t="s">
        <v>485</v>
      </c>
      <c r="I48" s="58" t="s">
        <v>1878</v>
      </c>
      <c r="J48" s="57">
        <v>1446902272.8</v>
      </c>
      <c r="K48" s="40">
        <v>100</v>
      </c>
      <c r="L48" s="41">
        <v>1446902272.8</v>
      </c>
      <c r="M48" s="38"/>
      <c r="N48" s="41">
        <v>1446902272.8</v>
      </c>
      <c r="O48" s="38">
        <v>0</v>
      </c>
      <c r="P48" s="27">
        <v>0</v>
      </c>
      <c r="Q48" s="27">
        <v>0</v>
      </c>
      <c r="R48" s="27">
        <v>1406.07</v>
      </c>
      <c r="S48" s="38">
        <v>0</v>
      </c>
      <c r="T48" s="38">
        <v>0</v>
      </c>
      <c r="U48" s="38">
        <v>1029040</v>
      </c>
      <c r="V48" s="38">
        <v>1029040</v>
      </c>
      <c r="W48" s="38">
        <v>0</v>
      </c>
      <c r="X48" s="38">
        <v>0</v>
      </c>
      <c r="Y48" s="38"/>
      <c r="Z48" s="38">
        <v>0</v>
      </c>
      <c r="AA48" s="38"/>
      <c r="AB48" s="38">
        <v>0</v>
      </c>
      <c r="AC48" s="38" t="e">
        <v>#DIV/0!</v>
      </c>
      <c r="AD48" s="38" t="e">
        <v>#DIV/0!</v>
      </c>
      <c r="AE48" s="33">
        <v>45383</v>
      </c>
      <c r="AF48" s="33"/>
      <c r="AG48" s="33"/>
      <c r="AH48" s="33"/>
      <c r="AI48" s="33"/>
      <c r="AJ48" s="42"/>
      <c r="AK48" s="37"/>
      <c r="AL48" s="37"/>
      <c r="AM48" s="37"/>
      <c r="AN48" s="37"/>
      <c r="AO48" s="43"/>
      <c r="AP48" s="35"/>
      <c r="AQ48" s="35"/>
      <c r="AR48" s="44"/>
      <c r="AS48" s="37" t="s">
        <v>485</v>
      </c>
    </row>
    <row r="49" spans="1:45" ht="48" customHeight="1" x14ac:dyDescent="0.25">
      <c r="A49" s="32" t="s">
        <v>1879</v>
      </c>
      <c r="B49" s="56">
        <v>45322</v>
      </c>
      <c r="C49" s="37">
        <v>1688</v>
      </c>
      <c r="D49" s="35" t="s">
        <v>485</v>
      </c>
      <c r="E49" s="1" t="s">
        <v>1880</v>
      </c>
      <c r="F49" s="35" t="s">
        <v>485</v>
      </c>
      <c r="G49" s="35" t="s">
        <v>485</v>
      </c>
      <c r="H49" s="35" t="s">
        <v>485</v>
      </c>
      <c r="I49" s="45" t="s">
        <v>1881</v>
      </c>
      <c r="J49" s="57">
        <v>3496393.9</v>
      </c>
      <c r="K49" s="40">
        <v>100</v>
      </c>
      <c r="L49" s="41">
        <v>3496393.9</v>
      </c>
      <c r="M49" s="38"/>
      <c r="N49" s="41">
        <v>3496393.9</v>
      </c>
      <c r="O49" s="38">
        <v>0</v>
      </c>
      <c r="P49" s="27">
        <v>0</v>
      </c>
      <c r="Q49" s="27">
        <v>0</v>
      </c>
      <c r="R49" s="27">
        <v>127.1</v>
      </c>
      <c r="S49" s="38">
        <v>0</v>
      </c>
      <c r="T49" s="38">
        <v>0</v>
      </c>
      <c r="U49" s="38">
        <v>27509</v>
      </c>
      <c r="V49" s="38">
        <v>27509</v>
      </c>
      <c r="W49" s="38">
        <v>0</v>
      </c>
      <c r="X49" s="38">
        <v>0</v>
      </c>
      <c r="Y49" s="38"/>
      <c r="Z49" s="38">
        <v>0</v>
      </c>
      <c r="AA49" s="38"/>
      <c r="AB49" s="38">
        <v>0</v>
      </c>
      <c r="AC49" s="38" t="e">
        <v>#DIV/0!</v>
      </c>
      <c r="AD49" s="38" t="e">
        <v>#DIV/0!</v>
      </c>
      <c r="AE49" s="33">
        <v>45383</v>
      </c>
      <c r="AF49" s="33"/>
      <c r="AG49" s="33"/>
      <c r="AH49" s="33"/>
      <c r="AI49" s="33"/>
      <c r="AJ49" s="42"/>
      <c r="AK49" s="37"/>
      <c r="AL49" s="37"/>
      <c r="AM49" s="37"/>
      <c r="AN49" s="37"/>
      <c r="AO49" s="43"/>
      <c r="AP49" s="35"/>
      <c r="AQ49" s="35"/>
      <c r="AR49" s="44"/>
      <c r="AS49" s="37" t="s">
        <v>485</v>
      </c>
    </row>
    <row r="50" spans="1:45" ht="48" customHeight="1" x14ac:dyDescent="0.25">
      <c r="A50" s="32" t="s">
        <v>1882</v>
      </c>
      <c r="B50" s="56">
        <v>45322</v>
      </c>
      <c r="C50" s="37">
        <v>1688</v>
      </c>
      <c r="D50" s="36" t="s">
        <v>485</v>
      </c>
      <c r="E50" s="1" t="s">
        <v>1883</v>
      </c>
      <c r="F50" s="33" t="s">
        <v>485</v>
      </c>
      <c r="G50" s="35" t="s">
        <v>485</v>
      </c>
      <c r="H50" s="37" t="s">
        <v>485</v>
      </c>
      <c r="I50" s="45" t="s">
        <v>110</v>
      </c>
      <c r="J50" s="57">
        <v>311730449.25</v>
      </c>
      <c r="K50" s="40">
        <v>100</v>
      </c>
      <c r="L50" s="41">
        <v>311730449.25</v>
      </c>
      <c r="M50" s="38"/>
      <c r="N50" s="41">
        <v>311730449.25</v>
      </c>
      <c r="O50" s="38">
        <v>0</v>
      </c>
      <c r="P50" s="27">
        <v>0</v>
      </c>
      <c r="Q50" s="27">
        <v>0</v>
      </c>
      <c r="R50" s="27">
        <v>49.15</v>
      </c>
      <c r="S50" s="38">
        <v>0</v>
      </c>
      <c r="T50" s="38">
        <v>0</v>
      </c>
      <c r="U50" s="38">
        <v>634695</v>
      </c>
      <c r="V50" s="38">
        <v>634695</v>
      </c>
      <c r="W50" s="38">
        <v>0</v>
      </c>
      <c r="X50" s="38">
        <v>0</v>
      </c>
      <c r="Y50" s="38"/>
      <c r="Z50" s="38">
        <v>0</v>
      </c>
      <c r="AA50" s="38"/>
      <c r="AB50" s="38">
        <v>0</v>
      </c>
      <c r="AC50" s="38" t="e">
        <v>#DIV/0!</v>
      </c>
      <c r="AD50" s="38" t="e">
        <v>#DIV/0!</v>
      </c>
      <c r="AE50" s="33">
        <v>45641</v>
      </c>
      <c r="AF50" s="33"/>
      <c r="AG50" s="33"/>
      <c r="AH50" s="33"/>
      <c r="AI50" s="33"/>
      <c r="AJ50" s="42"/>
      <c r="AK50" s="37"/>
      <c r="AL50" s="37"/>
      <c r="AM50" s="37"/>
      <c r="AN50" s="37"/>
      <c r="AO50" s="43"/>
      <c r="AP50" s="35"/>
      <c r="AQ50" s="35"/>
      <c r="AR50" s="44"/>
      <c r="AS50" s="37" t="s">
        <v>485</v>
      </c>
    </row>
    <row r="51" spans="1:45" ht="39" customHeight="1" x14ac:dyDescent="0.25">
      <c r="A51" s="32" t="s">
        <v>2038</v>
      </c>
      <c r="B51" s="56">
        <v>45327</v>
      </c>
      <c r="C51" s="37">
        <v>1688</v>
      </c>
      <c r="D51" s="36"/>
      <c r="E51" s="1" t="s">
        <v>2039</v>
      </c>
      <c r="F51" s="33">
        <v>45352</v>
      </c>
      <c r="G51" s="35" t="s">
        <v>2040</v>
      </c>
      <c r="H51" s="37" t="s">
        <v>45</v>
      </c>
      <c r="I51" s="58" t="s">
        <v>2041</v>
      </c>
      <c r="J51" s="57">
        <v>514258.4</v>
      </c>
      <c r="K51" s="40">
        <v>0</v>
      </c>
      <c r="L51" s="41">
        <v>0</v>
      </c>
      <c r="M51" s="57">
        <v>514258.4</v>
      </c>
      <c r="N51" s="41">
        <v>0</v>
      </c>
      <c r="O51" s="57">
        <v>514258.4</v>
      </c>
      <c r="P51" s="27">
        <v>514258.4</v>
      </c>
      <c r="Q51" s="27">
        <v>514258.4</v>
      </c>
      <c r="R51" s="27">
        <v>162.74</v>
      </c>
      <c r="S51" s="38">
        <v>162.74</v>
      </c>
      <c r="T51" s="38">
        <v>1627.4</v>
      </c>
      <c r="U51" s="38">
        <v>3160</v>
      </c>
      <c r="V51" s="38">
        <v>3160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316</v>
      </c>
      <c r="AD51" s="38">
        <v>316</v>
      </c>
      <c r="AE51" s="33">
        <v>45383</v>
      </c>
      <c r="AF51" s="33"/>
      <c r="AG51" s="33"/>
      <c r="AH51" s="33">
        <v>45413</v>
      </c>
      <c r="AI51" s="33"/>
      <c r="AJ51" s="42"/>
      <c r="AK51" s="37" t="s">
        <v>2042</v>
      </c>
      <c r="AL51" s="37" t="s">
        <v>78</v>
      </c>
      <c r="AM51" s="37" t="s">
        <v>2043</v>
      </c>
      <c r="AN51" s="37" t="s">
        <v>50</v>
      </c>
      <c r="AO51" s="43">
        <v>100</v>
      </c>
      <c r="AP51" s="35">
        <v>0</v>
      </c>
      <c r="AQ51" s="35" t="s">
        <v>51</v>
      </c>
      <c r="AR51" s="44">
        <v>10</v>
      </c>
      <c r="AS51" s="37" t="s">
        <v>52</v>
      </c>
    </row>
    <row r="52" spans="1:45" ht="42" customHeight="1" x14ac:dyDescent="0.25">
      <c r="A52" s="32" t="s">
        <v>2521</v>
      </c>
      <c r="B52" s="56">
        <v>45348</v>
      </c>
      <c r="C52" s="35">
        <v>1688</v>
      </c>
      <c r="D52" s="36"/>
      <c r="E52" s="1" t="s">
        <v>2522</v>
      </c>
      <c r="F52" s="33">
        <v>45369</v>
      </c>
      <c r="G52" s="35" t="s">
        <v>2523</v>
      </c>
      <c r="H52" s="37" t="s">
        <v>45</v>
      </c>
      <c r="I52" s="58" t="s">
        <v>1881</v>
      </c>
      <c r="J52" s="57">
        <v>3496393.9</v>
      </c>
      <c r="K52" s="40">
        <v>0</v>
      </c>
      <c r="L52" s="41">
        <v>0</v>
      </c>
      <c r="M52" s="57">
        <v>3496393.9</v>
      </c>
      <c r="N52" s="41">
        <v>0</v>
      </c>
      <c r="O52" s="57">
        <v>3496393.9</v>
      </c>
      <c r="P52" s="27">
        <v>3496393.9</v>
      </c>
      <c r="Q52" s="27">
        <v>3496393.9</v>
      </c>
      <c r="R52" s="27">
        <v>127.1</v>
      </c>
      <c r="S52" s="38">
        <v>127.1</v>
      </c>
      <c r="T52" s="38">
        <v>1271</v>
      </c>
      <c r="U52" s="38">
        <v>27509</v>
      </c>
      <c r="V52" s="38">
        <v>27509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2750.9</v>
      </c>
      <c r="AD52" s="38">
        <v>2751</v>
      </c>
      <c r="AE52" s="33">
        <v>45536</v>
      </c>
      <c r="AF52" s="33"/>
      <c r="AG52" s="33"/>
      <c r="AH52" s="33">
        <v>45566</v>
      </c>
      <c r="AI52" s="33"/>
      <c r="AJ52" s="42"/>
      <c r="AK52" s="37" t="s">
        <v>77</v>
      </c>
      <c r="AL52" s="37" t="s">
        <v>2524</v>
      </c>
      <c r="AM52" s="37" t="s">
        <v>79</v>
      </c>
      <c r="AN52" s="37" t="s">
        <v>50</v>
      </c>
      <c r="AO52" s="43">
        <v>100</v>
      </c>
      <c r="AP52" s="35">
        <v>0</v>
      </c>
      <c r="AQ52" s="35" t="s">
        <v>51</v>
      </c>
      <c r="AR52" s="44">
        <v>10</v>
      </c>
      <c r="AS52" s="37" t="s">
        <v>52</v>
      </c>
    </row>
    <row r="53" spans="1:45" ht="43.5" customHeight="1" x14ac:dyDescent="0.25">
      <c r="A53" s="32" t="s">
        <v>2725</v>
      </c>
      <c r="B53" s="56">
        <v>45352</v>
      </c>
      <c r="C53" s="35">
        <v>1688</v>
      </c>
      <c r="D53" s="35" t="s">
        <v>485</v>
      </c>
      <c r="E53" s="1" t="s">
        <v>2726</v>
      </c>
      <c r="F53" s="35" t="s">
        <v>485</v>
      </c>
      <c r="G53" s="35" t="s">
        <v>485</v>
      </c>
      <c r="H53" s="35" t="s">
        <v>485</v>
      </c>
      <c r="I53" s="58" t="s">
        <v>2727</v>
      </c>
      <c r="J53" s="57">
        <v>1539268903.2</v>
      </c>
      <c r="K53" s="40">
        <v>100</v>
      </c>
      <c r="L53" s="41">
        <v>1539268903.2</v>
      </c>
      <c r="M53" s="38"/>
      <c r="N53" s="41">
        <v>1539268903.2</v>
      </c>
      <c r="O53" s="38">
        <v>0</v>
      </c>
      <c r="P53" s="27">
        <v>0</v>
      </c>
      <c r="Q53" s="27">
        <v>0</v>
      </c>
      <c r="R53" s="27" t="e">
        <v>#DIV/0!</v>
      </c>
      <c r="S53" s="38" t="e">
        <v>#DIV/0!</v>
      </c>
      <c r="T53" s="38" t="e">
        <v>#DIV/0!</v>
      </c>
      <c r="U53" s="38">
        <v>0</v>
      </c>
      <c r="V53" s="38">
        <v>0</v>
      </c>
      <c r="W53" s="38">
        <v>0</v>
      </c>
      <c r="X53" s="38">
        <v>0</v>
      </c>
      <c r="Y53" s="38"/>
      <c r="Z53" s="38" t="e">
        <v>#DIV/0!</v>
      </c>
      <c r="AA53" s="38"/>
      <c r="AB53" s="38" t="e">
        <v>#DIV/0!</v>
      </c>
      <c r="AC53" s="38" t="e">
        <v>#DIV/0!</v>
      </c>
      <c r="AD53" s="38" t="e">
        <v>#DIV/0!</v>
      </c>
      <c r="AE53" s="33">
        <v>45427</v>
      </c>
      <c r="AF53" s="33"/>
      <c r="AG53" s="33"/>
      <c r="AH53" s="33"/>
      <c r="AI53" s="33"/>
      <c r="AJ53" s="42"/>
      <c r="AK53" s="37"/>
      <c r="AL53" s="37"/>
      <c r="AM53" s="37"/>
      <c r="AN53" s="37"/>
      <c r="AO53" s="43"/>
      <c r="AP53" s="35"/>
      <c r="AQ53" s="35"/>
      <c r="AR53" s="44"/>
      <c r="AS53" s="37" t="s">
        <v>485</v>
      </c>
    </row>
    <row r="54" spans="1:45" ht="59.25" customHeight="1" x14ac:dyDescent="0.25">
      <c r="A54" s="32" t="s">
        <v>3210</v>
      </c>
      <c r="B54" s="56">
        <v>45376</v>
      </c>
      <c r="C54" s="35">
        <v>1688</v>
      </c>
      <c r="D54" s="36"/>
      <c r="E54" s="1" t="s">
        <v>3211</v>
      </c>
      <c r="F54" s="33">
        <v>45397</v>
      </c>
      <c r="G54" s="35" t="s">
        <v>3212</v>
      </c>
      <c r="H54" s="37" t="s">
        <v>364</v>
      </c>
      <c r="I54" s="58" t="s">
        <v>3213</v>
      </c>
      <c r="J54" s="57">
        <v>171796000</v>
      </c>
      <c r="K54" s="40">
        <v>0</v>
      </c>
      <c r="L54" s="41">
        <v>0</v>
      </c>
      <c r="M54" s="57">
        <v>171796000</v>
      </c>
      <c r="N54" s="41">
        <v>0</v>
      </c>
      <c r="O54" s="57">
        <v>171796000</v>
      </c>
      <c r="P54" s="27">
        <v>171796000</v>
      </c>
      <c r="Q54" s="27">
        <v>171796000</v>
      </c>
      <c r="R54" s="27">
        <v>429.49</v>
      </c>
      <c r="S54" s="38">
        <v>429.49</v>
      </c>
      <c r="T54" s="38">
        <v>4294.8999999999996</v>
      </c>
      <c r="U54" s="38">
        <v>400000</v>
      </c>
      <c r="V54" s="38">
        <v>400000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40000</v>
      </c>
      <c r="AD54" s="38">
        <v>40000</v>
      </c>
      <c r="AE54" s="33">
        <v>45488</v>
      </c>
      <c r="AF54" s="33"/>
      <c r="AG54" s="33"/>
      <c r="AH54" s="33">
        <v>45519</v>
      </c>
      <c r="AI54" s="33"/>
      <c r="AJ54" s="42"/>
      <c r="AK54" s="37" t="s">
        <v>3214</v>
      </c>
      <c r="AL54" s="37" t="s">
        <v>3215</v>
      </c>
      <c r="AM54" s="37" t="s">
        <v>3216</v>
      </c>
      <c r="AN54" s="37" t="s">
        <v>50</v>
      </c>
      <c r="AO54" s="43">
        <v>100</v>
      </c>
      <c r="AP54" s="35">
        <v>100</v>
      </c>
      <c r="AQ54" s="35" t="s">
        <v>51</v>
      </c>
      <c r="AR54" s="44">
        <v>10</v>
      </c>
      <c r="AS54" s="37" t="s">
        <v>52</v>
      </c>
    </row>
    <row r="55" spans="1:45" ht="55.5" customHeight="1" x14ac:dyDescent="0.25">
      <c r="A55" s="32" t="s">
        <v>3220</v>
      </c>
      <c r="B55" s="56">
        <v>45377</v>
      </c>
      <c r="C55" s="35">
        <v>1688</v>
      </c>
      <c r="D55" s="36"/>
      <c r="E55" s="1" t="s">
        <v>3221</v>
      </c>
      <c r="F55" s="33"/>
      <c r="G55" s="35"/>
      <c r="H55" s="37"/>
      <c r="I55" s="58" t="s">
        <v>3222</v>
      </c>
      <c r="J55" s="57">
        <v>46447964.68</v>
      </c>
      <c r="K55" s="40">
        <v>100</v>
      </c>
      <c r="L55" s="41">
        <v>46447964.68</v>
      </c>
      <c r="M55" s="38"/>
      <c r="N55" s="41">
        <v>46447964.68</v>
      </c>
      <c r="O55" s="38">
        <v>0</v>
      </c>
      <c r="P55" s="27">
        <v>0</v>
      </c>
      <c r="Q55" s="27">
        <v>0</v>
      </c>
      <c r="R55" s="27" t="e">
        <v>#DIV/0!</v>
      </c>
      <c r="S55" s="38" t="e">
        <v>#DIV/0!</v>
      </c>
      <c r="T55" s="38" t="e">
        <v>#DIV/0!</v>
      </c>
      <c r="U55" s="38">
        <v>0</v>
      </c>
      <c r="V55" s="38">
        <v>0</v>
      </c>
      <c r="W55" s="38">
        <v>0</v>
      </c>
      <c r="X55" s="38">
        <v>0</v>
      </c>
      <c r="Y55" s="38"/>
      <c r="Z55" s="38" t="e">
        <v>#DIV/0!</v>
      </c>
      <c r="AA55" s="38"/>
      <c r="AB55" s="38" t="e">
        <v>#DIV/0!</v>
      </c>
      <c r="AC55" s="38" t="e">
        <v>#DIV/0!</v>
      </c>
      <c r="AD55" s="38" t="e">
        <v>#DIV/0!</v>
      </c>
      <c r="AE55" s="33">
        <v>45641</v>
      </c>
      <c r="AF55" s="33"/>
      <c r="AG55" s="33"/>
      <c r="AH55" s="33"/>
      <c r="AI55" s="33"/>
      <c r="AJ55" s="42"/>
      <c r="AK55" s="37"/>
      <c r="AL55" s="37"/>
      <c r="AM55" s="37"/>
      <c r="AN55" s="37"/>
      <c r="AO55" s="43"/>
      <c r="AP55" s="35"/>
      <c r="AQ55" s="35"/>
      <c r="AR55" s="44"/>
      <c r="AS55" s="37"/>
    </row>
    <row r="56" spans="1:45" ht="55.5" customHeight="1" x14ac:dyDescent="0.25">
      <c r="A56" s="32" t="s">
        <v>3226</v>
      </c>
      <c r="B56" s="56">
        <v>45377</v>
      </c>
      <c r="C56" s="35">
        <v>1688</v>
      </c>
      <c r="D56" s="36"/>
      <c r="E56" s="1" t="s">
        <v>3227</v>
      </c>
      <c r="F56" s="33"/>
      <c r="G56" s="35"/>
      <c r="H56" s="37"/>
      <c r="I56" s="69" t="s">
        <v>3228</v>
      </c>
      <c r="J56" s="57">
        <v>1488745.52</v>
      </c>
      <c r="K56" s="40">
        <v>100</v>
      </c>
      <c r="L56" s="41">
        <v>1488745.52</v>
      </c>
      <c r="M56" s="38"/>
      <c r="N56" s="41">
        <v>1488745.52</v>
      </c>
      <c r="O56" s="38">
        <v>0</v>
      </c>
      <c r="P56" s="27">
        <v>0</v>
      </c>
      <c r="Q56" s="27">
        <v>0</v>
      </c>
      <c r="R56" s="27" t="e">
        <v>#DIV/0!</v>
      </c>
      <c r="S56" s="38" t="e">
        <v>#DIV/0!</v>
      </c>
      <c r="T56" s="38" t="e">
        <v>#DIV/0!</v>
      </c>
      <c r="U56" s="38">
        <v>0</v>
      </c>
      <c r="V56" s="38">
        <v>0</v>
      </c>
      <c r="W56" s="38">
        <v>0</v>
      </c>
      <c r="X56" s="38">
        <v>0</v>
      </c>
      <c r="Y56" s="38"/>
      <c r="Z56" s="38" t="e">
        <v>#DIV/0!</v>
      </c>
      <c r="AA56" s="38"/>
      <c r="AB56" s="38" t="e">
        <v>#DIV/0!</v>
      </c>
      <c r="AC56" s="38" t="e">
        <v>#DIV/0!</v>
      </c>
      <c r="AD56" s="38" t="e">
        <v>#DIV/0!</v>
      </c>
      <c r="AE56" s="33">
        <v>45413</v>
      </c>
      <c r="AF56" s="33"/>
      <c r="AG56" s="33"/>
      <c r="AH56" s="33"/>
      <c r="AI56" s="33"/>
      <c r="AJ56" s="42"/>
      <c r="AK56" s="37"/>
      <c r="AL56" s="37"/>
      <c r="AM56" s="37"/>
      <c r="AN56" s="37"/>
      <c r="AO56" s="43"/>
      <c r="AP56" s="35"/>
      <c r="AQ56" s="35"/>
      <c r="AR56" s="44"/>
      <c r="AS56" s="37"/>
    </row>
    <row r="57" spans="1:45" ht="55.5" customHeight="1" x14ac:dyDescent="0.25">
      <c r="A57" s="32" t="s">
        <v>3240</v>
      </c>
      <c r="B57" s="56">
        <v>45377</v>
      </c>
      <c r="C57" s="35">
        <v>1688</v>
      </c>
      <c r="D57" s="36"/>
      <c r="E57" s="1" t="s">
        <v>3241</v>
      </c>
      <c r="F57" s="33"/>
      <c r="G57" s="35"/>
      <c r="H57" s="37"/>
      <c r="I57" s="58" t="s">
        <v>1878</v>
      </c>
      <c r="J57" s="57">
        <v>1334513223.5999999</v>
      </c>
      <c r="K57" s="40">
        <v>100</v>
      </c>
      <c r="L57" s="41">
        <v>1334513223.5999999</v>
      </c>
      <c r="M57" s="38"/>
      <c r="N57" s="41">
        <v>1334513223.5999999</v>
      </c>
      <c r="O57" s="38">
        <v>0</v>
      </c>
      <c r="P57" s="27">
        <v>0</v>
      </c>
      <c r="Q57" s="27">
        <v>0</v>
      </c>
      <c r="R57" s="27" t="e">
        <v>#DIV/0!</v>
      </c>
      <c r="S57" s="38" t="e">
        <v>#DIV/0!</v>
      </c>
      <c r="T57" s="38" t="e">
        <v>#DIV/0!</v>
      </c>
      <c r="U57" s="38">
        <v>0</v>
      </c>
      <c r="V57" s="38">
        <v>0</v>
      </c>
      <c r="W57" s="38">
        <v>0</v>
      </c>
      <c r="X57" s="38">
        <v>0</v>
      </c>
      <c r="Y57" s="38"/>
      <c r="Z57" s="38" t="e">
        <v>#DIV/0!</v>
      </c>
      <c r="AA57" s="38"/>
      <c r="AB57" s="38" t="e">
        <v>#DIV/0!</v>
      </c>
      <c r="AC57" s="38" t="e">
        <v>#DIV/0!</v>
      </c>
      <c r="AD57" s="38" t="e">
        <v>#DIV/0!</v>
      </c>
      <c r="AE57" s="33">
        <v>45505</v>
      </c>
      <c r="AF57" s="33"/>
      <c r="AG57" s="33"/>
      <c r="AH57" s="33"/>
      <c r="AI57" s="33"/>
      <c r="AJ57" s="42"/>
      <c r="AK57" s="37"/>
      <c r="AL57" s="37"/>
      <c r="AM57" s="37"/>
      <c r="AN57" s="37"/>
      <c r="AO57" s="43"/>
      <c r="AP57" s="35"/>
      <c r="AQ57" s="35"/>
      <c r="AR57" s="44"/>
      <c r="AS57" s="37"/>
    </row>
    <row r="58" spans="1:45" ht="55.5" customHeight="1" x14ac:dyDescent="0.25">
      <c r="A58" s="32" t="s">
        <v>3247</v>
      </c>
      <c r="B58" s="56">
        <v>45379</v>
      </c>
      <c r="C58" s="35" t="s">
        <v>3248</v>
      </c>
      <c r="D58" s="36"/>
      <c r="E58" s="1" t="s">
        <v>3249</v>
      </c>
      <c r="F58" s="33"/>
      <c r="G58" s="35"/>
      <c r="H58" s="37"/>
      <c r="I58" s="58" t="s">
        <v>3250</v>
      </c>
      <c r="J58" s="57">
        <v>881010</v>
      </c>
      <c r="K58" s="40">
        <v>100</v>
      </c>
      <c r="L58" s="41">
        <v>881010</v>
      </c>
      <c r="M58" s="38"/>
      <c r="N58" s="41">
        <v>881010</v>
      </c>
      <c r="O58" s="38">
        <v>0</v>
      </c>
      <c r="P58" s="27">
        <v>0</v>
      </c>
      <c r="Q58" s="27">
        <v>0</v>
      </c>
      <c r="R58" s="27" t="e">
        <v>#DIV/0!</v>
      </c>
      <c r="S58" s="38" t="e">
        <v>#DIV/0!</v>
      </c>
      <c r="T58" s="38" t="e">
        <v>#DIV/0!</v>
      </c>
      <c r="U58" s="38">
        <v>0</v>
      </c>
      <c r="V58" s="38">
        <v>0</v>
      </c>
      <c r="W58" s="38">
        <v>0</v>
      </c>
      <c r="X58" s="38">
        <v>0</v>
      </c>
      <c r="Y58" s="38"/>
      <c r="Z58" s="38" t="e">
        <v>#DIV/0!</v>
      </c>
      <c r="AA58" s="38"/>
      <c r="AB58" s="38" t="e">
        <v>#DIV/0!</v>
      </c>
      <c r="AC58" s="38" t="e">
        <v>#DIV/0!</v>
      </c>
      <c r="AD58" s="38" t="e">
        <v>#DIV/0!</v>
      </c>
      <c r="AE58" s="33">
        <v>45444</v>
      </c>
      <c r="AF58" s="33"/>
      <c r="AG58" s="33"/>
      <c r="AH58" s="33"/>
      <c r="AI58" s="33"/>
      <c r="AJ58" s="42"/>
      <c r="AK58" s="37"/>
      <c r="AL58" s="37"/>
      <c r="AM58" s="37"/>
      <c r="AN58" s="37"/>
      <c r="AO58" s="43"/>
      <c r="AP58" s="35"/>
      <c r="AQ58" s="35"/>
      <c r="AR58" s="44"/>
      <c r="AS58" s="37"/>
    </row>
    <row r="59" spans="1:45" ht="54.75" customHeight="1" x14ac:dyDescent="0.25">
      <c r="A59" s="32" t="s">
        <v>3272</v>
      </c>
      <c r="B59" s="33">
        <v>45385</v>
      </c>
      <c r="C59" s="35">
        <v>1688</v>
      </c>
      <c r="D59" s="36"/>
      <c r="E59" s="1" t="s">
        <v>3273</v>
      </c>
      <c r="F59" s="33"/>
      <c r="G59" s="35"/>
      <c r="H59" s="37"/>
      <c r="I59" s="58" t="s">
        <v>1878</v>
      </c>
      <c r="J59" s="57">
        <v>1819012278</v>
      </c>
      <c r="K59" s="40">
        <v>100</v>
      </c>
      <c r="L59" s="41">
        <v>1819012278</v>
      </c>
      <c r="M59" s="38"/>
      <c r="N59" s="41">
        <v>1819012278</v>
      </c>
      <c r="O59" s="38">
        <v>0</v>
      </c>
      <c r="P59" s="27">
        <v>0</v>
      </c>
      <c r="Q59" s="27">
        <v>0</v>
      </c>
      <c r="R59" s="27" t="e">
        <v>#DIV/0!</v>
      </c>
      <c r="S59" s="38" t="e">
        <v>#DIV/0!</v>
      </c>
      <c r="T59" s="38" t="e">
        <v>#DIV/0!</v>
      </c>
      <c r="U59" s="38">
        <v>0</v>
      </c>
      <c r="V59" s="38">
        <v>0</v>
      </c>
      <c r="W59" s="38">
        <v>0</v>
      </c>
      <c r="X59" s="38">
        <v>0</v>
      </c>
      <c r="Y59" s="38"/>
      <c r="Z59" s="38" t="e">
        <v>#DIV/0!</v>
      </c>
      <c r="AA59" s="38"/>
      <c r="AB59" s="38" t="e">
        <v>#DIV/0!</v>
      </c>
      <c r="AC59" s="38" t="e">
        <v>#DIV/0!</v>
      </c>
      <c r="AD59" s="38" t="e">
        <v>#DIV/0!</v>
      </c>
      <c r="AE59" s="33">
        <v>45444</v>
      </c>
      <c r="AF59" s="33"/>
      <c r="AG59" s="33"/>
      <c r="AH59" s="33"/>
      <c r="AI59" s="33"/>
      <c r="AJ59" s="42"/>
      <c r="AK59" s="37"/>
      <c r="AL59" s="37"/>
      <c r="AM59" s="37"/>
      <c r="AN59" s="37"/>
      <c r="AO59" s="43"/>
      <c r="AP59" s="35"/>
      <c r="AQ59" s="35"/>
      <c r="AR59" s="44"/>
      <c r="AS59" s="37"/>
    </row>
    <row r="60" spans="1:45" ht="48" customHeight="1" x14ac:dyDescent="0.25">
      <c r="A60" s="32" t="s">
        <v>3301</v>
      </c>
      <c r="B60" s="56">
        <v>45392</v>
      </c>
      <c r="C60" s="35">
        <v>1688</v>
      </c>
      <c r="D60" s="36"/>
      <c r="E60" s="37"/>
      <c r="F60" s="33"/>
      <c r="G60" s="35"/>
      <c r="H60" s="37"/>
      <c r="I60" s="58" t="s">
        <v>3302</v>
      </c>
      <c r="J60" s="57">
        <v>4244510.4000000004</v>
      </c>
      <c r="K60" s="40">
        <v>100</v>
      </c>
      <c r="L60" s="41">
        <v>4244510.4000000004</v>
      </c>
      <c r="M60" s="38"/>
      <c r="N60" s="41">
        <v>4244510.4000000004</v>
      </c>
      <c r="O60" s="38">
        <v>0</v>
      </c>
      <c r="P60" s="27">
        <v>0</v>
      </c>
      <c r="Q60" s="27">
        <v>0</v>
      </c>
      <c r="R60" s="27" t="e">
        <v>#DIV/0!</v>
      </c>
      <c r="S60" s="38" t="e">
        <v>#DIV/0!</v>
      </c>
      <c r="T60" s="38" t="e">
        <v>#DIV/0!</v>
      </c>
      <c r="U60" s="38">
        <v>0</v>
      </c>
      <c r="V60" s="38">
        <v>0</v>
      </c>
      <c r="W60" s="38">
        <v>0</v>
      </c>
      <c r="X60" s="38">
        <v>0</v>
      </c>
      <c r="Y60" s="38"/>
      <c r="Z60" s="38" t="e">
        <v>#DIV/0!</v>
      </c>
      <c r="AA60" s="38"/>
      <c r="AB60" s="38" t="e">
        <v>#DIV/0!</v>
      </c>
      <c r="AC60" s="38" t="e">
        <v>#DIV/0!</v>
      </c>
      <c r="AD60" s="38" t="e">
        <v>#DIV/0!</v>
      </c>
      <c r="AE60" s="33">
        <v>45458</v>
      </c>
      <c r="AF60" s="33"/>
      <c r="AG60" s="33"/>
      <c r="AH60" s="33"/>
      <c r="AI60" s="33"/>
      <c r="AJ60" s="42"/>
      <c r="AK60" s="37"/>
      <c r="AL60" s="37"/>
      <c r="AM60" s="37"/>
      <c r="AN60" s="37"/>
      <c r="AO60" s="43"/>
      <c r="AP60" s="35"/>
      <c r="AQ60" s="35"/>
      <c r="AR60" s="44"/>
      <c r="AS60" s="37"/>
    </row>
  </sheetData>
  <autoFilter ref="A2:AS44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21" r:id="rId1" xr:uid="{1F81E645-A64B-4063-B52B-F51A77EE45E2}"/>
    <hyperlink ref="E22" r:id="rId2" xr:uid="{47413376-7F15-4104-BB7E-21D59D281535}"/>
    <hyperlink ref="E23" r:id="rId3" xr:uid="{834C6C73-140A-4680-9C6F-98BC7DA4CAFB}"/>
    <hyperlink ref="E24" r:id="rId4" xr:uid="{E368AEBA-4709-4F83-BC63-8B870AD79524}"/>
    <hyperlink ref="E25" r:id="rId5" xr:uid="{4BDD9BF3-E715-4FFB-97F4-1C7F5A723717}"/>
    <hyperlink ref="E26" r:id="rId6" xr:uid="{B223B5CE-B816-4DE1-80F6-2577F2EDA3BB}"/>
    <hyperlink ref="E27" r:id="rId7" xr:uid="{FF36E878-8B73-4DC7-9A92-DA3C887674C9}"/>
    <hyperlink ref="E28" r:id="rId8" xr:uid="{8AA4D615-3CE2-4097-9EB4-BEAB3ECC2A12}"/>
    <hyperlink ref="E29" r:id="rId9" xr:uid="{857968EA-61D5-4230-89D5-FE3BD31B1478}"/>
    <hyperlink ref="E30" r:id="rId10" xr:uid="{87A50089-1890-4C9E-B786-0A50DA6D89B1}"/>
    <hyperlink ref="E31" r:id="rId11" xr:uid="{D6D84B23-EAD4-4C67-B328-2E15ED498561}"/>
    <hyperlink ref="E32" r:id="rId12" xr:uid="{3BF2C8DA-704E-4EB9-A1D1-4501D1CB64DF}"/>
    <hyperlink ref="E33" r:id="rId13" xr:uid="{5F26BD79-2C4D-4C94-B9D2-3FE45F5A62FF}"/>
    <hyperlink ref="E34" r:id="rId14" xr:uid="{7C7FD91B-1E59-4E20-B509-14C4E6561EFD}"/>
    <hyperlink ref="E35" r:id="rId15" xr:uid="{AE7E5554-CCFF-41DD-A31E-41FD2B4808F4}"/>
    <hyperlink ref="E36" r:id="rId16" xr:uid="{05F23AC7-F279-45D3-865D-4C7198571B13}"/>
    <hyperlink ref="E37" r:id="rId17" xr:uid="{F43A1B3C-BC2E-423D-A3D9-7EBF21FB224E}"/>
    <hyperlink ref="E38" r:id="rId18" xr:uid="{85C986BF-AA5E-45D4-813D-988FE34A7BB5}"/>
    <hyperlink ref="E39" r:id="rId19" xr:uid="{A6FE0E35-A21F-4F57-A3FC-C69FCAE93143}"/>
    <hyperlink ref="E40" r:id="rId20" xr:uid="{DEB04FF6-006E-460D-8E66-AF77029A4CE0}"/>
    <hyperlink ref="E41" r:id="rId21" xr:uid="{CB73D03E-BAAE-442F-BF7D-B55CE36ECA31}"/>
    <hyperlink ref="E42" r:id="rId22" xr:uid="{E68BD746-6301-41D4-9B39-FFFF8216CAB6}"/>
    <hyperlink ref="E43" r:id="rId23" xr:uid="{EE48516F-6798-4AE6-BF14-E2CCFD72D623}"/>
    <hyperlink ref="E44" r:id="rId24" xr:uid="{559D0EC2-0F07-4CC9-9903-B8157DA7BA56}"/>
    <hyperlink ref="E45" r:id="rId25" xr:uid="{5DC57420-0B34-439A-A344-AA9B9A2BFFA3}"/>
    <hyperlink ref="E46" r:id="rId26" xr:uid="{768B672F-596E-4C3E-B493-23060753B3F1}"/>
    <hyperlink ref="E47" r:id="rId27" xr:uid="{C3BC6ACB-ADC8-463F-89BD-A3940C749D39}"/>
    <hyperlink ref="E48" r:id="rId28" xr:uid="{C2B5FBDB-1608-444A-A325-A1F59FC2A480}"/>
    <hyperlink ref="E49" r:id="rId29" xr:uid="{2A31E5DF-1C7B-4F6B-9D8B-205CFCD0BBB0}"/>
    <hyperlink ref="E50" r:id="rId30" xr:uid="{C0D9D7BA-6E36-4881-863A-5BEC1E387099}"/>
    <hyperlink ref="E51" r:id="rId31" xr:uid="{E6CFF21D-B7FB-44F6-887E-5FF5C7A6DD24}"/>
    <hyperlink ref="E52" r:id="rId32" xr:uid="{E1743C43-7DF3-42B3-B972-C73249B97B1E}"/>
    <hyperlink ref="E53" r:id="rId33" xr:uid="{4232EE9C-7167-4AAE-BA38-30695C9640E3}"/>
    <hyperlink ref="E54" r:id="rId34" xr:uid="{9B28599E-EAC3-4142-9412-2EF898260F92}"/>
    <hyperlink ref="E55" r:id="rId35" xr:uid="{905F8DB6-F0C7-47D3-872A-72C48B0CA9A3}"/>
    <hyperlink ref="E56" r:id="rId36" xr:uid="{3FCED750-7E80-4F89-90F5-6D2AF7C44E48}"/>
    <hyperlink ref="E57" r:id="rId37" xr:uid="{E9053429-D534-4860-ACF3-9ECB7AAD1AB9}"/>
    <hyperlink ref="E58" r:id="rId38" xr:uid="{ACF9252F-DC13-49C0-9FF8-74715F04CA33}"/>
    <hyperlink ref="E59" r:id="rId39" xr:uid="{0D6683C9-6715-4EF8-8E4D-91A000078FC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8E6B-0BEC-45B3-B52B-541C04E9A16A}">
  <dimension ref="A1:AS137"/>
  <sheetViews>
    <sheetView zoomScale="77" zoomScaleNormal="77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7" sqref="A7"/>
    </sheetView>
  </sheetViews>
  <sheetFormatPr defaultColWidth="9.140625" defaultRowHeight="15.75" x14ac:dyDescent="0.25"/>
  <cols>
    <col min="1" max="1" width="23.85546875" style="18" customWidth="1"/>
    <col min="2" max="2" width="15.140625" style="71" customWidth="1"/>
    <col min="3" max="3" width="15.42578125" style="18" customWidth="1"/>
    <col min="4" max="4" width="15.7109375" style="18" customWidth="1"/>
    <col min="5" max="5" width="17.5703125" style="18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8" customWidth="1"/>
    <col min="10" max="10" width="22.140625" style="51" customWidth="1"/>
    <col min="11" max="11" width="19.140625" style="51" customWidth="1"/>
    <col min="12" max="12" width="21.28515625" style="18" customWidth="1"/>
    <col min="13" max="13" width="21.7109375" style="18" customWidth="1"/>
    <col min="14" max="14" width="19.5703125" style="18" customWidth="1"/>
    <col min="15" max="15" width="21.42578125" style="18" customWidth="1"/>
    <col min="16" max="16" width="23.5703125" style="18" customWidth="1"/>
    <col min="17" max="17" width="19.85546875" style="18" customWidth="1"/>
    <col min="18" max="18" width="15" style="18" customWidth="1"/>
    <col min="19" max="20" width="14.5703125" style="18" customWidth="1"/>
    <col min="21" max="21" width="20.140625" style="18" customWidth="1"/>
    <col min="22" max="22" width="17.5703125" style="73" customWidth="1"/>
    <col min="23" max="23" width="15.5703125" style="18" customWidth="1"/>
    <col min="24" max="24" width="15.5703125" style="72" customWidth="1"/>
    <col min="25" max="25" width="17.42578125" style="18" customWidth="1"/>
    <col min="26" max="28" width="17" style="18" customWidth="1"/>
    <col min="29" max="29" width="20.85546875" style="18" customWidth="1"/>
    <col min="30" max="30" width="16.42578125" style="18" customWidth="1"/>
    <col min="31" max="31" width="13.7109375" style="18" customWidth="1"/>
    <col min="32" max="32" width="14" style="18" customWidth="1"/>
    <col min="33" max="33" width="13.5703125" style="51" customWidth="1"/>
    <col min="34" max="34" width="14.85546875" style="51" customWidth="1"/>
    <col min="35" max="35" width="15.42578125" style="18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8" customWidth="1"/>
    <col min="42" max="42" width="14.7109375" style="52" customWidth="1"/>
    <col min="43" max="43" width="12.5703125" style="18" customWidth="1"/>
    <col min="44" max="44" width="13.85546875" style="72" customWidth="1"/>
    <col min="45" max="45" width="17.140625" style="18" customWidth="1"/>
    <col min="46" max="16384" width="9.140625" style="18"/>
  </cols>
  <sheetData>
    <row r="1" spans="1:45" ht="63.75" customHeight="1" x14ac:dyDescent="0.25">
      <c r="A1" s="2" t="s">
        <v>0</v>
      </c>
      <c r="B1" s="3" t="s">
        <v>1</v>
      </c>
      <c r="C1" s="6" t="s">
        <v>2</v>
      </c>
      <c r="D1" s="7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9" t="s">
        <v>15</v>
      </c>
      <c r="Q1" s="8" t="s">
        <v>16</v>
      </c>
      <c r="R1" s="9" t="s">
        <v>17</v>
      </c>
      <c r="S1" s="9" t="s">
        <v>18</v>
      </c>
      <c r="T1" s="3" t="s">
        <v>19</v>
      </c>
      <c r="U1" s="10" t="s">
        <v>20</v>
      </c>
      <c r="V1" s="11"/>
      <c r="W1" s="11"/>
      <c r="X1" s="11"/>
      <c r="Y1" s="11"/>
      <c r="Z1" s="11"/>
      <c r="AA1" s="11"/>
      <c r="AB1" s="11"/>
      <c r="AC1" s="11"/>
      <c r="AD1" s="12"/>
      <c r="AE1" s="13" t="s">
        <v>21</v>
      </c>
      <c r="AF1" s="14"/>
      <c r="AG1" s="15"/>
      <c r="AH1" s="13" t="s">
        <v>22</v>
      </c>
      <c r="AI1" s="14"/>
      <c r="AJ1" s="15"/>
      <c r="AK1" s="16" t="s">
        <v>23</v>
      </c>
      <c r="AL1" s="16" t="s">
        <v>24</v>
      </c>
      <c r="AM1" s="16" t="s">
        <v>25</v>
      </c>
      <c r="AN1" s="16" t="s">
        <v>26</v>
      </c>
      <c r="AO1" s="8" t="s">
        <v>27</v>
      </c>
      <c r="AP1" s="8" t="s">
        <v>28</v>
      </c>
      <c r="AQ1" s="9" t="s">
        <v>29</v>
      </c>
      <c r="AR1" s="17" t="s">
        <v>30</v>
      </c>
      <c r="AS1" s="16" t="s">
        <v>31</v>
      </c>
    </row>
    <row r="2" spans="1:45" ht="45" customHeight="1" x14ac:dyDescent="0.25">
      <c r="A2" s="19"/>
      <c r="B2" s="20"/>
      <c r="C2" s="23"/>
      <c r="D2" s="24"/>
      <c r="E2" s="22"/>
      <c r="F2" s="21"/>
      <c r="G2" s="22"/>
      <c r="H2" s="22"/>
      <c r="I2" s="25"/>
      <c r="J2" s="26"/>
      <c r="K2" s="26"/>
      <c r="L2" s="26"/>
      <c r="M2" s="25"/>
      <c r="N2" s="25"/>
      <c r="O2" s="25"/>
      <c r="P2" s="25"/>
      <c r="Q2" s="25"/>
      <c r="R2" s="26"/>
      <c r="S2" s="26"/>
      <c r="T2" s="20"/>
      <c r="U2" s="27" t="s">
        <v>32</v>
      </c>
      <c r="V2" s="27" t="s">
        <v>33</v>
      </c>
      <c r="W2" s="27" t="s">
        <v>34</v>
      </c>
      <c r="X2" s="27" t="s">
        <v>35</v>
      </c>
      <c r="Y2" s="27" t="s">
        <v>36</v>
      </c>
      <c r="Z2" s="27" t="s">
        <v>37</v>
      </c>
      <c r="AA2" s="27" t="s">
        <v>38</v>
      </c>
      <c r="AB2" s="27" t="s">
        <v>39</v>
      </c>
      <c r="AC2" s="27" t="s">
        <v>40</v>
      </c>
      <c r="AD2" s="27" t="s">
        <v>41</v>
      </c>
      <c r="AE2" s="28" t="s">
        <v>33</v>
      </c>
      <c r="AF2" s="28" t="s">
        <v>34</v>
      </c>
      <c r="AG2" s="28" t="s">
        <v>35</v>
      </c>
      <c r="AH2" s="28" t="s">
        <v>33</v>
      </c>
      <c r="AI2" s="28" t="s">
        <v>34</v>
      </c>
      <c r="AJ2" s="28" t="s">
        <v>35</v>
      </c>
      <c r="AK2" s="29"/>
      <c r="AL2" s="29"/>
      <c r="AM2" s="29"/>
      <c r="AN2" s="29"/>
      <c r="AO2" s="25"/>
      <c r="AP2" s="25"/>
      <c r="AQ2" s="26"/>
      <c r="AR2" s="30"/>
      <c r="AS2" s="29"/>
    </row>
    <row r="3" spans="1:45" ht="76.5" customHeight="1" x14ac:dyDescent="0.25">
      <c r="A3" s="46" t="s">
        <v>370</v>
      </c>
      <c r="B3" s="42">
        <v>45167</v>
      </c>
      <c r="C3" s="37">
        <v>545</v>
      </c>
      <c r="D3" s="36" t="s">
        <v>371</v>
      </c>
      <c r="E3" s="1" t="s">
        <v>372</v>
      </c>
      <c r="F3" s="33">
        <v>45196</v>
      </c>
      <c r="G3" s="35" t="s">
        <v>373</v>
      </c>
      <c r="H3" s="37" t="s">
        <v>374</v>
      </c>
      <c r="I3" s="37" t="s">
        <v>375</v>
      </c>
      <c r="J3" s="39">
        <v>1214876062.4000001</v>
      </c>
      <c r="K3" s="40">
        <v>0</v>
      </c>
      <c r="L3" s="41">
        <v>0</v>
      </c>
      <c r="M3" s="38">
        <v>1214876062.4000001</v>
      </c>
      <c r="N3" s="41">
        <v>0</v>
      </c>
      <c r="O3" s="38">
        <v>1214876062.4000001</v>
      </c>
      <c r="P3" s="27">
        <v>1573611177.5999999</v>
      </c>
      <c r="Q3" s="27">
        <v>1573611177.5999999</v>
      </c>
      <c r="R3" s="27">
        <v>10766.359999999999</v>
      </c>
      <c r="S3" s="38">
        <v>10766.359999999999</v>
      </c>
      <c r="T3" s="38">
        <v>1507290.4</v>
      </c>
      <c r="U3" s="38">
        <v>146160</v>
      </c>
      <c r="V3" s="38">
        <v>49980</v>
      </c>
      <c r="W3" s="38">
        <v>96180</v>
      </c>
      <c r="X3" s="38">
        <v>0</v>
      </c>
      <c r="Y3" s="38"/>
      <c r="Z3" s="38">
        <v>0</v>
      </c>
      <c r="AA3" s="38"/>
      <c r="AB3" s="38">
        <v>0</v>
      </c>
      <c r="AC3" s="38">
        <v>1044</v>
      </c>
      <c r="AD3" s="38">
        <v>1044</v>
      </c>
      <c r="AE3" s="33">
        <v>45300</v>
      </c>
      <c r="AF3" s="33">
        <v>45413</v>
      </c>
      <c r="AG3" s="33"/>
      <c r="AH3" s="33">
        <v>45315</v>
      </c>
      <c r="AI3" s="33">
        <v>45444</v>
      </c>
      <c r="AJ3" s="42"/>
      <c r="AK3" s="37" t="s">
        <v>376</v>
      </c>
      <c r="AL3" s="37" t="s">
        <v>377</v>
      </c>
      <c r="AM3" s="37" t="s">
        <v>378</v>
      </c>
      <c r="AN3" s="37" t="s">
        <v>224</v>
      </c>
      <c r="AO3" s="43">
        <v>0</v>
      </c>
      <c r="AP3" s="35">
        <v>100</v>
      </c>
      <c r="AQ3" s="35" t="s">
        <v>379</v>
      </c>
      <c r="AR3" s="44">
        <v>140</v>
      </c>
      <c r="AS3" s="37" t="s">
        <v>380</v>
      </c>
    </row>
    <row r="4" spans="1:45" ht="76.5" customHeight="1" x14ac:dyDescent="0.25">
      <c r="A4" s="46" t="s">
        <v>381</v>
      </c>
      <c r="B4" s="42">
        <v>45160</v>
      </c>
      <c r="C4" s="37">
        <v>545</v>
      </c>
      <c r="D4" s="36" t="s">
        <v>382</v>
      </c>
      <c r="E4" s="1" t="s">
        <v>383</v>
      </c>
      <c r="F4" s="33">
        <v>45190</v>
      </c>
      <c r="G4" s="35" t="s">
        <v>384</v>
      </c>
      <c r="H4" s="37" t="s">
        <v>169</v>
      </c>
      <c r="I4" s="37" t="s">
        <v>385</v>
      </c>
      <c r="J4" s="39">
        <v>1916291597.4000001</v>
      </c>
      <c r="K4" s="40">
        <v>0</v>
      </c>
      <c r="L4" s="41">
        <v>0</v>
      </c>
      <c r="M4" s="38">
        <v>1916291597.4000001</v>
      </c>
      <c r="N4" s="41">
        <v>0</v>
      </c>
      <c r="O4" s="38">
        <v>1916291597.4000001</v>
      </c>
      <c r="P4" s="27">
        <v>2487576463.3499999</v>
      </c>
      <c r="Q4" s="27">
        <v>2487576463.3499999</v>
      </c>
      <c r="R4" s="27">
        <v>18666.39</v>
      </c>
      <c r="S4" s="38">
        <v>18666.39</v>
      </c>
      <c r="T4" s="38">
        <v>93331.95</v>
      </c>
      <c r="U4" s="38">
        <v>133265</v>
      </c>
      <c r="V4" s="38">
        <v>29000</v>
      </c>
      <c r="W4" s="38">
        <v>48500</v>
      </c>
      <c r="X4" s="38">
        <v>55765</v>
      </c>
      <c r="Y4" s="38"/>
      <c r="Z4" s="38">
        <v>0</v>
      </c>
      <c r="AA4" s="38"/>
      <c r="AB4" s="38">
        <v>0</v>
      </c>
      <c r="AC4" s="38">
        <v>26653</v>
      </c>
      <c r="AD4" s="38">
        <v>26653</v>
      </c>
      <c r="AE4" s="33">
        <v>45300</v>
      </c>
      <c r="AF4" s="33">
        <v>45382</v>
      </c>
      <c r="AG4" s="33">
        <v>45535</v>
      </c>
      <c r="AH4" s="33">
        <v>45331</v>
      </c>
      <c r="AI4" s="33">
        <v>45413</v>
      </c>
      <c r="AJ4" s="42">
        <v>45383</v>
      </c>
      <c r="AK4" s="37" t="s">
        <v>386</v>
      </c>
      <c r="AL4" s="37" t="s">
        <v>387</v>
      </c>
      <c r="AM4" s="37" t="s">
        <v>388</v>
      </c>
      <c r="AN4" s="37" t="s">
        <v>174</v>
      </c>
      <c r="AO4" s="43">
        <v>0</v>
      </c>
      <c r="AP4" s="35">
        <v>100</v>
      </c>
      <c r="AQ4" s="35" t="s">
        <v>164</v>
      </c>
      <c r="AR4" s="44">
        <v>5</v>
      </c>
      <c r="AS4" s="37" t="s">
        <v>380</v>
      </c>
    </row>
    <row r="5" spans="1:45" ht="76.5" customHeight="1" x14ac:dyDescent="0.25">
      <c r="A5" s="46" t="s">
        <v>389</v>
      </c>
      <c r="B5" s="42">
        <v>45163</v>
      </c>
      <c r="C5" s="37">
        <v>545</v>
      </c>
      <c r="D5" s="36" t="s">
        <v>390</v>
      </c>
      <c r="E5" s="1" t="s">
        <v>391</v>
      </c>
      <c r="F5" s="33">
        <v>45191</v>
      </c>
      <c r="G5" s="35" t="s">
        <v>392</v>
      </c>
      <c r="H5" s="37" t="s">
        <v>169</v>
      </c>
      <c r="I5" s="37" t="s">
        <v>393</v>
      </c>
      <c r="J5" s="39">
        <v>4843869498</v>
      </c>
      <c r="K5" s="40">
        <v>0</v>
      </c>
      <c r="L5" s="41">
        <v>0</v>
      </c>
      <c r="M5" s="38">
        <v>4843869498</v>
      </c>
      <c r="N5" s="41">
        <v>0</v>
      </c>
      <c r="O5" s="38">
        <v>4843869498</v>
      </c>
      <c r="P5" s="27">
        <v>6296643147.6000004</v>
      </c>
      <c r="Q5" s="27">
        <v>6296643147.6000004</v>
      </c>
      <c r="R5" s="27">
        <v>25813.320000000003</v>
      </c>
      <c r="S5" s="38">
        <v>25813.320000000003</v>
      </c>
      <c r="T5" s="38">
        <v>774399.60000000009</v>
      </c>
      <c r="U5" s="38">
        <v>243930</v>
      </c>
      <c r="V5" s="38">
        <v>45000</v>
      </c>
      <c r="W5" s="38">
        <v>198930</v>
      </c>
      <c r="X5" s="38">
        <v>0</v>
      </c>
      <c r="Y5" s="38"/>
      <c r="Z5" s="38">
        <v>0</v>
      </c>
      <c r="AA5" s="38"/>
      <c r="AB5" s="38">
        <v>0</v>
      </c>
      <c r="AC5" s="38">
        <v>8131</v>
      </c>
      <c r="AD5" s="38">
        <v>8131</v>
      </c>
      <c r="AE5" s="33">
        <v>45300</v>
      </c>
      <c r="AF5" s="33">
        <v>45337</v>
      </c>
      <c r="AG5" s="33"/>
      <c r="AH5" s="33">
        <v>45323</v>
      </c>
      <c r="AI5" s="33">
        <v>45366</v>
      </c>
      <c r="AJ5" s="42"/>
      <c r="AK5" s="37" t="s">
        <v>394</v>
      </c>
      <c r="AL5" s="37" t="s">
        <v>395</v>
      </c>
      <c r="AM5" s="37" t="s">
        <v>396</v>
      </c>
      <c r="AN5" s="37" t="s">
        <v>397</v>
      </c>
      <c r="AO5" s="43">
        <v>0</v>
      </c>
      <c r="AP5" s="35">
        <v>100</v>
      </c>
      <c r="AQ5" s="35" t="s">
        <v>398</v>
      </c>
      <c r="AR5" s="44">
        <v>30</v>
      </c>
      <c r="AS5" s="37" t="s">
        <v>380</v>
      </c>
    </row>
    <row r="6" spans="1:45" ht="126" x14ac:dyDescent="0.25">
      <c r="A6" s="46" t="s">
        <v>399</v>
      </c>
      <c r="B6" s="42">
        <v>45163</v>
      </c>
      <c r="C6" s="37">
        <v>545</v>
      </c>
      <c r="D6" s="36" t="s">
        <v>400</v>
      </c>
      <c r="E6" s="1" t="s">
        <v>401</v>
      </c>
      <c r="F6" s="33">
        <v>45191</v>
      </c>
      <c r="G6" s="35" t="s">
        <v>402</v>
      </c>
      <c r="H6" s="37" t="s">
        <v>219</v>
      </c>
      <c r="I6" s="37" t="s">
        <v>403</v>
      </c>
      <c r="J6" s="39">
        <v>5912667070.5</v>
      </c>
      <c r="K6" s="40">
        <v>0</v>
      </c>
      <c r="L6" s="41">
        <v>0</v>
      </c>
      <c r="M6" s="38">
        <v>5912667070.5</v>
      </c>
      <c r="N6" s="41">
        <v>0</v>
      </c>
      <c r="O6" s="38">
        <v>5912667070.5</v>
      </c>
      <c r="P6" s="27">
        <v>7232381306.5</v>
      </c>
      <c r="Q6" s="27">
        <v>7232381306.5</v>
      </c>
      <c r="R6" s="27">
        <v>868233.05</v>
      </c>
      <c r="S6" s="38">
        <v>868233.05</v>
      </c>
      <c r="T6" s="38">
        <v>4341165.25</v>
      </c>
      <c r="U6" s="38">
        <v>8330</v>
      </c>
      <c r="V6" s="38">
        <v>8330</v>
      </c>
      <c r="W6" s="38">
        <v>0</v>
      </c>
      <c r="X6" s="38">
        <v>0</v>
      </c>
      <c r="Y6" s="38"/>
      <c r="Z6" s="38">
        <v>0</v>
      </c>
      <c r="AA6" s="38"/>
      <c r="AB6" s="38">
        <v>0</v>
      </c>
      <c r="AC6" s="38">
        <v>1666</v>
      </c>
      <c r="AD6" s="38">
        <v>1666</v>
      </c>
      <c r="AE6" s="33">
        <v>45300</v>
      </c>
      <c r="AF6" s="33"/>
      <c r="AG6" s="33"/>
      <c r="AH6" s="33">
        <v>45331</v>
      </c>
      <c r="AI6" s="33"/>
      <c r="AJ6" s="42"/>
      <c r="AK6" s="37" t="s">
        <v>404</v>
      </c>
      <c r="AL6" s="37" t="s">
        <v>405</v>
      </c>
      <c r="AM6" s="37" t="s">
        <v>406</v>
      </c>
      <c r="AN6" s="37" t="s">
        <v>224</v>
      </c>
      <c r="AO6" s="43">
        <v>0</v>
      </c>
      <c r="AP6" s="35">
        <v>100</v>
      </c>
      <c r="AQ6" s="35" t="s">
        <v>164</v>
      </c>
      <c r="AR6" s="44">
        <v>5</v>
      </c>
      <c r="AS6" s="37" t="s">
        <v>176</v>
      </c>
    </row>
    <row r="7" spans="1:45" ht="76.5" customHeight="1" x14ac:dyDescent="0.25">
      <c r="A7" s="46" t="s">
        <v>407</v>
      </c>
      <c r="B7" s="42">
        <v>45163</v>
      </c>
      <c r="C7" s="37">
        <v>545</v>
      </c>
      <c r="D7" s="36" t="s">
        <v>408</v>
      </c>
      <c r="E7" s="1" t="s">
        <v>409</v>
      </c>
      <c r="F7" s="33">
        <v>45191</v>
      </c>
      <c r="G7" s="35" t="s">
        <v>410</v>
      </c>
      <c r="H7" s="37" t="s">
        <v>411</v>
      </c>
      <c r="I7" s="37" t="s">
        <v>412</v>
      </c>
      <c r="J7" s="39">
        <v>6140047413.5</v>
      </c>
      <c r="K7" s="40">
        <v>0</v>
      </c>
      <c r="L7" s="41">
        <v>0</v>
      </c>
      <c r="M7" s="38">
        <v>6140047413.5</v>
      </c>
      <c r="N7" s="41">
        <v>0</v>
      </c>
      <c r="O7" s="38">
        <v>6140047413.5</v>
      </c>
      <c r="P7" s="27">
        <v>7692213028.5</v>
      </c>
      <c r="Q7" s="27">
        <v>7692213028.5</v>
      </c>
      <c r="R7" s="27">
        <v>333082.75</v>
      </c>
      <c r="S7" s="38">
        <v>333082.75</v>
      </c>
      <c r="T7" s="38">
        <v>666165.5</v>
      </c>
      <c r="U7" s="38">
        <v>23094</v>
      </c>
      <c r="V7" s="38">
        <v>23094</v>
      </c>
      <c r="W7" s="38">
        <v>0</v>
      </c>
      <c r="X7" s="38">
        <v>0</v>
      </c>
      <c r="Y7" s="38"/>
      <c r="Z7" s="38">
        <v>0</v>
      </c>
      <c r="AA7" s="38"/>
      <c r="AB7" s="38">
        <v>0</v>
      </c>
      <c r="AC7" s="38">
        <v>11547</v>
      </c>
      <c r="AD7" s="38">
        <v>11547</v>
      </c>
      <c r="AE7" s="33">
        <v>45306</v>
      </c>
      <c r="AF7" s="33"/>
      <c r="AG7" s="33"/>
      <c r="AH7" s="33">
        <v>45337</v>
      </c>
      <c r="AI7" s="33"/>
      <c r="AJ7" s="42"/>
      <c r="AK7" s="37" t="s">
        <v>413</v>
      </c>
      <c r="AL7" s="37" t="s">
        <v>414</v>
      </c>
      <c r="AM7" s="37" t="s">
        <v>415</v>
      </c>
      <c r="AN7" s="37" t="s">
        <v>352</v>
      </c>
      <c r="AO7" s="43">
        <v>0</v>
      </c>
      <c r="AP7" s="35">
        <v>100</v>
      </c>
      <c r="AQ7" s="35" t="s">
        <v>398</v>
      </c>
      <c r="AR7" s="44">
        <v>2</v>
      </c>
      <c r="AS7" s="37" t="s">
        <v>176</v>
      </c>
    </row>
    <row r="8" spans="1:45" ht="76.5" customHeight="1" x14ac:dyDescent="0.25">
      <c r="A8" s="46" t="s">
        <v>416</v>
      </c>
      <c r="B8" s="42">
        <v>45163</v>
      </c>
      <c r="C8" s="37">
        <v>545</v>
      </c>
      <c r="D8" s="36" t="s">
        <v>417</v>
      </c>
      <c r="E8" s="1" t="s">
        <v>418</v>
      </c>
      <c r="F8" s="33">
        <v>45191</v>
      </c>
      <c r="G8" s="35" t="s">
        <v>419</v>
      </c>
      <c r="H8" s="37" t="s">
        <v>169</v>
      </c>
      <c r="I8" s="37" t="s">
        <v>420</v>
      </c>
      <c r="J8" s="39">
        <v>931850515.20000005</v>
      </c>
      <c r="K8" s="40">
        <v>0</v>
      </c>
      <c r="L8" s="41">
        <v>0</v>
      </c>
      <c r="M8" s="38">
        <v>931850515.20000005</v>
      </c>
      <c r="N8" s="41">
        <v>0</v>
      </c>
      <c r="O8" s="38">
        <v>931850515.20000005</v>
      </c>
      <c r="P8" s="27">
        <v>1193006073.5999999</v>
      </c>
      <c r="Q8" s="27">
        <v>1193006073.5999999</v>
      </c>
      <c r="R8" s="27">
        <v>618266</v>
      </c>
      <c r="S8" s="38">
        <v>618266</v>
      </c>
      <c r="T8" s="38">
        <v>5935353.5999999996</v>
      </c>
      <c r="U8" s="38">
        <v>1929.6</v>
      </c>
      <c r="V8" s="38">
        <v>1929.6</v>
      </c>
      <c r="W8" s="38">
        <v>0</v>
      </c>
      <c r="X8" s="38">
        <v>0</v>
      </c>
      <c r="Y8" s="38"/>
      <c r="Z8" s="38">
        <v>0</v>
      </c>
      <c r="AA8" s="38"/>
      <c r="AB8" s="38">
        <v>0</v>
      </c>
      <c r="AC8" s="38">
        <v>201</v>
      </c>
      <c r="AD8" s="38">
        <v>201</v>
      </c>
      <c r="AE8" s="33">
        <v>45322</v>
      </c>
      <c r="AF8" s="33"/>
      <c r="AG8" s="33"/>
      <c r="AH8" s="33">
        <v>45352</v>
      </c>
      <c r="AI8" s="33"/>
      <c r="AJ8" s="42"/>
      <c r="AK8" s="37" t="s">
        <v>421</v>
      </c>
      <c r="AL8" s="37" t="s">
        <v>422</v>
      </c>
      <c r="AM8" s="37" t="s">
        <v>423</v>
      </c>
      <c r="AN8" s="37" t="s">
        <v>143</v>
      </c>
      <c r="AO8" s="43">
        <v>0</v>
      </c>
      <c r="AP8" s="35">
        <v>100</v>
      </c>
      <c r="AQ8" s="35" t="s">
        <v>164</v>
      </c>
      <c r="AR8" s="49">
        <v>9.6</v>
      </c>
      <c r="AS8" s="37" t="s">
        <v>176</v>
      </c>
    </row>
    <row r="9" spans="1:45" ht="86.25" customHeight="1" x14ac:dyDescent="0.25">
      <c r="A9" s="46" t="s">
        <v>424</v>
      </c>
      <c r="B9" s="42">
        <v>45167</v>
      </c>
      <c r="C9" s="37">
        <v>545</v>
      </c>
      <c r="D9" s="36" t="s">
        <v>425</v>
      </c>
      <c r="E9" s="1" t="s">
        <v>426</v>
      </c>
      <c r="F9" s="33">
        <v>45198</v>
      </c>
      <c r="G9" s="35" t="s">
        <v>427</v>
      </c>
      <c r="H9" s="37" t="s">
        <v>169</v>
      </c>
      <c r="I9" s="37" t="s">
        <v>428</v>
      </c>
      <c r="J9" s="39">
        <v>332379801.60000002</v>
      </c>
      <c r="K9" s="40">
        <v>0</v>
      </c>
      <c r="L9" s="41">
        <v>0</v>
      </c>
      <c r="M9" s="38">
        <v>332379801.60000002</v>
      </c>
      <c r="N9" s="41">
        <v>0</v>
      </c>
      <c r="O9" s="38">
        <v>332379801.60000002</v>
      </c>
      <c r="P9" s="27">
        <v>430313136</v>
      </c>
      <c r="Q9" s="27">
        <v>430313136</v>
      </c>
      <c r="R9" s="27">
        <v>247306.4</v>
      </c>
      <c r="S9" s="38">
        <v>247306.4</v>
      </c>
      <c r="T9" s="38">
        <v>2967676.8</v>
      </c>
      <c r="U9" s="38">
        <v>1740</v>
      </c>
      <c r="V9" s="38">
        <v>468</v>
      </c>
      <c r="W9" s="38">
        <v>1272</v>
      </c>
      <c r="X9" s="38">
        <v>0</v>
      </c>
      <c r="Y9" s="38"/>
      <c r="Z9" s="38">
        <v>0</v>
      </c>
      <c r="AA9" s="38"/>
      <c r="AB9" s="38">
        <v>0</v>
      </c>
      <c r="AC9" s="38">
        <v>145</v>
      </c>
      <c r="AD9" s="38">
        <v>145</v>
      </c>
      <c r="AE9" s="33">
        <v>45300</v>
      </c>
      <c r="AF9" s="33">
        <v>45322</v>
      </c>
      <c r="AG9" s="33"/>
      <c r="AH9" s="33">
        <v>45331</v>
      </c>
      <c r="AI9" s="33">
        <v>45352</v>
      </c>
      <c r="AJ9" s="42"/>
      <c r="AK9" s="37" t="s">
        <v>429</v>
      </c>
      <c r="AL9" s="37" t="s">
        <v>430</v>
      </c>
      <c r="AM9" s="37" t="s">
        <v>431</v>
      </c>
      <c r="AN9" s="37" t="s">
        <v>143</v>
      </c>
      <c r="AO9" s="43">
        <v>0</v>
      </c>
      <c r="AP9" s="35">
        <v>100</v>
      </c>
      <c r="AQ9" s="35" t="s">
        <v>164</v>
      </c>
      <c r="AR9" s="52">
        <v>12</v>
      </c>
      <c r="AS9" s="37" t="s">
        <v>176</v>
      </c>
    </row>
    <row r="10" spans="1:45" ht="76.5" customHeight="1" x14ac:dyDescent="0.25">
      <c r="A10" s="46" t="s">
        <v>432</v>
      </c>
      <c r="B10" s="42">
        <v>45166</v>
      </c>
      <c r="C10" s="37">
        <v>545</v>
      </c>
      <c r="D10" s="36" t="s">
        <v>433</v>
      </c>
      <c r="E10" s="1" t="s">
        <v>434</v>
      </c>
      <c r="F10" s="33">
        <v>45201</v>
      </c>
      <c r="G10" s="35" t="s">
        <v>435</v>
      </c>
      <c r="H10" s="37" t="s">
        <v>169</v>
      </c>
      <c r="I10" s="37" t="s">
        <v>436</v>
      </c>
      <c r="J10" s="39">
        <v>689040000</v>
      </c>
      <c r="K10" s="40">
        <v>0</v>
      </c>
      <c r="L10" s="41">
        <v>0</v>
      </c>
      <c r="M10" s="38">
        <v>689040000</v>
      </c>
      <c r="N10" s="41">
        <v>0</v>
      </c>
      <c r="O10" s="38">
        <v>689040000</v>
      </c>
      <c r="P10" s="27">
        <v>895752000</v>
      </c>
      <c r="Q10" s="27">
        <v>895752000</v>
      </c>
      <c r="R10" s="27">
        <v>15950</v>
      </c>
      <c r="S10" s="38">
        <v>15950</v>
      </c>
      <c r="T10" s="38">
        <v>957000</v>
      </c>
      <c r="U10" s="38">
        <v>56160</v>
      </c>
      <c r="V10" s="38">
        <v>56160</v>
      </c>
      <c r="W10" s="38">
        <v>0</v>
      </c>
      <c r="X10" s="38">
        <v>0</v>
      </c>
      <c r="Y10" s="38"/>
      <c r="Z10" s="38">
        <v>0</v>
      </c>
      <c r="AA10" s="38"/>
      <c r="AB10" s="38">
        <v>0</v>
      </c>
      <c r="AC10" s="38">
        <v>936</v>
      </c>
      <c r="AD10" s="38">
        <v>936</v>
      </c>
      <c r="AE10" s="33">
        <v>45322</v>
      </c>
      <c r="AF10" s="33"/>
      <c r="AG10" s="33"/>
      <c r="AH10" s="33">
        <v>45352</v>
      </c>
      <c r="AI10" s="33"/>
      <c r="AJ10" s="42"/>
      <c r="AK10" s="37" t="s">
        <v>437</v>
      </c>
      <c r="AL10" s="37" t="s">
        <v>438</v>
      </c>
      <c r="AM10" s="37" t="s">
        <v>439</v>
      </c>
      <c r="AN10" s="37" t="s">
        <v>440</v>
      </c>
      <c r="AO10" s="43">
        <v>0</v>
      </c>
      <c r="AP10" s="35">
        <v>100</v>
      </c>
      <c r="AQ10" s="35" t="s">
        <v>441</v>
      </c>
      <c r="AR10" s="44">
        <v>60</v>
      </c>
      <c r="AS10" s="37" t="s">
        <v>176</v>
      </c>
    </row>
    <row r="11" spans="1:45" ht="49.5" customHeight="1" x14ac:dyDescent="0.25">
      <c r="A11" s="46" t="s">
        <v>442</v>
      </c>
      <c r="B11" s="42">
        <v>45167</v>
      </c>
      <c r="C11" s="37">
        <v>545</v>
      </c>
      <c r="D11" s="36" t="s">
        <v>443</v>
      </c>
      <c r="E11" s="1" t="s">
        <v>444</v>
      </c>
      <c r="F11" s="33">
        <v>45198</v>
      </c>
      <c r="G11" s="35" t="s">
        <v>445</v>
      </c>
      <c r="H11" s="37" t="s">
        <v>169</v>
      </c>
      <c r="I11" s="37" t="s">
        <v>446</v>
      </c>
      <c r="J11" s="39">
        <v>323280775.83999997</v>
      </c>
      <c r="K11" s="40">
        <v>0</v>
      </c>
      <c r="L11" s="41">
        <v>0</v>
      </c>
      <c r="M11" s="38">
        <v>323280775.83999997</v>
      </c>
      <c r="N11" s="41">
        <v>0</v>
      </c>
      <c r="O11" s="38">
        <v>323280775.83999997</v>
      </c>
      <c r="P11" s="27">
        <v>419765947.36000001</v>
      </c>
      <c r="Q11" s="27">
        <v>419765947.36000001</v>
      </c>
      <c r="R11" s="27">
        <v>554512.48</v>
      </c>
      <c r="S11" s="38">
        <v>554512.48</v>
      </c>
      <c r="T11" s="38">
        <v>554512.48</v>
      </c>
      <c r="U11" s="38">
        <v>757</v>
      </c>
      <c r="V11" s="38">
        <v>757</v>
      </c>
      <c r="W11" s="38">
        <v>0</v>
      </c>
      <c r="X11" s="38">
        <v>0</v>
      </c>
      <c r="Y11" s="38"/>
      <c r="Z11" s="38">
        <v>0</v>
      </c>
      <c r="AA11" s="38"/>
      <c r="AB11" s="38">
        <v>0</v>
      </c>
      <c r="AC11" s="38">
        <v>757</v>
      </c>
      <c r="AD11" s="38">
        <v>757</v>
      </c>
      <c r="AE11" s="33">
        <v>45300</v>
      </c>
      <c r="AF11" s="33"/>
      <c r="AG11" s="33"/>
      <c r="AH11" s="33">
        <v>45331</v>
      </c>
      <c r="AI11" s="33"/>
      <c r="AJ11" s="42"/>
      <c r="AK11" s="37" t="s">
        <v>349</v>
      </c>
      <c r="AL11" s="37" t="s">
        <v>447</v>
      </c>
      <c r="AM11" s="37" t="s">
        <v>351</v>
      </c>
      <c r="AN11" s="37" t="s">
        <v>352</v>
      </c>
      <c r="AO11" s="43">
        <v>0</v>
      </c>
      <c r="AP11" s="35">
        <v>100</v>
      </c>
      <c r="AQ11" s="35" t="s">
        <v>164</v>
      </c>
      <c r="AR11" s="44">
        <v>1</v>
      </c>
      <c r="AS11" s="37" t="s">
        <v>176</v>
      </c>
    </row>
    <row r="12" spans="1:45" ht="53.25" customHeight="1" x14ac:dyDescent="0.25">
      <c r="A12" s="46" t="s">
        <v>448</v>
      </c>
      <c r="B12" s="42">
        <v>45167</v>
      </c>
      <c r="C12" s="37">
        <v>545</v>
      </c>
      <c r="D12" s="36" t="s">
        <v>449</v>
      </c>
      <c r="E12" s="1" t="s">
        <v>450</v>
      </c>
      <c r="F12" s="33">
        <v>45198</v>
      </c>
      <c r="G12" s="35" t="s">
        <v>451</v>
      </c>
      <c r="H12" s="37" t="s">
        <v>169</v>
      </c>
      <c r="I12" s="37" t="s">
        <v>452</v>
      </c>
      <c r="J12" s="39">
        <v>1035540624</v>
      </c>
      <c r="K12" s="40">
        <v>0</v>
      </c>
      <c r="L12" s="41">
        <v>0</v>
      </c>
      <c r="M12" s="38">
        <v>1035540624</v>
      </c>
      <c r="N12" s="41">
        <v>0</v>
      </c>
      <c r="O12" s="38">
        <v>1035540624</v>
      </c>
      <c r="P12" s="27">
        <v>1231300358.4000001</v>
      </c>
      <c r="Q12" s="27">
        <v>1231300358.4000001</v>
      </c>
      <c r="R12" s="27">
        <v>47284.960000000006</v>
      </c>
      <c r="S12" s="38">
        <v>47284.960000000006</v>
      </c>
      <c r="T12" s="38">
        <v>472849.60000000009</v>
      </c>
      <c r="U12" s="38">
        <v>26040</v>
      </c>
      <c r="V12" s="38">
        <v>26040</v>
      </c>
      <c r="W12" s="38">
        <v>0</v>
      </c>
      <c r="X12" s="38">
        <v>0</v>
      </c>
      <c r="Y12" s="38"/>
      <c r="Z12" s="38">
        <v>0</v>
      </c>
      <c r="AA12" s="38"/>
      <c r="AB12" s="38">
        <v>0</v>
      </c>
      <c r="AC12" s="38">
        <v>2604</v>
      </c>
      <c r="AD12" s="38">
        <v>2604</v>
      </c>
      <c r="AE12" s="33">
        <v>45322</v>
      </c>
      <c r="AF12" s="33"/>
      <c r="AG12" s="33"/>
      <c r="AH12" s="33">
        <v>45352</v>
      </c>
      <c r="AI12" s="33"/>
      <c r="AJ12" s="42"/>
      <c r="AK12" s="37" t="s">
        <v>453</v>
      </c>
      <c r="AL12" s="37" t="s">
        <v>454</v>
      </c>
      <c r="AM12" s="37" t="s">
        <v>455</v>
      </c>
      <c r="AN12" s="37" t="s">
        <v>456</v>
      </c>
      <c r="AO12" s="43">
        <v>0</v>
      </c>
      <c r="AP12" s="35">
        <v>100</v>
      </c>
      <c r="AQ12" s="35" t="s">
        <v>164</v>
      </c>
      <c r="AR12" s="44">
        <v>10</v>
      </c>
      <c r="AS12" s="37" t="s">
        <v>176</v>
      </c>
    </row>
    <row r="13" spans="1:45" ht="53.25" customHeight="1" x14ac:dyDescent="0.25">
      <c r="A13" s="46" t="s">
        <v>457</v>
      </c>
      <c r="B13" s="33">
        <v>45170</v>
      </c>
      <c r="C13" s="37">
        <v>545</v>
      </c>
      <c r="D13" s="36" t="s">
        <v>458</v>
      </c>
      <c r="E13" s="1" t="s">
        <v>459</v>
      </c>
      <c r="F13" s="33">
        <v>45203</v>
      </c>
      <c r="G13" s="35" t="s">
        <v>460</v>
      </c>
      <c r="H13" s="37" t="s">
        <v>169</v>
      </c>
      <c r="I13" s="37" t="s">
        <v>461</v>
      </c>
      <c r="J13" s="38">
        <v>1882610400</v>
      </c>
      <c r="K13" s="40">
        <v>0</v>
      </c>
      <c r="L13" s="41">
        <v>0</v>
      </c>
      <c r="M13" s="38">
        <v>1882610400</v>
      </c>
      <c r="N13" s="41">
        <v>0</v>
      </c>
      <c r="O13" s="38">
        <v>1882610400</v>
      </c>
      <c r="P13" s="27">
        <v>2447240400</v>
      </c>
      <c r="Q13" s="27">
        <v>2447240400</v>
      </c>
      <c r="R13" s="27">
        <v>6380</v>
      </c>
      <c r="S13" s="38">
        <v>6380</v>
      </c>
      <c r="T13" s="38">
        <v>382800</v>
      </c>
      <c r="U13" s="38">
        <v>383580</v>
      </c>
      <c r="V13" s="38">
        <v>383580</v>
      </c>
      <c r="W13" s="38">
        <v>0</v>
      </c>
      <c r="X13" s="38">
        <v>0</v>
      </c>
      <c r="Y13" s="38"/>
      <c r="Z13" s="38">
        <v>0</v>
      </c>
      <c r="AA13" s="38"/>
      <c r="AB13" s="38">
        <v>0</v>
      </c>
      <c r="AC13" s="38">
        <v>6393</v>
      </c>
      <c r="AD13" s="38">
        <v>6393</v>
      </c>
      <c r="AE13" s="33">
        <v>45322</v>
      </c>
      <c r="AF13" s="33"/>
      <c r="AG13" s="33"/>
      <c r="AH13" s="33">
        <v>45352</v>
      </c>
      <c r="AI13" s="33"/>
      <c r="AJ13" s="42"/>
      <c r="AK13" s="37" t="s">
        <v>437</v>
      </c>
      <c r="AL13" s="37" t="s">
        <v>462</v>
      </c>
      <c r="AM13" s="37" t="s">
        <v>439</v>
      </c>
      <c r="AN13" s="37" t="s">
        <v>440</v>
      </c>
      <c r="AO13" s="43">
        <v>0</v>
      </c>
      <c r="AP13" s="35">
        <v>100</v>
      </c>
      <c r="AQ13" s="35" t="s">
        <v>441</v>
      </c>
      <c r="AR13" s="44">
        <v>60</v>
      </c>
      <c r="AS13" s="37" t="s">
        <v>176</v>
      </c>
    </row>
    <row r="14" spans="1:45" ht="53.25" customHeight="1" x14ac:dyDescent="0.25">
      <c r="A14" s="46" t="s">
        <v>463</v>
      </c>
      <c r="B14" s="33">
        <v>45170</v>
      </c>
      <c r="C14" s="37">
        <v>545</v>
      </c>
      <c r="D14" s="36" t="s">
        <v>464</v>
      </c>
      <c r="E14" s="1" t="s">
        <v>465</v>
      </c>
      <c r="F14" s="33">
        <v>45202</v>
      </c>
      <c r="G14" s="35" t="s">
        <v>466</v>
      </c>
      <c r="H14" s="37" t="s">
        <v>169</v>
      </c>
      <c r="I14" s="37" t="s">
        <v>467</v>
      </c>
      <c r="J14" s="38">
        <v>789501921.45000005</v>
      </c>
      <c r="K14" s="40">
        <v>0</v>
      </c>
      <c r="L14" s="41">
        <v>0</v>
      </c>
      <c r="M14" s="38">
        <v>789501921.45000005</v>
      </c>
      <c r="N14" s="41">
        <v>0</v>
      </c>
      <c r="O14" s="38">
        <v>789501921.45000005</v>
      </c>
      <c r="P14" s="27">
        <v>1023758254.2</v>
      </c>
      <c r="Q14" s="27">
        <v>1023758254.2</v>
      </c>
      <c r="R14" s="27">
        <v>25813.370000000003</v>
      </c>
      <c r="S14" s="38">
        <v>25813.370000000003</v>
      </c>
      <c r="T14" s="38">
        <v>387200.55000000005</v>
      </c>
      <c r="U14" s="38">
        <v>39660</v>
      </c>
      <c r="V14" s="38">
        <v>25005</v>
      </c>
      <c r="W14" s="38">
        <v>14655</v>
      </c>
      <c r="X14" s="38">
        <v>0</v>
      </c>
      <c r="Y14" s="38"/>
      <c r="Z14" s="38">
        <v>0</v>
      </c>
      <c r="AA14" s="38"/>
      <c r="AB14" s="38">
        <v>0</v>
      </c>
      <c r="AC14" s="38">
        <v>2644</v>
      </c>
      <c r="AD14" s="38">
        <v>2644</v>
      </c>
      <c r="AE14" s="33">
        <v>45300</v>
      </c>
      <c r="AF14" s="33">
        <v>45337</v>
      </c>
      <c r="AG14" s="33"/>
      <c r="AH14" s="33">
        <v>45331</v>
      </c>
      <c r="AI14" s="33">
        <v>45366</v>
      </c>
      <c r="AJ14" s="42"/>
      <c r="AK14" s="37" t="s">
        <v>394</v>
      </c>
      <c r="AL14" s="37" t="s">
        <v>468</v>
      </c>
      <c r="AM14" s="37" t="s">
        <v>469</v>
      </c>
      <c r="AN14" s="37" t="s">
        <v>397</v>
      </c>
      <c r="AO14" s="43">
        <v>0</v>
      </c>
      <c r="AP14" s="35">
        <v>100</v>
      </c>
      <c r="AQ14" s="35" t="s">
        <v>398</v>
      </c>
      <c r="AR14" s="44">
        <v>15</v>
      </c>
      <c r="AS14" s="37" t="s">
        <v>176</v>
      </c>
    </row>
    <row r="15" spans="1:45" ht="53.25" customHeight="1" x14ac:dyDescent="0.25">
      <c r="A15" s="46" t="s">
        <v>470</v>
      </c>
      <c r="B15" s="33">
        <v>45170</v>
      </c>
      <c r="C15" s="37">
        <v>545</v>
      </c>
      <c r="D15" s="36" t="s">
        <v>471</v>
      </c>
      <c r="E15" s="1" t="s">
        <v>472</v>
      </c>
      <c r="F15" s="33">
        <v>45201</v>
      </c>
      <c r="G15" s="35" t="s">
        <v>473</v>
      </c>
      <c r="H15" s="37" t="s">
        <v>169</v>
      </c>
      <c r="I15" s="37" t="s">
        <v>474</v>
      </c>
      <c r="J15" s="38">
        <v>653594528.39999998</v>
      </c>
      <c r="K15" s="40">
        <v>0</v>
      </c>
      <c r="L15" s="41">
        <v>0</v>
      </c>
      <c r="M15" s="38">
        <v>653594528.39999998</v>
      </c>
      <c r="N15" s="41">
        <v>0</v>
      </c>
      <c r="O15" s="38">
        <v>653594528.39999998</v>
      </c>
      <c r="P15" s="27">
        <v>848743605.60000002</v>
      </c>
      <c r="Q15" s="27">
        <v>848743605.60000002</v>
      </c>
      <c r="R15" s="27">
        <v>25813.37</v>
      </c>
      <c r="S15" s="38">
        <v>25813.37</v>
      </c>
      <c r="T15" s="38">
        <v>3097604.4</v>
      </c>
      <c r="U15" s="38">
        <v>32880</v>
      </c>
      <c r="V15" s="38">
        <v>12960</v>
      </c>
      <c r="W15" s="38">
        <v>19920</v>
      </c>
      <c r="X15" s="38">
        <v>0</v>
      </c>
      <c r="Y15" s="38"/>
      <c r="Z15" s="38">
        <v>0</v>
      </c>
      <c r="AA15" s="38"/>
      <c r="AB15" s="38">
        <v>0</v>
      </c>
      <c r="AC15" s="38">
        <v>274</v>
      </c>
      <c r="AD15" s="38">
        <v>274</v>
      </c>
      <c r="AE15" s="33">
        <v>45300</v>
      </c>
      <c r="AF15" s="33">
        <v>45382</v>
      </c>
      <c r="AG15" s="33"/>
      <c r="AH15" s="33">
        <v>45331</v>
      </c>
      <c r="AI15" s="33">
        <v>45413</v>
      </c>
      <c r="AJ15" s="42"/>
      <c r="AK15" s="37" t="s">
        <v>394</v>
      </c>
      <c r="AL15" s="37" t="s">
        <v>475</v>
      </c>
      <c r="AM15" s="37" t="s">
        <v>396</v>
      </c>
      <c r="AN15" s="37" t="s">
        <v>397</v>
      </c>
      <c r="AO15" s="43">
        <v>0</v>
      </c>
      <c r="AP15" s="35">
        <v>100</v>
      </c>
      <c r="AQ15" s="35" t="s">
        <v>398</v>
      </c>
      <c r="AR15" s="44">
        <v>120</v>
      </c>
      <c r="AS15" s="37" t="s">
        <v>176</v>
      </c>
    </row>
    <row r="16" spans="1:45" ht="53.25" customHeight="1" x14ac:dyDescent="0.25">
      <c r="A16" s="46" t="s">
        <v>476</v>
      </c>
      <c r="B16" s="33">
        <v>45173</v>
      </c>
      <c r="C16" s="37">
        <v>545</v>
      </c>
      <c r="D16" s="36" t="s">
        <v>477</v>
      </c>
      <c r="E16" s="1" t="s">
        <v>478</v>
      </c>
      <c r="F16" s="33">
        <v>45194</v>
      </c>
      <c r="G16" s="35" t="s">
        <v>479</v>
      </c>
      <c r="H16" s="37" t="s">
        <v>331</v>
      </c>
      <c r="I16" s="37" t="s">
        <v>480</v>
      </c>
      <c r="J16" s="38">
        <v>21558787.800000001</v>
      </c>
      <c r="K16" s="40">
        <v>0</v>
      </c>
      <c r="L16" s="41">
        <v>0</v>
      </c>
      <c r="M16" s="38">
        <v>21558787.800000001</v>
      </c>
      <c r="N16" s="41">
        <v>0</v>
      </c>
      <c r="O16" s="38">
        <v>21558787.800000001</v>
      </c>
      <c r="P16" s="27">
        <v>27616629</v>
      </c>
      <c r="Q16" s="27">
        <v>27616629</v>
      </c>
      <c r="R16" s="27">
        <v>2969.53</v>
      </c>
      <c r="S16" s="38">
        <v>2969.53</v>
      </c>
      <c r="T16" s="38">
        <v>178171.80000000002</v>
      </c>
      <c r="U16" s="38">
        <v>9300</v>
      </c>
      <c r="V16" s="38">
        <v>9300</v>
      </c>
      <c r="W16" s="38">
        <v>0</v>
      </c>
      <c r="X16" s="38">
        <v>0</v>
      </c>
      <c r="Y16" s="38"/>
      <c r="Z16" s="38">
        <v>0</v>
      </c>
      <c r="AA16" s="38"/>
      <c r="AB16" s="38">
        <v>0</v>
      </c>
      <c r="AC16" s="38">
        <v>155</v>
      </c>
      <c r="AD16" s="38">
        <v>155</v>
      </c>
      <c r="AE16" s="33">
        <v>45300</v>
      </c>
      <c r="AF16" s="33"/>
      <c r="AG16" s="33"/>
      <c r="AH16" s="33">
        <v>45331</v>
      </c>
      <c r="AI16" s="33"/>
      <c r="AJ16" s="42"/>
      <c r="AK16" s="37" t="s">
        <v>481</v>
      </c>
      <c r="AL16" s="37" t="s">
        <v>482</v>
      </c>
      <c r="AM16" s="37" t="s">
        <v>483</v>
      </c>
      <c r="AN16" s="37" t="s">
        <v>174</v>
      </c>
      <c r="AO16" s="43">
        <v>0</v>
      </c>
      <c r="AP16" s="35">
        <v>100</v>
      </c>
      <c r="AQ16" s="35" t="s">
        <v>441</v>
      </c>
      <c r="AR16" s="44">
        <v>60</v>
      </c>
      <c r="AS16" s="37" t="s">
        <v>176</v>
      </c>
    </row>
    <row r="17" spans="1:45" ht="53.25" customHeight="1" x14ac:dyDescent="0.25">
      <c r="A17" s="46" t="s">
        <v>489</v>
      </c>
      <c r="B17" s="33">
        <v>45175</v>
      </c>
      <c r="C17" s="37">
        <v>545</v>
      </c>
      <c r="D17" s="36" t="s">
        <v>490</v>
      </c>
      <c r="E17" s="1" t="s">
        <v>491</v>
      </c>
      <c r="F17" s="33">
        <v>45198</v>
      </c>
      <c r="G17" s="35" t="s">
        <v>492</v>
      </c>
      <c r="H17" s="37" t="s">
        <v>331</v>
      </c>
      <c r="I17" s="37" t="s">
        <v>493</v>
      </c>
      <c r="J17" s="38">
        <v>42364594.799999997</v>
      </c>
      <c r="K17" s="40">
        <v>0</v>
      </c>
      <c r="L17" s="41">
        <v>0</v>
      </c>
      <c r="M17" s="38">
        <v>42364594.799999997</v>
      </c>
      <c r="N17" s="41">
        <v>0</v>
      </c>
      <c r="O17" s="38">
        <v>42364594.799999997</v>
      </c>
      <c r="P17" s="27">
        <v>46004164.799999997</v>
      </c>
      <c r="Q17" s="27">
        <v>46004164.799999997</v>
      </c>
      <c r="R17" s="27">
        <v>2426.3799999999997</v>
      </c>
      <c r="S17" s="38">
        <v>2426.3799999999997</v>
      </c>
      <c r="T17" s="38">
        <v>72791.399999999994</v>
      </c>
      <c r="U17" s="38">
        <v>18960</v>
      </c>
      <c r="V17" s="38">
        <v>18960</v>
      </c>
      <c r="W17" s="38">
        <v>0</v>
      </c>
      <c r="X17" s="38">
        <v>0</v>
      </c>
      <c r="Y17" s="38"/>
      <c r="Z17" s="38">
        <v>0</v>
      </c>
      <c r="AA17" s="38"/>
      <c r="AB17" s="38">
        <v>0</v>
      </c>
      <c r="AC17" s="38">
        <v>632</v>
      </c>
      <c r="AD17" s="38">
        <v>632</v>
      </c>
      <c r="AE17" s="33">
        <v>45300</v>
      </c>
      <c r="AF17" s="33"/>
      <c r="AG17" s="33"/>
      <c r="AH17" s="33">
        <v>45331</v>
      </c>
      <c r="AI17" s="33"/>
      <c r="AJ17" s="42"/>
      <c r="AK17" s="37" t="s">
        <v>494</v>
      </c>
      <c r="AL17" s="37" t="s">
        <v>495</v>
      </c>
      <c r="AM17" s="37" t="s">
        <v>496</v>
      </c>
      <c r="AN17" s="37" t="s">
        <v>352</v>
      </c>
      <c r="AO17" s="43">
        <v>0</v>
      </c>
      <c r="AP17" s="35">
        <v>100</v>
      </c>
      <c r="AQ17" s="35" t="s">
        <v>441</v>
      </c>
      <c r="AR17" s="44">
        <v>30</v>
      </c>
      <c r="AS17" s="37" t="s">
        <v>176</v>
      </c>
    </row>
    <row r="18" spans="1:45" ht="53.25" customHeight="1" x14ac:dyDescent="0.25">
      <c r="A18" s="46" t="s">
        <v>497</v>
      </c>
      <c r="B18" s="33">
        <v>45175</v>
      </c>
      <c r="C18" s="37">
        <v>545</v>
      </c>
      <c r="D18" s="36" t="s">
        <v>498</v>
      </c>
      <c r="E18" s="1" t="s">
        <v>499</v>
      </c>
      <c r="F18" s="33">
        <v>45198</v>
      </c>
      <c r="G18" s="35" t="s">
        <v>500</v>
      </c>
      <c r="H18" s="37" t="s">
        <v>331</v>
      </c>
      <c r="I18" s="37" t="s">
        <v>501</v>
      </c>
      <c r="J18" s="38">
        <v>11592979.199999999</v>
      </c>
      <c r="K18" s="40">
        <v>0</v>
      </c>
      <c r="L18" s="41">
        <v>0</v>
      </c>
      <c r="M18" s="38">
        <v>11592979.199999999</v>
      </c>
      <c r="N18" s="41">
        <v>0</v>
      </c>
      <c r="O18" s="38">
        <v>11592979.199999999</v>
      </c>
      <c r="P18" s="27">
        <v>14491224</v>
      </c>
      <c r="Q18" s="27">
        <v>14491224</v>
      </c>
      <c r="R18" s="27">
        <v>2683.56</v>
      </c>
      <c r="S18" s="38">
        <v>2683.56</v>
      </c>
      <c r="T18" s="38">
        <v>161013.6</v>
      </c>
      <c r="U18" s="38">
        <v>5400</v>
      </c>
      <c r="V18" s="38">
        <v>5400</v>
      </c>
      <c r="W18" s="38">
        <v>0</v>
      </c>
      <c r="X18" s="38">
        <v>0</v>
      </c>
      <c r="Y18" s="38"/>
      <c r="Z18" s="38">
        <v>0</v>
      </c>
      <c r="AA18" s="38"/>
      <c r="AB18" s="38">
        <v>0</v>
      </c>
      <c r="AC18" s="38">
        <v>90</v>
      </c>
      <c r="AD18" s="38">
        <v>90</v>
      </c>
      <c r="AE18" s="33">
        <v>45300</v>
      </c>
      <c r="AF18" s="33"/>
      <c r="AG18" s="33"/>
      <c r="AH18" s="33">
        <v>45331</v>
      </c>
      <c r="AI18" s="33"/>
      <c r="AJ18" s="42"/>
      <c r="AK18" s="37" t="s">
        <v>481</v>
      </c>
      <c r="AL18" s="37" t="s">
        <v>502</v>
      </c>
      <c r="AM18" s="37" t="s">
        <v>483</v>
      </c>
      <c r="AN18" s="37" t="s">
        <v>174</v>
      </c>
      <c r="AO18" s="43">
        <v>0</v>
      </c>
      <c r="AP18" s="35">
        <v>100</v>
      </c>
      <c r="AQ18" s="35" t="s">
        <v>441</v>
      </c>
      <c r="AR18" s="44">
        <v>60</v>
      </c>
      <c r="AS18" s="37" t="s">
        <v>176</v>
      </c>
    </row>
    <row r="19" spans="1:45" ht="43.5" customHeight="1" x14ac:dyDescent="0.25">
      <c r="A19" s="46" t="s">
        <v>512</v>
      </c>
      <c r="B19" s="42">
        <v>45176</v>
      </c>
      <c r="C19" s="37">
        <v>545</v>
      </c>
      <c r="D19" s="36" t="s">
        <v>513</v>
      </c>
      <c r="E19" s="1" t="s">
        <v>514</v>
      </c>
      <c r="F19" s="33">
        <v>45201</v>
      </c>
      <c r="G19" s="35" t="s">
        <v>515</v>
      </c>
      <c r="H19" s="37" t="s">
        <v>331</v>
      </c>
      <c r="I19" s="37" t="s">
        <v>516</v>
      </c>
      <c r="J19" s="39">
        <v>33848512.5</v>
      </c>
      <c r="K19" s="40">
        <v>0</v>
      </c>
      <c r="L19" s="41">
        <v>0</v>
      </c>
      <c r="M19" s="38">
        <v>33848512.5</v>
      </c>
      <c r="N19" s="41">
        <v>0</v>
      </c>
      <c r="O19" s="38">
        <v>33848512.5</v>
      </c>
      <c r="P19" s="27">
        <v>43937553</v>
      </c>
      <c r="Q19" s="27">
        <v>43937553</v>
      </c>
      <c r="R19" s="27">
        <v>1455.85</v>
      </c>
      <c r="S19" s="38">
        <v>1455.85</v>
      </c>
      <c r="T19" s="38">
        <v>43675.5</v>
      </c>
      <c r="U19" s="38">
        <v>30180</v>
      </c>
      <c r="V19" s="38">
        <v>17730</v>
      </c>
      <c r="W19" s="38">
        <v>12450</v>
      </c>
      <c r="X19" s="38">
        <v>0</v>
      </c>
      <c r="Y19" s="38"/>
      <c r="Z19" s="38">
        <v>0</v>
      </c>
      <c r="AA19" s="38"/>
      <c r="AB19" s="38">
        <v>0</v>
      </c>
      <c r="AC19" s="38">
        <v>1006</v>
      </c>
      <c r="AD19" s="38">
        <v>1006</v>
      </c>
      <c r="AE19" s="33">
        <v>45300</v>
      </c>
      <c r="AF19" s="33">
        <v>45443</v>
      </c>
      <c r="AG19" s="33"/>
      <c r="AH19" s="33">
        <v>45331</v>
      </c>
      <c r="AI19" s="33">
        <v>45474</v>
      </c>
      <c r="AJ19" s="42"/>
      <c r="AK19" s="37" t="s">
        <v>494</v>
      </c>
      <c r="AL19" s="37" t="s">
        <v>517</v>
      </c>
      <c r="AM19" s="37" t="s">
        <v>496</v>
      </c>
      <c r="AN19" s="37" t="s">
        <v>352</v>
      </c>
      <c r="AO19" s="43">
        <v>0</v>
      </c>
      <c r="AP19" s="35">
        <v>100</v>
      </c>
      <c r="AQ19" s="35" t="s">
        <v>441</v>
      </c>
      <c r="AR19" s="44">
        <v>30</v>
      </c>
      <c r="AS19" s="37" t="s">
        <v>176</v>
      </c>
    </row>
    <row r="20" spans="1:45" ht="50.25" customHeight="1" x14ac:dyDescent="0.25">
      <c r="A20" s="46" t="s">
        <v>518</v>
      </c>
      <c r="B20" s="42">
        <v>45176</v>
      </c>
      <c r="C20" s="37">
        <v>545</v>
      </c>
      <c r="D20" s="36" t="s">
        <v>519</v>
      </c>
      <c r="E20" s="1" t="s">
        <v>520</v>
      </c>
      <c r="F20" s="33">
        <v>45201</v>
      </c>
      <c r="G20" s="35" t="s">
        <v>521</v>
      </c>
      <c r="H20" s="37" t="s">
        <v>374</v>
      </c>
      <c r="I20" s="37" t="s">
        <v>522</v>
      </c>
      <c r="J20" s="39">
        <v>259547640</v>
      </c>
      <c r="K20" s="40">
        <v>0</v>
      </c>
      <c r="L20" s="41">
        <v>0</v>
      </c>
      <c r="M20" s="38">
        <v>259547640</v>
      </c>
      <c r="N20" s="41">
        <v>0</v>
      </c>
      <c r="O20" s="38">
        <v>259547640</v>
      </c>
      <c r="P20" s="27">
        <v>336682280</v>
      </c>
      <c r="Q20" s="27">
        <v>336682280</v>
      </c>
      <c r="R20" s="27">
        <v>521180</v>
      </c>
      <c r="S20" s="38">
        <v>521180</v>
      </c>
      <c r="T20" s="38">
        <v>1042360</v>
      </c>
      <c r="U20" s="38">
        <v>646</v>
      </c>
      <c r="V20" s="38">
        <v>646</v>
      </c>
      <c r="W20" s="38">
        <v>0</v>
      </c>
      <c r="X20" s="38">
        <v>0</v>
      </c>
      <c r="Y20" s="38"/>
      <c r="Z20" s="38">
        <v>0</v>
      </c>
      <c r="AA20" s="38"/>
      <c r="AB20" s="38">
        <v>0</v>
      </c>
      <c r="AC20" s="38">
        <v>323</v>
      </c>
      <c r="AD20" s="38">
        <v>323</v>
      </c>
      <c r="AE20" s="33">
        <v>45300</v>
      </c>
      <c r="AF20" s="33"/>
      <c r="AG20" s="33"/>
      <c r="AH20" s="33">
        <v>45331</v>
      </c>
      <c r="AI20" s="33"/>
      <c r="AJ20" s="42"/>
      <c r="AK20" s="37" t="s">
        <v>523</v>
      </c>
      <c r="AL20" s="37" t="s">
        <v>524</v>
      </c>
      <c r="AM20" s="37" t="s">
        <v>525</v>
      </c>
      <c r="AN20" s="37" t="s">
        <v>174</v>
      </c>
      <c r="AO20" s="43">
        <v>0</v>
      </c>
      <c r="AP20" s="35">
        <v>100</v>
      </c>
      <c r="AQ20" s="35" t="s">
        <v>164</v>
      </c>
      <c r="AR20" s="44">
        <v>2</v>
      </c>
      <c r="AS20" s="37" t="s">
        <v>176</v>
      </c>
    </row>
    <row r="21" spans="1:45" ht="50.25" customHeight="1" x14ac:dyDescent="0.25">
      <c r="A21" s="46" t="s">
        <v>526</v>
      </c>
      <c r="B21" s="42">
        <v>45176</v>
      </c>
      <c r="C21" s="37">
        <v>545</v>
      </c>
      <c r="D21" s="36" t="s">
        <v>527</v>
      </c>
      <c r="E21" s="1" t="s">
        <v>528</v>
      </c>
      <c r="F21" s="33">
        <v>45201</v>
      </c>
      <c r="G21" s="35" t="s">
        <v>529</v>
      </c>
      <c r="H21" s="37" t="s">
        <v>331</v>
      </c>
      <c r="I21" s="37" t="s">
        <v>530</v>
      </c>
      <c r="J21" s="39">
        <v>294623792.10000002</v>
      </c>
      <c r="K21" s="40">
        <v>0</v>
      </c>
      <c r="L21" s="41">
        <v>0</v>
      </c>
      <c r="M21" s="38">
        <v>294623792.10000002</v>
      </c>
      <c r="N21" s="41">
        <v>0</v>
      </c>
      <c r="O21" s="38">
        <v>294623792.10000002</v>
      </c>
      <c r="P21" s="27">
        <v>344382865.19999999</v>
      </c>
      <c r="Q21" s="27">
        <v>344382865.19999999</v>
      </c>
      <c r="R21" s="27">
        <v>970.53</v>
      </c>
      <c r="S21" s="38">
        <v>970.53</v>
      </c>
      <c r="T21" s="38">
        <v>29115.899999999998</v>
      </c>
      <c r="U21" s="38">
        <v>354840</v>
      </c>
      <c r="V21" s="38">
        <v>254520</v>
      </c>
      <c r="W21" s="38">
        <v>100320</v>
      </c>
      <c r="X21" s="38">
        <v>0</v>
      </c>
      <c r="Y21" s="38"/>
      <c r="Z21" s="38">
        <v>0</v>
      </c>
      <c r="AA21" s="38"/>
      <c r="AB21" s="38">
        <v>0</v>
      </c>
      <c r="AC21" s="38">
        <v>11828</v>
      </c>
      <c r="AD21" s="38">
        <v>11828</v>
      </c>
      <c r="AE21" s="33">
        <v>45300</v>
      </c>
      <c r="AF21" s="33">
        <v>45443</v>
      </c>
      <c r="AG21" s="33"/>
      <c r="AH21" s="33">
        <v>45331</v>
      </c>
      <c r="AI21" s="33">
        <v>45474</v>
      </c>
      <c r="AJ21" s="42"/>
      <c r="AK21" s="37" t="s">
        <v>494</v>
      </c>
      <c r="AL21" s="37" t="s">
        <v>531</v>
      </c>
      <c r="AM21" s="37" t="s">
        <v>496</v>
      </c>
      <c r="AN21" s="37" t="s">
        <v>352</v>
      </c>
      <c r="AO21" s="43">
        <v>0</v>
      </c>
      <c r="AP21" s="35">
        <v>100</v>
      </c>
      <c r="AQ21" s="35" t="s">
        <v>441</v>
      </c>
      <c r="AR21" s="44">
        <v>30</v>
      </c>
      <c r="AS21" s="37" t="s">
        <v>176</v>
      </c>
    </row>
    <row r="22" spans="1:45" ht="50.25" customHeight="1" x14ac:dyDescent="0.25">
      <c r="A22" s="46" t="s">
        <v>532</v>
      </c>
      <c r="B22" s="42">
        <v>45177</v>
      </c>
      <c r="C22" s="37">
        <v>545</v>
      </c>
      <c r="D22" s="36" t="s">
        <v>533</v>
      </c>
      <c r="E22" s="1" t="s">
        <v>534</v>
      </c>
      <c r="F22" s="33">
        <v>45201</v>
      </c>
      <c r="G22" s="35" t="s">
        <v>535</v>
      </c>
      <c r="H22" s="37" t="s">
        <v>536</v>
      </c>
      <c r="I22" s="37" t="s">
        <v>537</v>
      </c>
      <c r="J22" s="39">
        <v>215384400</v>
      </c>
      <c r="K22" s="40">
        <v>0</v>
      </c>
      <c r="L22" s="41">
        <v>0</v>
      </c>
      <c r="M22" s="38">
        <v>215384400</v>
      </c>
      <c r="N22" s="41">
        <v>0</v>
      </c>
      <c r="O22" s="38">
        <v>215384400</v>
      </c>
      <c r="P22" s="27">
        <v>279833400</v>
      </c>
      <c r="Q22" s="27">
        <v>279833400</v>
      </c>
      <c r="R22" s="27">
        <v>6930</v>
      </c>
      <c r="S22" s="38">
        <v>6930</v>
      </c>
      <c r="T22" s="38">
        <v>415800</v>
      </c>
      <c r="U22" s="38">
        <v>40380</v>
      </c>
      <c r="V22" s="38">
        <v>40380</v>
      </c>
      <c r="W22" s="38">
        <v>0</v>
      </c>
      <c r="X22" s="38">
        <v>0</v>
      </c>
      <c r="Y22" s="38"/>
      <c r="Z22" s="38">
        <v>0</v>
      </c>
      <c r="AA22" s="38"/>
      <c r="AB22" s="38">
        <v>0</v>
      </c>
      <c r="AC22" s="38">
        <v>673</v>
      </c>
      <c r="AD22" s="38">
        <v>673</v>
      </c>
      <c r="AE22" s="33">
        <v>45322</v>
      </c>
      <c r="AF22" s="33"/>
      <c r="AG22" s="33"/>
      <c r="AH22" s="33">
        <v>45352</v>
      </c>
      <c r="AI22" s="33"/>
      <c r="AJ22" s="42"/>
      <c r="AK22" s="37" t="s">
        <v>538</v>
      </c>
      <c r="AL22" s="37" t="s">
        <v>539</v>
      </c>
      <c r="AM22" s="37" t="s">
        <v>540</v>
      </c>
      <c r="AN22" s="37" t="s">
        <v>541</v>
      </c>
      <c r="AO22" s="43">
        <v>0</v>
      </c>
      <c r="AP22" s="35">
        <v>100</v>
      </c>
      <c r="AQ22" s="35" t="s">
        <v>441</v>
      </c>
      <c r="AR22" s="44">
        <v>60</v>
      </c>
      <c r="AS22" s="37" t="s">
        <v>176</v>
      </c>
    </row>
    <row r="23" spans="1:45" ht="50.25" customHeight="1" x14ac:dyDescent="0.25">
      <c r="A23" s="46" t="s">
        <v>552</v>
      </c>
      <c r="B23" s="42">
        <v>45182</v>
      </c>
      <c r="C23" s="37">
        <v>545</v>
      </c>
      <c r="D23" s="36" t="s">
        <v>553</v>
      </c>
      <c r="E23" s="1" t="s">
        <v>554</v>
      </c>
      <c r="F23" s="33">
        <v>45202</v>
      </c>
      <c r="G23" s="35" t="s">
        <v>555</v>
      </c>
      <c r="H23" s="37" t="s">
        <v>556</v>
      </c>
      <c r="I23" s="37" t="s">
        <v>557</v>
      </c>
      <c r="J23" s="39">
        <v>242453837.5</v>
      </c>
      <c r="K23" s="40">
        <v>0</v>
      </c>
      <c r="L23" s="41">
        <v>0</v>
      </c>
      <c r="M23" s="38">
        <v>242453837.5</v>
      </c>
      <c r="N23" s="41">
        <v>0</v>
      </c>
      <c r="O23" s="38">
        <v>242453837.5</v>
      </c>
      <c r="P23" s="27">
        <v>315114614.5</v>
      </c>
      <c r="Q23" s="27">
        <v>315114614.5</v>
      </c>
      <c r="R23" s="27">
        <v>1004.99</v>
      </c>
      <c r="S23" s="38">
        <v>1004.99</v>
      </c>
      <c r="T23" s="38">
        <v>50249.5</v>
      </c>
      <c r="U23" s="38">
        <v>313550</v>
      </c>
      <c r="V23" s="38">
        <v>255600</v>
      </c>
      <c r="W23" s="38">
        <v>57950</v>
      </c>
      <c r="X23" s="38">
        <v>0</v>
      </c>
      <c r="Y23" s="38"/>
      <c r="Z23" s="38">
        <v>0</v>
      </c>
      <c r="AA23" s="38"/>
      <c r="AB23" s="38">
        <v>0</v>
      </c>
      <c r="AC23" s="38">
        <v>6271</v>
      </c>
      <c r="AD23" s="38">
        <v>6271</v>
      </c>
      <c r="AE23" s="33">
        <v>45322</v>
      </c>
      <c r="AF23" s="33">
        <v>45412</v>
      </c>
      <c r="AG23" s="33"/>
      <c r="AH23" s="33">
        <v>45352</v>
      </c>
      <c r="AI23" s="33">
        <v>45442</v>
      </c>
      <c r="AJ23" s="42"/>
      <c r="AK23" s="37" t="s">
        <v>558</v>
      </c>
      <c r="AL23" s="37" t="s">
        <v>559</v>
      </c>
      <c r="AM23" s="37" t="s">
        <v>560</v>
      </c>
      <c r="AN23" s="37" t="s">
        <v>143</v>
      </c>
      <c r="AO23" s="43">
        <v>0</v>
      </c>
      <c r="AP23" s="35">
        <v>100</v>
      </c>
      <c r="AQ23" s="35" t="s">
        <v>379</v>
      </c>
      <c r="AR23" s="44">
        <v>50</v>
      </c>
      <c r="AS23" s="37" t="s">
        <v>176</v>
      </c>
    </row>
    <row r="24" spans="1:45" ht="57" customHeight="1" x14ac:dyDescent="0.25">
      <c r="A24" s="46" t="s">
        <v>569</v>
      </c>
      <c r="B24" s="42">
        <v>45211</v>
      </c>
      <c r="C24" s="37">
        <v>545</v>
      </c>
      <c r="D24" s="36" t="s">
        <v>570</v>
      </c>
      <c r="E24" s="1" t="s">
        <v>571</v>
      </c>
      <c r="F24" s="33">
        <v>45230</v>
      </c>
      <c r="G24" s="35" t="s">
        <v>572</v>
      </c>
      <c r="H24" s="37" t="s">
        <v>556</v>
      </c>
      <c r="I24" s="37" t="s">
        <v>573</v>
      </c>
      <c r="J24" s="39">
        <v>7108442.8799999999</v>
      </c>
      <c r="K24" s="40">
        <v>0</v>
      </c>
      <c r="L24" s="41">
        <v>0</v>
      </c>
      <c r="M24" s="38">
        <v>7108442.8799999999</v>
      </c>
      <c r="N24" s="41">
        <v>0</v>
      </c>
      <c r="O24" s="38">
        <v>7108442.8799999999</v>
      </c>
      <c r="P24" s="27">
        <v>7108442.8799999999</v>
      </c>
      <c r="Q24" s="27">
        <v>7108442.8799999999</v>
      </c>
      <c r="R24" s="27">
        <v>31.9</v>
      </c>
      <c r="S24" s="38">
        <v>31.9</v>
      </c>
      <c r="T24" s="38">
        <v>888555.36</v>
      </c>
      <c r="U24" s="38">
        <v>222835.20000000001</v>
      </c>
      <c r="V24" s="38">
        <v>222835.20000000001</v>
      </c>
      <c r="W24" s="38">
        <v>0</v>
      </c>
      <c r="X24" s="38">
        <v>0</v>
      </c>
      <c r="Y24" s="38"/>
      <c r="Z24" s="38">
        <v>0</v>
      </c>
      <c r="AA24" s="38"/>
      <c r="AB24" s="38">
        <v>0</v>
      </c>
      <c r="AC24" s="38">
        <v>8</v>
      </c>
      <c r="AD24" s="38">
        <v>8</v>
      </c>
      <c r="AE24" s="33">
        <v>45300</v>
      </c>
      <c r="AF24" s="33"/>
      <c r="AG24" s="33"/>
      <c r="AH24" s="33">
        <v>45332</v>
      </c>
      <c r="AI24" s="33"/>
      <c r="AJ24" s="42"/>
      <c r="AK24" s="37" t="s">
        <v>574</v>
      </c>
      <c r="AL24" s="37" t="s">
        <v>575</v>
      </c>
      <c r="AM24" s="37" t="s">
        <v>576</v>
      </c>
      <c r="AN24" s="37" t="s">
        <v>577</v>
      </c>
      <c r="AO24" s="43">
        <v>0</v>
      </c>
      <c r="AP24" s="35">
        <v>100</v>
      </c>
      <c r="AQ24" s="35" t="s">
        <v>379</v>
      </c>
      <c r="AR24" s="49">
        <v>27854.400000000001</v>
      </c>
      <c r="AS24" s="37" t="s">
        <v>176</v>
      </c>
    </row>
    <row r="25" spans="1:45" ht="57" customHeight="1" x14ac:dyDescent="0.25">
      <c r="A25" s="46" t="s">
        <v>578</v>
      </c>
      <c r="B25" s="42">
        <v>45211</v>
      </c>
      <c r="C25" s="37">
        <v>545</v>
      </c>
      <c r="D25" s="36" t="s">
        <v>579</v>
      </c>
      <c r="E25" s="1" t="s">
        <v>580</v>
      </c>
      <c r="F25" s="33">
        <v>45230</v>
      </c>
      <c r="G25" s="35" t="s">
        <v>581</v>
      </c>
      <c r="H25" s="37" t="s">
        <v>169</v>
      </c>
      <c r="I25" s="37" t="s">
        <v>582</v>
      </c>
      <c r="J25" s="39">
        <v>17806060.800000001</v>
      </c>
      <c r="K25" s="40">
        <v>0</v>
      </c>
      <c r="L25" s="41">
        <v>0</v>
      </c>
      <c r="M25" s="38">
        <v>17806060.800000001</v>
      </c>
      <c r="N25" s="41">
        <v>0</v>
      </c>
      <c r="O25" s="38">
        <v>17806060.800000001</v>
      </c>
      <c r="P25" s="27">
        <v>17806060.800000001</v>
      </c>
      <c r="Q25" s="27">
        <v>17806060.800000001</v>
      </c>
      <c r="R25" s="27">
        <v>247306.40000000002</v>
      </c>
      <c r="S25" s="38">
        <v>247306.40000000002</v>
      </c>
      <c r="T25" s="38">
        <v>2967676.8000000003</v>
      </c>
      <c r="U25" s="38">
        <v>72</v>
      </c>
      <c r="V25" s="38">
        <v>72</v>
      </c>
      <c r="W25" s="38">
        <v>0</v>
      </c>
      <c r="X25" s="38">
        <v>0</v>
      </c>
      <c r="Y25" s="38"/>
      <c r="Z25" s="38">
        <v>0</v>
      </c>
      <c r="AA25" s="38"/>
      <c r="AB25" s="38">
        <v>0</v>
      </c>
      <c r="AC25" s="38">
        <v>6</v>
      </c>
      <c r="AD25" s="38">
        <v>6</v>
      </c>
      <c r="AE25" s="33">
        <v>45300</v>
      </c>
      <c r="AF25" s="33"/>
      <c r="AG25" s="33"/>
      <c r="AH25" s="33">
        <v>45331</v>
      </c>
      <c r="AI25" s="33"/>
      <c r="AJ25" s="42"/>
      <c r="AK25" s="37" t="s">
        <v>429</v>
      </c>
      <c r="AL25" s="37" t="s">
        <v>430</v>
      </c>
      <c r="AM25" s="37" t="s">
        <v>583</v>
      </c>
      <c r="AN25" s="37" t="s">
        <v>143</v>
      </c>
      <c r="AO25" s="43">
        <v>0</v>
      </c>
      <c r="AP25" s="35">
        <v>100</v>
      </c>
      <c r="AQ25" s="35" t="s">
        <v>164</v>
      </c>
      <c r="AR25" s="44">
        <v>12</v>
      </c>
      <c r="AS25" s="37" t="s">
        <v>176</v>
      </c>
    </row>
    <row r="26" spans="1:45" ht="57" customHeight="1" x14ac:dyDescent="0.25">
      <c r="A26" s="46" t="s">
        <v>591</v>
      </c>
      <c r="B26" s="42">
        <v>45211</v>
      </c>
      <c r="C26" s="37">
        <v>545</v>
      </c>
      <c r="D26" s="36" t="s">
        <v>592</v>
      </c>
      <c r="E26" s="1" t="s">
        <v>593</v>
      </c>
      <c r="F26" s="33">
        <v>45230</v>
      </c>
      <c r="G26" s="35" t="s">
        <v>594</v>
      </c>
      <c r="H26" s="37" t="s">
        <v>169</v>
      </c>
      <c r="I26" s="37" t="s">
        <v>393</v>
      </c>
      <c r="J26" s="39">
        <v>24780777.600000001</v>
      </c>
      <c r="K26" s="40">
        <v>0</v>
      </c>
      <c r="L26" s="41">
        <v>0</v>
      </c>
      <c r="M26" s="39">
        <v>24780777.600000001</v>
      </c>
      <c r="N26" s="41">
        <v>0</v>
      </c>
      <c r="O26" s="38">
        <v>24780777.600000001</v>
      </c>
      <c r="P26" s="27">
        <v>24780777.600000001</v>
      </c>
      <c r="Q26" s="27">
        <v>24780777.600000001</v>
      </c>
      <c r="R26" s="27">
        <v>25813.31</v>
      </c>
      <c r="S26" s="38">
        <v>25813.31</v>
      </c>
      <c r="T26" s="38">
        <v>774399.3</v>
      </c>
      <c r="U26" s="38">
        <v>960</v>
      </c>
      <c r="V26" s="38">
        <v>960</v>
      </c>
      <c r="W26" s="38">
        <v>0</v>
      </c>
      <c r="X26" s="38">
        <v>0</v>
      </c>
      <c r="Y26" s="38"/>
      <c r="Z26" s="38">
        <v>0</v>
      </c>
      <c r="AA26" s="38"/>
      <c r="AB26" s="38">
        <v>0</v>
      </c>
      <c r="AC26" s="38">
        <v>32</v>
      </c>
      <c r="AD26" s="38">
        <v>32</v>
      </c>
      <c r="AE26" s="33">
        <v>45300</v>
      </c>
      <c r="AF26" s="33"/>
      <c r="AG26" s="33"/>
      <c r="AH26" s="33">
        <v>45332</v>
      </c>
      <c r="AI26" s="33"/>
      <c r="AJ26" s="42"/>
      <c r="AK26" s="37" t="s">
        <v>394</v>
      </c>
      <c r="AL26" s="37" t="s">
        <v>395</v>
      </c>
      <c r="AM26" s="37" t="s">
        <v>396</v>
      </c>
      <c r="AN26" s="37" t="s">
        <v>397</v>
      </c>
      <c r="AO26" s="43">
        <v>0</v>
      </c>
      <c r="AP26" s="35">
        <v>100</v>
      </c>
      <c r="AQ26" s="35" t="s">
        <v>398</v>
      </c>
      <c r="AR26" s="44">
        <v>30</v>
      </c>
      <c r="AS26" s="37" t="s">
        <v>176</v>
      </c>
    </row>
    <row r="27" spans="1:45" ht="57" customHeight="1" x14ac:dyDescent="0.25">
      <c r="A27" s="46" t="s">
        <v>595</v>
      </c>
      <c r="B27" s="42">
        <v>45215</v>
      </c>
      <c r="C27" s="37">
        <v>545</v>
      </c>
      <c r="D27" s="36" t="s">
        <v>596</v>
      </c>
      <c r="E27" s="1" t="s">
        <v>597</v>
      </c>
      <c r="F27" s="33">
        <v>45237</v>
      </c>
      <c r="G27" s="35" t="s">
        <v>598</v>
      </c>
      <c r="H27" s="37" t="s">
        <v>169</v>
      </c>
      <c r="I27" s="37" t="s">
        <v>467</v>
      </c>
      <c r="J27" s="39">
        <v>5420807.7000000002</v>
      </c>
      <c r="K27" s="40">
        <v>0</v>
      </c>
      <c r="L27" s="41">
        <v>0</v>
      </c>
      <c r="M27" s="38">
        <v>5420807.7000000002</v>
      </c>
      <c r="N27" s="41">
        <v>0</v>
      </c>
      <c r="O27" s="38">
        <v>5420807.7000000002</v>
      </c>
      <c r="P27" s="27">
        <v>5420807.7000000002</v>
      </c>
      <c r="Q27" s="27">
        <v>5420807.7000000002</v>
      </c>
      <c r="R27" s="27">
        <v>25813.370000000003</v>
      </c>
      <c r="S27" s="38">
        <v>25813.370000000003</v>
      </c>
      <c r="T27" s="38">
        <v>387200.55000000005</v>
      </c>
      <c r="U27" s="38">
        <v>210</v>
      </c>
      <c r="V27" s="38">
        <v>210</v>
      </c>
      <c r="W27" s="38">
        <v>0</v>
      </c>
      <c r="X27" s="38">
        <v>0</v>
      </c>
      <c r="Y27" s="38"/>
      <c r="Z27" s="38">
        <v>0</v>
      </c>
      <c r="AA27" s="38"/>
      <c r="AB27" s="38">
        <v>0</v>
      </c>
      <c r="AC27" s="38">
        <v>14</v>
      </c>
      <c r="AD27" s="38">
        <v>14</v>
      </c>
      <c r="AE27" s="33">
        <v>45300</v>
      </c>
      <c r="AF27" s="33"/>
      <c r="AG27" s="33"/>
      <c r="AH27" s="33">
        <v>45332</v>
      </c>
      <c r="AI27" s="33"/>
      <c r="AJ27" s="42"/>
      <c r="AK27" s="37" t="s">
        <v>394</v>
      </c>
      <c r="AL27" s="37" t="s">
        <v>599</v>
      </c>
      <c r="AM27" s="37" t="s">
        <v>600</v>
      </c>
      <c r="AN27" s="37" t="s">
        <v>397</v>
      </c>
      <c r="AO27" s="43">
        <v>0</v>
      </c>
      <c r="AP27" s="35">
        <v>100</v>
      </c>
      <c r="AQ27" s="35" t="s">
        <v>398</v>
      </c>
      <c r="AR27" s="44">
        <v>15</v>
      </c>
      <c r="AS27" s="37" t="s">
        <v>176</v>
      </c>
    </row>
    <row r="28" spans="1:45" ht="57" customHeight="1" x14ac:dyDescent="0.25">
      <c r="A28" s="46" t="s">
        <v>601</v>
      </c>
      <c r="B28" s="33">
        <v>45215</v>
      </c>
      <c r="C28" s="35">
        <v>545</v>
      </c>
      <c r="D28" s="36" t="s">
        <v>602</v>
      </c>
      <c r="E28" s="1" t="s">
        <v>603</v>
      </c>
      <c r="F28" s="33">
        <v>45237</v>
      </c>
      <c r="G28" s="35" t="s">
        <v>604</v>
      </c>
      <c r="H28" s="37" t="s">
        <v>169</v>
      </c>
      <c r="I28" s="37" t="s">
        <v>420</v>
      </c>
      <c r="J28" s="38">
        <v>17806060.800000001</v>
      </c>
      <c r="K28" s="40">
        <v>0</v>
      </c>
      <c r="L28" s="41">
        <v>17806060.800000001</v>
      </c>
      <c r="M28" s="38">
        <v>17806060.800000001</v>
      </c>
      <c r="N28" s="41">
        <v>0</v>
      </c>
      <c r="O28" s="38">
        <v>17806060.800000001</v>
      </c>
      <c r="P28" s="27">
        <v>17806060.800000001</v>
      </c>
      <c r="Q28" s="27">
        <v>17806060.800000001</v>
      </c>
      <c r="R28" s="27">
        <v>618266</v>
      </c>
      <c r="S28" s="38">
        <v>618266</v>
      </c>
      <c r="T28" s="38">
        <v>5935353.5999999996</v>
      </c>
      <c r="U28" s="38">
        <v>28.8</v>
      </c>
      <c r="V28" s="38">
        <v>28.8</v>
      </c>
      <c r="W28" s="38">
        <v>0</v>
      </c>
      <c r="X28" s="38">
        <v>0</v>
      </c>
      <c r="Y28" s="38"/>
      <c r="Z28" s="38">
        <v>0</v>
      </c>
      <c r="AA28" s="38"/>
      <c r="AB28" s="38">
        <v>0</v>
      </c>
      <c r="AC28" s="38">
        <v>3</v>
      </c>
      <c r="AD28" s="38">
        <v>3</v>
      </c>
      <c r="AE28" s="33">
        <v>45300</v>
      </c>
      <c r="AF28" s="33"/>
      <c r="AG28" s="33"/>
      <c r="AH28" s="33">
        <v>45332</v>
      </c>
      <c r="AI28" s="33"/>
      <c r="AJ28" s="42"/>
      <c r="AK28" s="37" t="s">
        <v>421</v>
      </c>
      <c r="AL28" s="37" t="s">
        <v>605</v>
      </c>
      <c r="AM28" s="37" t="s">
        <v>423</v>
      </c>
      <c r="AN28" s="37" t="s">
        <v>143</v>
      </c>
      <c r="AO28" s="43">
        <v>0</v>
      </c>
      <c r="AP28" s="35">
        <v>100</v>
      </c>
      <c r="AQ28" s="35" t="s">
        <v>164</v>
      </c>
      <c r="AR28" s="49">
        <v>9.6</v>
      </c>
      <c r="AS28" s="37" t="s">
        <v>176</v>
      </c>
    </row>
    <row r="29" spans="1:45" ht="57" customHeight="1" x14ac:dyDescent="0.25">
      <c r="A29" s="46" t="s">
        <v>606</v>
      </c>
      <c r="B29" s="33">
        <v>45217</v>
      </c>
      <c r="C29" s="35">
        <v>545</v>
      </c>
      <c r="D29" s="36" t="s">
        <v>607</v>
      </c>
      <c r="E29" s="1" t="s">
        <v>608</v>
      </c>
      <c r="F29" s="33">
        <v>45237</v>
      </c>
      <c r="G29" s="35" t="s">
        <v>609</v>
      </c>
      <c r="H29" s="37" t="s">
        <v>556</v>
      </c>
      <c r="I29" s="37" t="s">
        <v>557</v>
      </c>
      <c r="J29" s="38">
        <v>2210956</v>
      </c>
      <c r="K29" s="40">
        <v>0</v>
      </c>
      <c r="L29" s="41">
        <v>2210956</v>
      </c>
      <c r="M29" s="38">
        <v>2210956</v>
      </c>
      <c r="N29" s="41">
        <v>0</v>
      </c>
      <c r="O29" s="38">
        <v>2210956</v>
      </c>
      <c r="P29" s="27">
        <v>2210956</v>
      </c>
      <c r="Q29" s="27">
        <v>2210956</v>
      </c>
      <c r="R29" s="27">
        <v>1004.98</v>
      </c>
      <c r="S29" s="38">
        <v>1004.98</v>
      </c>
      <c r="T29" s="38">
        <v>50249</v>
      </c>
      <c r="U29" s="38">
        <v>2200</v>
      </c>
      <c r="V29" s="38">
        <v>2200</v>
      </c>
      <c r="W29" s="38">
        <v>0</v>
      </c>
      <c r="X29" s="38">
        <v>0</v>
      </c>
      <c r="Y29" s="38"/>
      <c r="Z29" s="38">
        <v>0</v>
      </c>
      <c r="AA29" s="38"/>
      <c r="AB29" s="38">
        <v>0</v>
      </c>
      <c r="AC29" s="38">
        <v>44</v>
      </c>
      <c r="AD29" s="38">
        <v>44</v>
      </c>
      <c r="AE29" s="33">
        <v>45300</v>
      </c>
      <c r="AF29" s="33"/>
      <c r="AG29" s="33"/>
      <c r="AH29" s="33">
        <v>45332</v>
      </c>
      <c r="AI29" s="33"/>
      <c r="AJ29" s="42"/>
      <c r="AK29" s="37" t="s">
        <v>610</v>
      </c>
      <c r="AL29" s="37" t="s">
        <v>611</v>
      </c>
      <c r="AM29" s="37" t="s">
        <v>612</v>
      </c>
      <c r="AN29" s="37" t="s">
        <v>143</v>
      </c>
      <c r="AO29" s="43">
        <v>0</v>
      </c>
      <c r="AP29" s="35">
        <v>100</v>
      </c>
      <c r="AQ29" s="35" t="s">
        <v>379</v>
      </c>
      <c r="AR29" s="44">
        <v>50</v>
      </c>
      <c r="AS29" s="37" t="s">
        <v>176</v>
      </c>
    </row>
    <row r="30" spans="1:45" ht="57" customHeight="1" x14ac:dyDescent="0.25">
      <c r="A30" s="46" t="s">
        <v>613</v>
      </c>
      <c r="B30" s="33">
        <v>45217</v>
      </c>
      <c r="C30" s="35">
        <v>545</v>
      </c>
      <c r="D30" s="36" t="s">
        <v>614</v>
      </c>
      <c r="E30" s="1" t="s">
        <v>615</v>
      </c>
      <c r="F30" s="33">
        <v>45237</v>
      </c>
      <c r="G30" s="35" t="s">
        <v>616</v>
      </c>
      <c r="H30" s="37" t="s">
        <v>617</v>
      </c>
      <c r="I30" s="37" t="s">
        <v>618</v>
      </c>
      <c r="J30" s="38">
        <v>3519984.6</v>
      </c>
      <c r="K30" s="40">
        <v>0</v>
      </c>
      <c r="L30" s="41">
        <v>3519984.6</v>
      </c>
      <c r="M30" s="38">
        <v>3519984.6</v>
      </c>
      <c r="N30" s="41">
        <v>0</v>
      </c>
      <c r="O30" s="38">
        <v>3519984.6</v>
      </c>
      <c r="P30" s="27">
        <v>3519984.6</v>
      </c>
      <c r="Q30" s="27">
        <v>3519984.6</v>
      </c>
      <c r="R30" s="27">
        <v>5333.31</v>
      </c>
      <c r="S30" s="38">
        <v>5333.31</v>
      </c>
      <c r="T30" s="38">
        <v>319998.60000000003</v>
      </c>
      <c r="U30" s="38">
        <v>660</v>
      </c>
      <c r="V30" s="38">
        <v>660</v>
      </c>
      <c r="W30" s="38">
        <v>0</v>
      </c>
      <c r="X30" s="38">
        <v>0</v>
      </c>
      <c r="Y30" s="38"/>
      <c r="Z30" s="38">
        <v>0</v>
      </c>
      <c r="AA30" s="38"/>
      <c r="AB30" s="38">
        <v>0</v>
      </c>
      <c r="AC30" s="38">
        <v>11</v>
      </c>
      <c r="AD30" s="38">
        <v>11</v>
      </c>
      <c r="AE30" s="33">
        <v>45300</v>
      </c>
      <c r="AF30" s="33"/>
      <c r="AG30" s="33"/>
      <c r="AH30" s="33">
        <v>45332</v>
      </c>
      <c r="AI30" s="33"/>
      <c r="AJ30" s="42"/>
      <c r="AK30" s="37" t="s">
        <v>619</v>
      </c>
      <c r="AL30" s="37" t="s">
        <v>620</v>
      </c>
      <c r="AM30" s="37" t="s">
        <v>621</v>
      </c>
      <c r="AN30" s="37" t="s">
        <v>50</v>
      </c>
      <c r="AO30" s="43">
        <v>100</v>
      </c>
      <c r="AP30" s="35">
        <v>0</v>
      </c>
      <c r="AQ30" s="35" t="s">
        <v>441</v>
      </c>
      <c r="AR30" s="44">
        <v>60</v>
      </c>
      <c r="AS30" s="37" t="s">
        <v>176</v>
      </c>
    </row>
    <row r="31" spans="1:45" ht="63" customHeight="1" x14ac:dyDescent="0.25">
      <c r="A31" s="46" t="s">
        <v>622</v>
      </c>
      <c r="B31" s="33">
        <v>45219</v>
      </c>
      <c r="C31" s="35">
        <v>545</v>
      </c>
      <c r="D31" s="36" t="s">
        <v>623</v>
      </c>
      <c r="E31" s="1" t="s">
        <v>624</v>
      </c>
      <c r="F31" s="33">
        <v>45240</v>
      </c>
      <c r="G31" s="35" t="s">
        <v>625</v>
      </c>
      <c r="H31" s="37" t="s">
        <v>374</v>
      </c>
      <c r="I31" s="37" t="s">
        <v>375</v>
      </c>
      <c r="J31" s="38">
        <v>18087484.800000001</v>
      </c>
      <c r="K31" s="40">
        <v>0</v>
      </c>
      <c r="L31" s="41">
        <v>18087484.800000001</v>
      </c>
      <c r="M31" s="38">
        <v>18087484.800000001</v>
      </c>
      <c r="N31" s="41">
        <v>0</v>
      </c>
      <c r="O31" s="38">
        <v>18087484.800000001</v>
      </c>
      <c r="P31" s="27">
        <v>18087484.800000001</v>
      </c>
      <c r="Q31" s="27">
        <v>18087484.800000001</v>
      </c>
      <c r="R31" s="27">
        <v>10766.36</v>
      </c>
      <c r="S31" s="38">
        <v>10766.36</v>
      </c>
      <c r="T31" s="38">
        <v>1507290.4000000001</v>
      </c>
      <c r="U31" s="38">
        <v>1680</v>
      </c>
      <c r="V31" s="38">
        <v>1680</v>
      </c>
      <c r="W31" s="38">
        <v>0</v>
      </c>
      <c r="X31" s="38">
        <v>0</v>
      </c>
      <c r="Y31" s="38"/>
      <c r="Z31" s="38">
        <v>0</v>
      </c>
      <c r="AA31" s="38"/>
      <c r="AB31" s="38">
        <v>0</v>
      </c>
      <c r="AC31" s="38">
        <v>12</v>
      </c>
      <c r="AD31" s="38">
        <v>12</v>
      </c>
      <c r="AE31" s="33">
        <v>45300</v>
      </c>
      <c r="AF31" s="33"/>
      <c r="AG31" s="33"/>
      <c r="AH31" s="33">
        <v>45332</v>
      </c>
      <c r="AI31" s="33"/>
      <c r="AJ31" s="42"/>
      <c r="AK31" s="37" t="s">
        <v>376</v>
      </c>
      <c r="AL31" s="37" t="s">
        <v>377</v>
      </c>
      <c r="AM31" s="37" t="s">
        <v>378</v>
      </c>
      <c r="AN31" s="37" t="s">
        <v>224</v>
      </c>
      <c r="AO31" s="43">
        <v>0</v>
      </c>
      <c r="AP31" s="35">
        <v>100</v>
      </c>
      <c r="AQ31" s="35" t="s">
        <v>379</v>
      </c>
      <c r="AR31" s="44">
        <v>140</v>
      </c>
      <c r="AS31" s="37" t="s">
        <v>176</v>
      </c>
    </row>
    <row r="32" spans="1:45" ht="44.25" customHeight="1" x14ac:dyDescent="0.25">
      <c r="A32" s="46" t="s">
        <v>626</v>
      </c>
      <c r="B32" s="33">
        <v>45219</v>
      </c>
      <c r="C32" s="35">
        <v>545</v>
      </c>
      <c r="D32" s="36" t="s">
        <v>627</v>
      </c>
      <c r="E32" s="1" t="s">
        <v>628</v>
      </c>
      <c r="F32" s="33">
        <v>45240</v>
      </c>
      <c r="G32" s="35" t="s">
        <v>629</v>
      </c>
      <c r="H32" s="37" t="s">
        <v>138</v>
      </c>
      <c r="I32" s="37" t="s">
        <v>630</v>
      </c>
      <c r="J32" s="38">
        <v>96768822.079999998</v>
      </c>
      <c r="K32" s="40">
        <v>0</v>
      </c>
      <c r="L32" s="41">
        <v>96768822.079999998</v>
      </c>
      <c r="M32" s="38">
        <v>96768822.079999998</v>
      </c>
      <c r="N32" s="41">
        <v>0</v>
      </c>
      <c r="O32" s="38">
        <v>96768822.079999998</v>
      </c>
      <c r="P32" s="27">
        <v>125663073.48</v>
      </c>
      <c r="Q32" s="27">
        <v>125663073.48</v>
      </c>
      <c r="R32" s="27">
        <v>1281.9100000000001</v>
      </c>
      <c r="S32" s="38">
        <v>1281.9100000000001</v>
      </c>
      <c r="T32" s="38">
        <v>35893.480000000003</v>
      </c>
      <c r="U32" s="38">
        <v>98028</v>
      </c>
      <c r="V32" s="38">
        <v>98028</v>
      </c>
      <c r="W32" s="38">
        <v>0</v>
      </c>
      <c r="X32" s="38">
        <v>0</v>
      </c>
      <c r="Y32" s="38"/>
      <c r="Z32" s="38">
        <v>0</v>
      </c>
      <c r="AA32" s="38"/>
      <c r="AB32" s="38">
        <v>0</v>
      </c>
      <c r="AC32" s="38">
        <v>3501</v>
      </c>
      <c r="AD32" s="38">
        <v>3501</v>
      </c>
      <c r="AE32" s="33">
        <v>45352</v>
      </c>
      <c r="AF32" s="33"/>
      <c r="AG32" s="33"/>
      <c r="AH32" s="33">
        <v>45383</v>
      </c>
      <c r="AI32" s="33"/>
      <c r="AJ32" s="42"/>
      <c r="AK32" s="37" t="s">
        <v>631</v>
      </c>
      <c r="AL32" s="37" t="s">
        <v>632</v>
      </c>
      <c r="AM32" s="37" t="s">
        <v>633</v>
      </c>
      <c r="AN32" s="37" t="s">
        <v>440</v>
      </c>
      <c r="AO32" s="43">
        <v>0</v>
      </c>
      <c r="AP32" s="35">
        <v>100</v>
      </c>
      <c r="AQ32" s="35" t="s">
        <v>441</v>
      </c>
      <c r="AR32" s="44">
        <v>28</v>
      </c>
      <c r="AS32" s="37" t="s">
        <v>176</v>
      </c>
    </row>
    <row r="33" spans="1:45" ht="44.25" customHeight="1" x14ac:dyDescent="0.25">
      <c r="A33" s="46" t="s">
        <v>634</v>
      </c>
      <c r="B33" s="33">
        <v>45222</v>
      </c>
      <c r="C33" s="35">
        <v>545</v>
      </c>
      <c r="D33" s="36" t="s">
        <v>635</v>
      </c>
      <c r="E33" s="1" t="s">
        <v>636</v>
      </c>
      <c r="F33" s="33">
        <v>45243</v>
      </c>
      <c r="G33" s="35" t="s">
        <v>637</v>
      </c>
      <c r="H33" s="37" t="s">
        <v>331</v>
      </c>
      <c r="I33" s="37" t="s">
        <v>638</v>
      </c>
      <c r="J33" s="38">
        <v>21516462</v>
      </c>
      <c r="K33" s="40">
        <v>0</v>
      </c>
      <c r="L33" s="41">
        <v>21516462</v>
      </c>
      <c r="M33" s="38">
        <v>21516462</v>
      </c>
      <c r="N33" s="41">
        <v>0</v>
      </c>
      <c r="O33" s="38">
        <v>21516462</v>
      </c>
      <c r="P33" s="27">
        <v>27076896</v>
      </c>
      <c r="Q33" s="27">
        <v>27076896</v>
      </c>
      <c r="R33" s="27">
        <v>4029.3</v>
      </c>
      <c r="S33" s="38">
        <v>4029.3</v>
      </c>
      <c r="T33" s="38">
        <v>241758</v>
      </c>
      <c r="U33" s="38">
        <v>6720</v>
      </c>
      <c r="V33" s="38">
        <v>6720</v>
      </c>
      <c r="W33" s="38">
        <v>0</v>
      </c>
      <c r="X33" s="38">
        <v>0</v>
      </c>
      <c r="Y33" s="38"/>
      <c r="Z33" s="38">
        <v>0</v>
      </c>
      <c r="AA33" s="38"/>
      <c r="AB33" s="38">
        <v>0</v>
      </c>
      <c r="AC33" s="38">
        <v>112</v>
      </c>
      <c r="AD33" s="38">
        <v>112</v>
      </c>
      <c r="AE33" s="33">
        <v>45306</v>
      </c>
      <c r="AF33" s="33"/>
      <c r="AG33" s="33"/>
      <c r="AH33" s="33">
        <v>45337</v>
      </c>
      <c r="AI33" s="33"/>
      <c r="AJ33" s="42"/>
      <c r="AK33" s="37" t="s">
        <v>639</v>
      </c>
      <c r="AL33" s="37" t="s">
        <v>640</v>
      </c>
      <c r="AM33" s="37" t="s">
        <v>641</v>
      </c>
      <c r="AN33" s="37" t="s">
        <v>174</v>
      </c>
      <c r="AO33" s="43">
        <v>0</v>
      </c>
      <c r="AP33" s="35">
        <v>100</v>
      </c>
      <c r="AQ33" s="35" t="s">
        <v>441</v>
      </c>
      <c r="AR33" s="44">
        <v>60</v>
      </c>
      <c r="AS33" s="37" t="s">
        <v>176</v>
      </c>
    </row>
    <row r="34" spans="1:45" ht="44.25" customHeight="1" x14ac:dyDescent="0.25">
      <c r="A34" s="46" t="s">
        <v>642</v>
      </c>
      <c r="B34" s="33">
        <v>45222</v>
      </c>
      <c r="C34" s="35">
        <v>545</v>
      </c>
      <c r="D34" s="36" t="s">
        <v>485</v>
      </c>
      <c r="E34" s="1" t="s">
        <v>643</v>
      </c>
      <c r="F34" s="33" t="s">
        <v>485</v>
      </c>
      <c r="G34" s="35" t="s">
        <v>485</v>
      </c>
      <c r="H34" s="37" t="s">
        <v>485</v>
      </c>
      <c r="I34" s="37" t="s">
        <v>644</v>
      </c>
      <c r="J34" s="38">
        <v>11962491.300000001</v>
      </c>
      <c r="K34" s="40">
        <v>100</v>
      </c>
      <c r="L34" s="41">
        <v>11962491.300000001</v>
      </c>
      <c r="M34" s="38"/>
      <c r="N34" s="41">
        <v>11962491.300000001</v>
      </c>
      <c r="O34" s="38">
        <v>0</v>
      </c>
      <c r="P34" s="27">
        <v>0</v>
      </c>
      <c r="Q34" s="27">
        <v>0</v>
      </c>
      <c r="R34" s="27" t="e">
        <v>#DIV/0!</v>
      </c>
      <c r="S34" s="38" t="e">
        <v>#DIV/0!</v>
      </c>
      <c r="T34" s="38" t="e">
        <v>#DIV/0!</v>
      </c>
      <c r="U34" s="38">
        <v>0</v>
      </c>
      <c r="V34" s="38">
        <v>0</v>
      </c>
      <c r="W34" s="38">
        <v>0</v>
      </c>
      <c r="X34" s="38">
        <v>0</v>
      </c>
      <c r="Y34" s="38"/>
      <c r="Z34" s="38" t="e">
        <v>#DIV/0!</v>
      </c>
      <c r="AA34" s="38"/>
      <c r="AB34" s="38" t="e">
        <v>#DIV/0!</v>
      </c>
      <c r="AC34" s="38" t="e">
        <v>#DIV/0!</v>
      </c>
      <c r="AD34" s="38" t="e">
        <v>#DIV/0!</v>
      </c>
      <c r="AE34" s="33"/>
      <c r="AF34" s="33"/>
      <c r="AG34" s="33"/>
      <c r="AH34" s="33"/>
      <c r="AI34" s="33"/>
      <c r="AJ34" s="42"/>
      <c r="AK34" s="37"/>
      <c r="AL34" s="37"/>
      <c r="AM34" s="37"/>
      <c r="AN34" s="37"/>
      <c r="AO34" s="43"/>
      <c r="AP34" s="35"/>
      <c r="AQ34" s="35"/>
      <c r="AR34" s="44"/>
      <c r="AS34" s="37" t="s">
        <v>485</v>
      </c>
    </row>
    <row r="35" spans="1:45" ht="44.25" customHeight="1" x14ac:dyDescent="0.25">
      <c r="A35" s="46" t="s">
        <v>645</v>
      </c>
      <c r="B35" s="33">
        <v>45223</v>
      </c>
      <c r="C35" s="35">
        <v>545</v>
      </c>
      <c r="D35" s="36" t="s">
        <v>485</v>
      </c>
      <c r="E35" s="1" t="s">
        <v>646</v>
      </c>
      <c r="F35" s="33" t="s">
        <v>485</v>
      </c>
      <c r="G35" s="35" t="s">
        <v>485</v>
      </c>
      <c r="H35" s="37" t="s">
        <v>485</v>
      </c>
      <c r="I35" s="37" t="s">
        <v>647</v>
      </c>
      <c r="J35" s="38">
        <v>11225026.560000001</v>
      </c>
      <c r="K35" s="40">
        <v>100</v>
      </c>
      <c r="L35" s="41">
        <v>11225026.560000001</v>
      </c>
      <c r="M35" s="38"/>
      <c r="N35" s="41">
        <v>11225026.560000001</v>
      </c>
      <c r="O35" s="38">
        <v>0</v>
      </c>
      <c r="P35" s="27">
        <v>0</v>
      </c>
      <c r="Q35" s="27">
        <v>0</v>
      </c>
      <c r="R35" s="27" t="e">
        <v>#DIV/0!</v>
      </c>
      <c r="S35" s="38" t="e">
        <v>#DIV/0!</v>
      </c>
      <c r="T35" s="38" t="e">
        <v>#DIV/0!</v>
      </c>
      <c r="U35" s="38">
        <v>0</v>
      </c>
      <c r="V35" s="38">
        <v>0</v>
      </c>
      <c r="W35" s="38">
        <v>0</v>
      </c>
      <c r="X35" s="38">
        <v>0</v>
      </c>
      <c r="Y35" s="38"/>
      <c r="Z35" s="38" t="e">
        <v>#DIV/0!</v>
      </c>
      <c r="AA35" s="38"/>
      <c r="AB35" s="38" t="e">
        <v>#DIV/0!</v>
      </c>
      <c r="AC35" s="38" t="e">
        <v>#DIV/0!</v>
      </c>
      <c r="AD35" s="38" t="e">
        <v>#DIV/0!</v>
      </c>
      <c r="AE35" s="33"/>
      <c r="AF35" s="33"/>
      <c r="AG35" s="33"/>
      <c r="AH35" s="33"/>
      <c r="AI35" s="33"/>
      <c r="AJ35" s="42"/>
      <c r="AK35" s="37"/>
      <c r="AL35" s="37"/>
      <c r="AM35" s="37"/>
      <c r="AN35" s="37"/>
      <c r="AO35" s="43"/>
      <c r="AP35" s="35"/>
      <c r="AQ35" s="35"/>
      <c r="AR35" s="44"/>
      <c r="AS35" s="37" t="s">
        <v>485</v>
      </c>
    </row>
    <row r="36" spans="1:45" ht="44.25" customHeight="1" x14ac:dyDescent="0.25">
      <c r="A36" s="46" t="s">
        <v>648</v>
      </c>
      <c r="B36" s="33">
        <v>45225</v>
      </c>
      <c r="C36" s="35">
        <v>545</v>
      </c>
      <c r="D36" s="36" t="s">
        <v>649</v>
      </c>
      <c r="E36" s="1" t="s">
        <v>650</v>
      </c>
      <c r="F36" s="33">
        <v>45254</v>
      </c>
      <c r="G36" s="35" t="s">
        <v>651</v>
      </c>
      <c r="H36" s="37" t="s">
        <v>169</v>
      </c>
      <c r="I36" s="37" t="s">
        <v>652</v>
      </c>
      <c r="J36" s="38">
        <v>12464242.560000001</v>
      </c>
      <c r="K36" s="40">
        <v>0</v>
      </c>
      <c r="L36" s="41">
        <v>12464242.560000001</v>
      </c>
      <c r="M36" s="38">
        <v>12464242.560000001</v>
      </c>
      <c r="N36" s="41">
        <v>0</v>
      </c>
      <c r="O36" s="38">
        <v>12464242.560000001</v>
      </c>
      <c r="P36" s="27">
        <v>12464242.560000001</v>
      </c>
      <c r="Q36" s="27">
        <v>12464242.560000001</v>
      </c>
      <c r="R36" s="27">
        <v>247306.40000000002</v>
      </c>
      <c r="S36" s="38">
        <v>247306.40000000002</v>
      </c>
      <c r="T36" s="38">
        <v>2077373.7600000002</v>
      </c>
      <c r="U36" s="38">
        <v>50.4</v>
      </c>
      <c r="V36" s="38">
        <v>50.4</v>
      </c>
      <c r="W36" s="38">
        <v>0</v>
      </c>
      <c r="X36" s="38">
        <v>0</v>
      </c>
      <c r="Y36" s="38"/>
      <c r="Z36" s="38">
        <v>0</v>
      </c>
      <c r="AA36" s="38"/>
      <c r="AB36" s="38">
        <v>0</v>
      </c>
      <c r="AC36" s="38">
        <v>6</v>
      </c>
      <c r="AD36" s="38">
        <v>6</v>
      </c>
      <c r="AE36" s="33">
        <v>45306</v>
      </c>
      <c r="AF36" s="33">
        <v>45536</v>
      </c>
      <c r="AG36" s="33"/>
      <c r="AH36" s="33">
        <v>45337</v>
      </c>
      <c r="AI36" s="33">
        <v>45200</v>
      </c>
      <c r="AJ36" s="42"/>
      <c r="AK36" s="37" t="s">
        <v>653</v>
      </c>
      <c r="AL36" s="37" t="s">
        <v>654</v>
      </c>
      <c r="AM36" s="37" t="s">
        <v>655</v>
      </c>
      <c r="AN36" s="37" t="s">
        <v>143</v>
      </c>
      <c r="AO36" s="43">
        <v>0</v>
      </c>
      <c r="AP36" s="35">
        <v>100</v>
      </c>
      <c r="AQ36" s="35" t="s">
        <v>164</v>
      </c>
      <c r="AR36" s="44">
        <v>8.4</v>
      </c>
      <c r="AS36" s="37" t="s">
        <v>176</v>
      </c>
    </row>
    <row r="37" spans="1:45" ht="105" x14ac:dyDescent="0.25">
      <c r="A37" s="46" t="s">
        <v>697</v>
      </c>
      <c r="B37" s="42">
        <v>45237</v>
      </c>
      <c r="C37" s="37">
        <v>545</v>
      </c>
      <c r="D37" s="36" t="s">
        <v>698</v>
      </c>
      <c r="E37" s="1" t="s">
        <v>699</v>
      </c>
      <c r="F37" s="33">
        <v>45258</v>
      </c>
      <c r="G37" s="35" t="s">
        <v>700</v>
      </c>
      <c r="H37" s="37" t="s">
        <v>331</v>
      </c>
      <c r="I37" s="37" t="s">
        <v>644</v>
      </c>
      <c r="J37" s="39">
        <v>13158732.6</v>
      </c>
      <c r="K37" s="40">
        <v>0</v>
      </c>
      <c r="L37" s="41">
        <v>0</v>
      </c>
      <c r="M37" s="38">
        <v>13158732.6</v>
      </c>
      <c r="N37" s="41">
        <v>0</v>
      </c>
      <c r="O37" s="38">
        <v>13158732.6</v>
      </c>
      <c r="P37" s="27">
        <v>16788727.800000001</v>
      </c>
      <c r="Q37" s="27">
        <v>16788727.800000001</v>
      </c>
      <c r="R37" s="27">
        <v>5041.66</v>
      </c>
      <c r="S37" s="38">
        <v>5041.66</v>
      </c>
      <c r="T37" s="38">
        <v>453749.39999999997</v>
      </c>
      <c r="U37" s="38">
        <v>3330</v>
      </c>
      <c r="V37" s="38">
        <v>1530</v>
      </c>
      <c r="W37" s="38">
        <v>1800</v>
      </c>
      <c r="X37" s="38">
        <v>0</v>
      </c>
      <c r="Y37" s="38"/>
      <c r="Z37" s="38">
        <v>0</v>
      </c>
      <c r="AA37" s="38"/>
      <c r="AB37" s="38">
        <v>0</v>
      </c>
      <c r="AC37" s="38">
        <v>37</v>
      </c>
      <c r="AD37" s="38">
        <v>37</v>
      </c>
      <c r="AE37" s="33">
        <v>45322</v>
      </c>
      <c r="AF37" s="33">
        <v>45352</v>
      </c>
      <c r="AG37" s="33"/>
      <c r="AH37" s="33">
        <v>45382</v>
      </c>
      <c r="AI37" s="33">
        <v>45383</v>
      </c>
      <c r="AJ37" s="42"/>
      <c r="AK37" s="37" t="s">
        <v>701</v>
      </c>
      <c r="AL37" s="37" t="s">
        <v>702</v>
      </c>
      <c r="AM37" s="37" t="s">
        <v>703</v>
      </c>
      <c r="AN37" s="37" t="s">
        <v>440</v>
      </c>
      <c r="AO37" s="43">
        <v>0</v>
      </c>
      <c r="AP37" s="35">
        <v>100</v>
      </c>
      <c r="AQ37" s="35" t="s">
        <v>441</v>
      </c>
      <c r="AR37" s="44">
        <v>90</v>
      </c>
      <c r="AS37" s="37" t="s">
        <v>176</v>
      </c>
    </row>
    <row r="38" spans="1:45" ht="63" x14ac:dyDescent="0.25">
      <c r="A38" s="46" t="s">
        <v>704</v>
      </c>
      <c r="B38" s="42">
        <v>45239</v>
      </c>
      <c r="C38" s="37">
        <v>545</v>
      </c>
      <c r="D38" s="36" t="s">
        <v>485</v>
      </c>
      <c r="E38" s="37"/>
      <c r="F38" s="33" t="s">
        <v>485</v>
      </c>
      <c r="G38" s="35" t="s">
        <v>485</v>
      </c>
      <c r="H38" s="37" t="s">
        <v>485</v>
      </c>
      <c r="I38" s="37" t="s">
        <v>705</v>
      </c>
      <c r="J38" s="39">
        <v>4595525000</v>
      </c>
      <c r="K38" s="40">
        <v>100</v>
      </c>
      <c r="L38" s="41">
        <v>4595525000</v>
      </c>
      <c r="M38" s="38"/>
      <c r="N38" s="41">
        <v>4595525000</v>
      </c>
      <c r="O38" s="38">
        <v>0</v>
      </c>
      <c r="P38" s="27">
        <v>0</v>
      </c>
      <c r="Q38" s="27">
        <v>0</v>
      </c>
      <c r="R38" s="27" t="e">
        <v>#DIV/0!</v>
      </c>
      <c r="S38" s="38" t="e">
        <v>#DIV/0!</v>
      </c>
      <c r="T38" s="38" t="e">
        <v>#DIV/0!</v>
      </c>
      <c r="U38" s="38">
        <v>0</v>
      </c>
      <c r="V38" s="38">
        <v>0</v>
      </c>
      <c r="W38" s="38">
        <v>0</v>
      </c>
      <c r="X38" s="38">
        <v>0</v>
      </c>
      <c r="Y38" s="38"/>
      <c r="Z38" s="38" t="e">
        <v>#DIV/0!</v>
      </c>
      <c r="AA38" s="38"/>
      <c r="AB38" s="38" t="e">
        <v>#DIV/0!</v>
      </c>
      <c r="AC38" s="38" t="e">
        <v>#DIV/0!</v>
      </c>
      <c r="AD38" s="38" t="e">
        <v>#DIV/0!</v>
      </c>
      <c r="AE38" s="33">
        <v>45657</v>
      </c>
      <c r="AF38" s="33"/>
      <c r="AG38" s="33"/>
      <c r="AH38" s="33"/>
      <c r="AI38" s="33"/>
      <c r="AJ38" s="42"/>
      <c r="AK38" s="37"/>
      <c r="AL38" s="37"/>
      <c r="AM38" s="37"/>
      <c r="AN38" s="37"/>
      <c r="AO38" s="43"/>
      <c r="AP38" s="35"/>
      <c r="AQ38" s="35"/>
      <c r="AR38" s="44"/>
      <c r="AS38" s="37" t="s">
        <v>485</v>
      </c>
    </row>
    <row r="39" spans="1:45" ht="69" customHeight="1" x14ac:dyDescent="0.25">
      <c r="A39" s="46" t="s">
        <v>797</v>
      </c>
      <c r="B39" s="42">
        <v>45252</v>
      </c>
      <c r="C39" s="37">
        <v>545</v>
      </c>
      <c r="D39" s="36" t="s">
        <v>798</v>
      </c>
      <c r="E39" s="1" t="s">
        <v>799</v>
      </c>
      <c r="F39" s="33">
        <v>45272</v>
      </c>
      <c r="G39" s="35" t="s">
        <v>800</v>
      </c>
      <c r="H39" s="37" t="s">
        <v>331</v>
      </c>
      <c r="I39" s="37" t="s">
        <v>801</v>
      </c>
      <c r="J39" s="39">
        <v>236402362.34999999</v>
      </c>
      <c r="K39" s="40">
        <v>0</v>
      </c>
      <c r="L39" s="41">
        <v>0</v>
      </c>
      <c r="M39" s="38">
        <v>236402362.34999999</v>
      </c>
      <c r="N39" s="41">
        <v>0</v>
      </c>
      <c r="O39" s="38">
        <v>236402362.34999999</v>
      </c>
      <c r="P39" s="27">
        <v>236402362.34999999</v>
      </c>
      <c r="Q39" s="27">
        <v>236402362.34999999</v>
      </c>
      <c r="R39" s="27">
        <v>204411.9</v>
      </c>
      <c r="S39" s="38">
        <v>204411.9</v>
      </c>
      <c r="T39" s="38">
        <v>919853.54999999993</v>
      </c>
      <c r="U39" s="38">
        <v>1156.5</v>
      </c>
      <c r="V39" s="38">
        <v>1156.5</v>
      </c>
      <c r="W39" s="38">
        <v>0</v>
      </c>
      <c r="X39" s="38">
        <v>0</v>
      </c>
      <c r="Y39" s="38"/>
      <c r="Z39" s="38">
        <v>0</v>
      </c>
      <c r="AA39" s="38"/>
      <c r="AB39" s="38">
        <v>0</v>
      </c>
      <c r="AC39" s="38">
        <v>257</v>
      </c>
      <c r="AD39" s="38">
        <v>257</v>
      </c>
      <c r="AE39" s="33">
        <v>45322</v>
      </c>
      <c r="AF39" s="33"/>
      <c r="AG39" s="33"/>
      <c r="AH39" s="33">
        <v>45352</v>
      </c>
      <c r="AI39" s="33"/>
      <c r="AJ39" s="42"/>
      <c r="AK39" s="37" t="s">
        <v>802</v>
      </c>
      <c r="AL39" s="37" t="s">
        <v>803</v>
      </c>
      <c r="AM39" s="37" t="s">
        <v>804</v>
      </c>
      <c r="AN39" s="37" t="s">
        <v>224</v>
      </c>
      <c r="AO39" s="43">
        <v>0</v>
      </c>
      <c r="AP39" s="35">
        <v>100</v>
      </c>
      <c r="AQ39" s="35" t="s">
        <v>164</v>
      </c>
      <c r="AR39" s="49">
        <v>4.5</v>
      </c>
      <c r="AS39" s="37" t="s">
        <v>176</v>
      </c>
    </row>
    <row r="40" spans="1:45" ht="66" customHeight="1" x14ac:dyDescent="0.25">
      <c r="A40" s="46" t="s">
        <v>843</v>
      </c>
      <c r="B40" s="42">
        <v>45254</v>
      </c>
      <c r="C40" s="37">
        <v>545</v>
      </c>
      <c r="D40" s="36" t="s">
        <v>844</v>
      </c>
      <c r="E40" s="1" t="s">
        <v>845</v>
      </c>
      <c r="F40" s="33">
        <v>45275</v>
      </c>
      <c r="G40" s="35" t="s">
        <v>846</v>
      </c>
      <c r="H40" s="37" t="s">
        <v>331</v>
      </c>
      <c r="I40" s="37" t="s">
        <v>847</v>
      </c>
      <c r="J40" s="39">
        <v>15491197.199999999</v>
      </c>
      <c r="K40" s="40">
        <v>0</v>
      </c>
      <c r="L40" s="41">
        <v>0</v>
      </c>
      <c r="M40" s="38">
        <v>15491197.199999999</v>
      </c>
      <c r="N40" s="41">
        <v>0</v>
      </c>
      <c r="O40" s="38">
        <v>15491197.199999999</v>
      </c>
      <c r="P40" s="27">
        <v>19634191.800000001</v>
      </c>
      <c r="Q40" s="27">
        <v>19634191.800000001</v>
      </c>
      <c r="R40" s="27">
        <v>3002.17</v>
      </c>
      <c r="S40" s="38">
        <v>3002.17</v>
      </c>
      <c r="T40" s="38">
        <v>180130.2</v>
      </c>
      <c r="U40" s="38">
        <v>6540</v>
      </c>
      <c r="V40" s="38">
        <v>6540</v>
      </c>
      <c r="W40" s="38">
        <v>0</v>
      </c>
      <c r="X40" s="38">
        <v>0</v>
      </c>
      <c r="Y40" s="38"/>
      <c r="Z40" s="38">
        <v>0</v>
      </c>
      <c r="AA40" s="38"/>
      <c r="AB40" s="38">
        <v>0</v>
      </c>
      <c r="AC40" s="38">
        <v>109</v>
      </c>
      <c r="AD40" s="38">
        <v>109</v>
      </c>
      <c r="AE40" s="33">
        <v>45301</v>
      </c>
      <c r="AF40" s="33"/>
      <c r="AG40" s="33"/>
      <c r="AH40" s="33">
        <v>45332</v>
      </c>
      <c r="AI40" s="33"/>
      <c r="AJ40" s="42"/>
      <c r="AK40" s="37" t="s">
        <v>481</v>
      </c>
      <c r="AL40" s="37" t="s">
        <v>502</v>
      </c>
      <c r="AM40" s="37" t="s">
        <v>483</v>
      </c>
      <c r="AN40" s="37" t="s">
        <v>174</v>
      </c>
      <c r="AO40" s="43">
        <v>0</v>
      </c>
      <c r="AP40" s="35">
        <v>100</v>
      </c>
      <c r="AQ40" s="35" t="s">
        <v>441</v>
      </c>
      <c r="AR40" s="44">
        <v>60</v>
      </c>
      <c r="AS40" s="37" t="s">
        <v>176</v>
      </c>
    </row>
    <row r="41" spans="1:45" ht="60.75" customHeight="1" x14ac:dyDescent="0.25">
      <c r="A41" s="46" t="s">
        <v>848</v>
      </c>
      <c r="B41" s="42">
        <v>45258</v>
      </c>
      <c r="C41" s="37">
        <v>545</v>
      </c>
      <c r="D41" s="36" t="s">
        <v>849</v>
      </c>
      <c r="E41" s="1" t="s">
        <v>850</v>
      </c>
      <c r="F41" s="33">
        <v>45278</v>
      </c>
      <c r="G41" s="35" t="s">
        <v>851</v>
      </c>
      <c r="H41" s="37" t="s">
        <v>331</v>
      </c>
      <c r="I41" s="37" t="s">
        <v>480</v>
      </c>
      <c r="J41" s="39">
        <v>9798465.5999999996</v>
      </c>
      <c r="K41" s="40">
        <v>0</v>
      </c>
      <c r="L41" s="41">
        <v>0</v>
      </c>
      <c r="M41" s="38">
        <v>9798465.5999999996</v>
      </c>
      <c r="N41" s="41">
        <v>0</v>
      </c>
      <c r="O41" s="38">
        <v>9798465.5999999996</v>
      </c>
      <c r="P41" s="27">
        <v>9798465.5999999996</v>
      </c>
      <c r="Q41" s="27">
        <v>9798465.5999999996</v>
      </c>
      <c r="R41" s="27">
        <v>2916.21</v>
      </c>
      <c r="S41" s="38">
        <v>2916.21</v>
      </c>
      <c r="T41" s="38">
        <v>174972.6</v>
      </c>
      <c r="U41" s="38">
        <v>3360</v>
      </c>
      <c r="V41" s="38">
        <v>3360</v>
      </c>
      <c r="W41" s="38">
        <v>0</v>
      </c>
      <c r="X41" s="38">
        <v>0</v>
      </c>
      <c r="Y41" s="38"/>
      <c r="Z41" s="38">
        <v>0</v>
      </c>
      <c r="AA41" s="38"/>
      <c r="AB41" s="38">
        <v>0</v>
      </c>
      <c r="AC41" s="38">
        <v>56</v>
      </c>
      <c r="AD41" s="38">
        <v>56</v>
      </c>
      <c r="AE41" s="33">
        <v>45306</v>
      </c>
      <c r="AF41" s="33"/>
      <c r="AG41" s="33"/>
      <c r="AH41" s="33">
        <v>45332</v>
      </c>
      <c r="AI41" s="33"/>
      <c r="AJ41" s="42"/>
      <c r="AK41" s="37" t="s">
        <v>481</v>
      </c>
      <c r="AL41" s="37" t="s">
        <v>482</v>
      </c>
      <c r="AM41" s="37" t="s">
        <v>483</v>
      </c>
      <c r="AN41" s="37" t="s">
        <v>174</v>
      </c>
      <c r="AO41" s="43">
        <v>0</v>
      </c>
      <c r="AP41" s="35">
        <v>100</v>
      </c>
      <c r="AQ41" s="35" t="s">
        <v>441</v>
      </c>
      <c r="AR41" s="44">
        <v>60</v>
      </c>
      <c r="AS41" s="37" t="s">
        <v>176</v>
      </c>
    </row>
    <row r="42" spans="1:45" ht="42" customHeight="1" x14ac:dyDescent="0.25">
      <c r="A42" s="46" t="s">
        <v>924</v>
      </c>
      <c r="B42" s="42">
        <v>45266</v>
      </c>
      <c r="C42" s="37">
        <v>545</v>
      </c>
      <c r="D42" s="36" t="s">
        <v>925</v>
      </c>
      <c r="E42" s="1" t="s">
        <v>926</v>
      </c>
      <c r="F42" s="33">
        <v>45303</v>
      </c>
      <c r="G42" s="35" t="s">
        <v>927</v>
      </c>
      <c r="H42" s="37" t="s">
        <v>169</v>
      </c>
      <c r="I42" s="37" t="s">
        <v>928</v>
      </c>
      <c r="J42" s="39">
        <v>4675000000</v>
      </c>
      <c r="K42" s="40">
        <v>0</v>
      </c>
      <c r="L42" s="41">
        <v>0</v>
      </c>
      <c r="M42" s="38">
        <v>4675000000</v>
      </c>
      <c r="N42" s="41">
        <v>0</v>
      </c>
      <c r="O42" s="38">
        <v>4675000000</v>
      </c>
      <c r="P42" s="27">
        <v>4675000000</v>
      </c>
      <c r="Q42" s="27">
        <v>4675000000</v>
      </c>
      <c r="R42" s="27">
        <v>93500000</v>
      </c>
      <c r="S42" s="38">
        <v>93500000</v>
      </c>
      <c r="T42" s="38">
        <v>93500000</v>
      </c>
      <c r="U42" s="38">
        <v>50</v>
      </c>
      <c r="V42" s="38">
        <v>50</v>
      </c>
      <c r="W42" s="38">
        <v>0</v>
      </c>
      <c r="X42" s="38">
        <v>0</v>
      </c>
      <c r="Y42" s="38"/>
      <c r="Z42" s="38">
        <v>0</v>
      </c>
      <c r="AA42" s="38"/>
      <c r="AB42" s="38">
        <v>0</v>
      </c>
      <c r="AC42" s="38">
        <v>50</v>
      </c>
      <c r="AD42" s="38">
        <v>50</v>
      </c>
      <c r="AE42" s="33">
        <v>45657</v>
      </c>
      <c r="AF42" s="33"/>
      <c r="AG42" s="33"/>
      <c r="AH42" s="33"/>
      <c r="AI42" s="33"/>
      <c r="AJ42" s="42"/>
      <c r="AK42" s="37" t="s">
        <v>929</v>
      </c>
      <c r="AL42" s="37" t="s">
        <v>930</v>
      </c>
      <c r="AM42" s="37" t="s">
        <v>931</v>
      </c>
      <c r="AN42" s="37" t="s">
        <v>440</v>
      </c>
      <c r="AO42" s="43">
        <v>0</v>
      </c>
      <c r="AP42" s="35">
        <v>100</v>
      </c>
      <c r="AQ42" s="35" t="s">
        <v>441</v>
      </c>
      <c r="AR42" s="44">
        <v>1</v>
      </c>
      <c r="AS42" s="37" t="s">
        <v>52</v>
      </c>
    </row>
    <row r="43" spans="1:45" ht="60" customHeight="1" x14ac:dyDescent="0.25">
      <c r="A43" s="46" t="s">
        <v>1072</v>
      </c>
      <c r="B43" s="42">
        <v>45274</v>
      </c>
      <c r="C43" s="37">
        <v>545</v>
      </c>
      <c r="D43" s="36" t="s">
        <v>1073</v>
      </c>
      <c r="E43" s="1" t="s">
        <v>1074</v>
      </c>
      <c r="F43" s="33">
        <v>45313</v>
      </c>
      <c r="G43" s="35" t="s">
        <v>1075</v>
      </c>
      <c r="H43" s="37" t="s">
        <v>374</v>
      </c>
      <c r="I43" s="37" t="s">
        <v>375</v>
      </c>
      <c r="J43" s="39">
        <v>675266099.20000005</v>
      </c>
      <c r="K43" s="40">
        <v>0</v>
      </c>
      <c r="L43" s="41">
        <v>0</v>
      </c>
      <c r="M43" s="38">
        <v>675266099.20000005</v>
      </c>
      <c r="N43" s="41">
        <v>0</v>
      </c>
      <c r="O43" s="38">
        <v>675266099.20000005</v>
      </c>
      <c r="P43" s="27">
        <v>825995139.20000005</v>
      </c>
      <c r="Q43" s="27">
        <v>825995139.20000005</v>
      </c>
      <c r="R43" s="27">
        <v>10766.36</v>
      </c>
      <c r="S43" s="38">
        <v>10766.36</v>
      </c>
      <c r="T43" s="38">
        <v>1507290.4000000001</v>
      </c>
      <c r="U43" s="38">
        <v>76720</v>
      </c>
      <c r="V43" s="38">
        <v>43400</v>
      </c>
      <c r="W43" s="38">
        <v>33320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548</v>
      </c>
      <c r="AD43" s="38">
        <v>548</v>
      </c>
      <c r="AE43" s="33">
        <v>45444</v>
      </c>
      <c r="AF43" s="33">
        <v>45505</v>
      </c>
      <c r="AG43" s="33"/>
      <c r="AH43" s="33">
        <v>45474</v>
      </c>
      <c r="AI43" s="33">
        <v>45536</v>
      </c>
      <c r="AJ43" s="42"/>
      <c r="AK43" s="37" t="s">
        <v>376</v>
      </c>
      <c r="AL43" s="37" t="s">
        <v>377</v>
      </c>
      <c r="AM43" s="37" t="s">
        <v>378</v>
      </c>
      <c r="AN43" s="37" t="s">
        <v>224</v>
      </c>
      <c r="AO43" s="43">
        <v>0</v>
      </c>
      <c r="AP43" s="35">
        <v>100</v>
      </c>
      <c r="AQ43" s="35" t="s">
        <v>379</v>
      </c>
      <c r="AR43" s="44">
        <v>140</v>
      </c>
      <c r="AS43" s="37" t="s">
        <v>52</v>
      </c>
    </row>
    <row r="44" spans="1:45" ht="105" x14ac:dyDescent="0.25">
      <c r="A44" s="46" t="s">
        <v>1122</v>
      </c>
      <c r="B44" s="42">
        <v>45278</v>
      </c>
      <c r="C44" s="37">
        <v>545</v>
      </c>
      <c r="D44" s="36" t="s">
        <v>1123</v>
      </c>
      <c r="E44" s="1" t="s">
        <v>1124</v>
      </c>
      <c r="F44" s="33">
        <v>45307</v>
      </c>
      <c r="G44" s="35" t="s">
        <v>1125</v>
      </c>
      <c r="H44" s="37" t="s">
        <v>219</v>
      </c>
      <c r="I44" s="37" t="s">
        <v>1126</v>
      </c>
      <c r="J44" s="39">
        <v>3719931.6</v>
      </c>
      <c r="K44" s="40">
        <v>0</v>
      </c>
      <c r="L44" s="41">
        <v>0</v>
      </c>
      <c r="M44" s="39">
        <v>3719931.6</v>
      </c>
      <c r="N44" s="41">
        <v>0</v>
      </c>
      <c r="O44" s="39">
        <v>3719931.6</v>
      </c>
      <c r="P44" s="27">
        <v>4835911.08</v>
      </c>
      <c r="Q44" s="27">
        <v>4835911.08</v>
      </c>
      <c r="R44" s="27">
        <v>4428.49</v>
      </c>
      <c r="S44" s="38">
        <v>4428.49</v>
      </c>
      <c r="T44" s="38">
        <v>123997.72</v>
      </c>
      <c r="U44" s="38">
        <v>1092</v>
      </c>
      <c r="V44" s="38">
        <v>1092</v>
      </c>
      <c r="W44" s="38">
        <v>0</v>
      </c>
      <c r="X44" s="38">
        <v>0</v>
      </c>
      <c r="Y44" s="38"/>
      <c r="Z44" s="38">
        <v>0</v>
      </c>
      <c r="AA44" s="38"/>
      <c r="AB44" s="38">
        <v>0</v>
      </c>
      <c r="AC44" s="38">
        <v>39</v>
      </c>
      <c r="AD44" s="38">
        <v>39</v>
      </c>
      <c r="AE44" s="33">
        <v>45337</v>
      </c>
      <c r="AF44" s="33"/>
      <c r="AG44" s="33"/>
      <c r="AH44" s="33">
        <v>45366</v>
      </c>
      <c r="AI44" s="33"/>
      <c r="AJ44" s="42"/>
      <c r="AK44" s="37" t="s">
        <v>1127</v>
      </c>
      <c r="AL44" s="37" t="s">
        <v>1128</v>
      </c>
      <c r="AM44" s="37" t="s">
        <v>1129</v>
      </c>
      <c r="AN44" s="37" t="s">
        <v>143</v>
      </c>
      <c r="AO44" s="43">
        <v>0</v>
      </c>
      <c r="AP44" s="35">
        <v>100</v>
      </c>
      <c r="AQ44" s="35" t="s">
        <v>441</v>
      </c>
      <c r="AR44" s="44">
        <v>28</v>
      </c>
      <c r="AS44" s="37" t="s">
        <v>176</v>
      </c>
    </row>
    <row r="45" spans="1:45" ht="66" customHeight="1" x14ac:dyDescent="0.25">
      <c r="A45" s="46" t="s">
        <v>1206</v>
      </c>
      <c r="B45" s="42">
        <v>45280</v>
      </c>
      <c r="C45" s="37">
        <v>545</v>
      </c>
      <c r="D45" s="36" t="s">
        <v>1207</v>
      </c>
      <c r="E45" s="1" t="s">
        <v>1208</v>
      </c>
      <c r="F45" s="33">
        <v>45313</v>
      </c>
      <c r="G45" s="35" t="s">
        <v>1209</v>
      </c>
      <c r="H45" s="37" t="s">
        <v>331</v>
      </c>
      <c r="I45" s="37" t="s">
        <v>1210</v>
      </c>
      <c r="J45" s="39">
        <v>293433282.44999999</v>
      </c>
      <c r="K45" s="40">
        <v>0</v>
      </c>
      <c r="L45" s="41">
        <v>0</v>
      </c>
      <c r="M45" s="38">
        <v>293433282.44999999</v>
      </c>
      <c r="N45" s="41">
        <v>0</v>
      </c>
      <c r="O45" s="38">
        <v>293433282.44999999</v>
      </c>
      <c r="P45" s="27">
        <v>293433282.44999999</v>
      </c>
      <c r="Q45" s="27">
        <v>293433282.44999999</v>
      </c>
      <c r="R45" s="27">
        <v>204411.9</v>
      </c>
      <c r="S45" s="38">
        <v>204411.9</v>
      </c>
      <c r="T45" s="38">
        <v>919853.54999999993</v>
      </c>
      <c r="U45" s="38">
        <v>1435.5</v>
      </c>
      <c r="V45" s="38">
        <v>1435.5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319</v>
      </c>
      <c r="AD45" s="38">
        <v>319</v>
      </c>
      <c r="AE45" s="33">
        <v>45352</v>
      </c>
      <c r="AF45" s="33"/>
      <c r="AG45" s="33"/>
      <c r="AH45" s="33">
        <v>45383</v>
      </c>
      <c r="AI45" s="33"/>
      <c r="AJ45" s="42"/>
      <c r="AK45" s="37" t="s">
        <v>802</v>
      </c>
      <c r="AL45" s="37" t="s">
        <v>1211</v>
      </c>
      <c r="AM45" s="37" t="s">
        <v>804</v>
      </c>
      <c r="AN45" s="37" t="s">
        <v>224</v>
      </c>
      <c r="AO45" s="43">
        <v>0</v>
      </c>
      <c r="AP45" s="35">
        <v>100</v>
      </c>
      <c r="AQ45" s="35" t="s">
        <v>164</v>
      </c>
      <c r="AR45" s="49">
        <v>4.5</v>
      </c>
      <c r="AS45" s="37" t="s">
        <v>176</v>
      </c>
    </row>
    <row r="46" spans="1:45" ht="66" customHeight="1" x14ac:dyDescent="0.25">
      <c r="A46" s="46" t="s">
        <v>1259</v>
      </c>
      <c r="B46" s="42">
        <v>45287</v>
      </c>
      <c r="C46" s="37">
        <v>545</v>
      </c>
      <c r="D46" s="36" t="s">
        <v>1260</v>
      </c>
      <c r="E46" s="1" t="s">
        <v>1261</v>
      </c>
      <c r="F46" s="33">
        <v>45320</v>
      </c>
      <c r="G46" s="35" t="s">
        <v>1262</v>
      </c>
      <c r="H46" s="37" t="s">
        <v>169</v>
      </c>
      <c r="I46" s="37" t="s">
        <v>436</v>
      </c>
      <c r="J46" s="39">
        <v>445962000</v>
      </c>
      <c r="K46" s="40">
        <v>0</v>
      </c>
      <c r="L46" s="41">
        <v>0</v>
      </c>
      <c r="M46" s="38">
        <v>445962000</v>
      </c>
      <c r="N46" s="41">
        <v>0</v>
      </c>
      <c r="O46" s="38">
        <v>445962000</v>
      </c>
      <c r="P46" s="27">
        <v>445962000</v>
      </c>
      <c r="Q46" s="27">
        <v>445962000</v>
      </c>
      <c r="R46" s="27">
        <v>15950</v>
      </c>
      <c r="S46" s="38">
        <v>15950</v>
      </c>
      <c r="T46" s="38">
        <v>957000</v>
      </c>
      <c r="U46" s="38">
        <v>27960</v>
      </c>
      <c r="V46" s="38">
        <v>27960</v>
      </c>
      <c r="W46" s="38">
        <v>0</v>
      </c>
      <c r="X46" s="38">
        <v>0</v>
      </c>
      <c r="Y46" s="38"/>
      <c r="Z46" s="38">
        <v>0</v>
      </c>
      <c r="AA46" s="38"/>
      <c r="AB46" s="38">
        <v>0</v>
      </c>
      <c r="AC46" s="38">
        <v>466</v>
      </c>
      <c r="AD46" s="38">
        <v>466</v>
      </c>
      <c r="AE46" s="33">
        <v>45352</v>
      </c>
      <c r="AF46" s="33"/>
      <c r="AG46" s="33"/>
      <c r="AH46" s="33">
        <v>45383</v>
      </c>
      <c r="AI46" s="33"/>
      <c r="AJ46" s="42"/>
      <c r="AK46" s="37" t="s">
        <v>437</v>
      </c>
      <c r="AL46" s="37" t="s">
        <v>1263</v>
      </c>
      <c r="AM46" s="37" t="s">
        <v>439</v>
      </c>
      <c r="AN46" s="37" t="s">
        <v>440</v>
      </c>
      <c r="AO46" s="43">
        <v>100</v>
      </c>
      <c r="AP46" s="35">
        <v>0</v>
      </c>
      <c r="AQ46" s="35" t="s">
        <v>441</v>
      </c>
      <c r="AR46" s="44">
        <v>60</v>
      </c>
      <c r="AS46" s="37" t="s">
        <v>176</v>
      </c>
    </row>
    <row r="47" spans="1:45" ht="58.5" customHeight="1" x14ac:dyDescent="0.25">
      <c r="A47" s="46" t="s">
        <v>1312</v>
      </c>
      <c r="B47" s="42">
        <v>45287</v>
      </c>
      <c r="C47" s="37">
        <v>545</v>
      </c>
      <c r="D47" s="36" t="s">
        <v>1313</v>
      </c>
      <c r="E47" s="1" t="s">
        <v>1314</v>
      </c>
      <c r="F47" s="33">
        <v>45320</v>
      </c>
      <c r="G47" s="35" t="s">
        <v>1315</v>
      </c>
      <c r="H47" s="37" t="s">
        <v>138</v>
      </c>
      <c r="I47" s="37" t="s">
        <v>1316</v>
      </c>
      <c r="J47" s="39">
        <v>9071705.1600000001</v>
      </c>
      <c r="K47" s="40">
        <v>0</v>
      </c>
      <c r="L47" s="41">
        <v>0</v>
      </c>
      <c r="M47" s="38">
        <v>9071705.1600000001</v>
      </c>
      <c r="N47" s="41">
        <v>0</v>
      </c>
      <c r="O47" s="38">
        <v>9071705.1600000001</v>
      </c>
      <c r="P47" s="27">
        <v>11663620.92</v>
      </c>
      <c r="Q47" s="27">
        <v>11663620.92</v>
      </c>
      <c r="R47" s="27">
        <v>2204.0099999999998</v>
      </c>
      <c r="S47" s="38">
        <v>2204.0099999999998</v>
      </c>
      <c r="T47" s="38">
        <v>185136.83999999997</v>
      </c>
      <c r="U47" s="38">
        <v>5292</v>
      </c>
      <c r="V47" s="38">
        <v>5292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63</v>
      </c>
      <c r="AD47" s="38">
        <v>63</v>
      </c>
      <c r="AE47" s="33">
        <v>45337</v>
      </c>
      <c r="AF47" s="33"/>
      <c r="AG47" s="33"/>
      <c r="AH47" s="33">
        <v>45366</v>
      </c>
      <c r="AI47" s="33"/>
      <c r="AJ47" s="42"/>
      <c r="AK47" s="37" t="s">
        <v>631</v>
      </c>
      <c r="AL47" s="37" t="s">
        <v>1317</v>
      </c>
      <c r="AM47" s="37" t="s">
        <v>886</v>
      </c>
      <c r="AN47" s="37" t="s">
        <v>143</v>
      </c>
      <c r="AO47" s="43">
        <v>0</v>
      </c>
      <c r="AP47" s="35">
        <v>100</v>
      </c>
      <c r="AQ47" s="35" t="s">
        <v>441</v>
      </c>
      <c r="AR47" s="44">
        <v>84</v>
      </c>
      <c r="AS47" s="37" t="s">
        <v>176</v>
      </c>
    </row>
    <row r="48" spans="1:45" ht="58.5" customHeight="1" x14ac:dyDescent="0.25">
      <c r="A48" s="46" t="s">
        <v>1352</v>
      </c>
      <c r="B48" s="42">
        <v>45287</v>
      </c>
      <c r="C48" s="37">
        <v>545</v>
      </c>
      <c r="D48" s="36" t="s">
        <v>1353</v>
      </c>
      <c r="E48" s="1" t="s">
        <v>1354</v>
      </c>
      <c r="F48" s="33">
        <v>45320</v>
      </c>
      <c r="G48" s="35" t="s">
        <v>1355</v>
      </c>
      <c r="H48" s="37" t="s">
        <v>169</v>
      </c>
      <c r="I48" s="37" t="s">
        <v>1356</v>
      </c>
      <c r="J48" s="39">
        <v>182434602.63</v>
      </c>
      <c r="K48" s="40">
        <v>0</v>
      </c>
      <c r="L48" s="41">
        <v>0</v>
      </c>
      <c r="M48" s="38">
        <v>182434602.63</v>
      </c>
      <c r="N48" s="41">
        <v>0</v>
      </c>
      <c r="O48" s="38">
        <v>182434602.63</v>
      </c>
      <c r="P48" s="27">
        <v>217923400.71000001</v>
      </c>
      <c r="Q48" s="27">
        <v>217923400.71000001</v>
      </c>
      <c r="R48" s="27">
        <v>554512.47</v>
      </c>
      <c r="S48" s="38">
        <v>554512.47</v>
      </c>
      <c r="T48" s="38">
        <v>554512.47</v>
      </c>
      <c r="U48" s="38">
        <v>393</v>
      </c>
      <c r="V48" s="38">
        <v>393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393</v>
      </c>
      <c r="AD48" s="38">
        <v>393</v>
      </c>
      <c r="AE48" s="33">
        <v>45337</v>
      </c>
      <c r="AF48" s="33"/>
      <c r="AG48" s="33"/>
      <c r="AH48" s="33">
        <v>45366</v>
      </c>
      <c r="AI48" s="33"/>
      <c r="AJ48" s="42"/>
      <c r="AK48" s="37" t="s">
        <v>349</v>
      </c>
      <c r="AL48" s="37" t="s">
        <v>447</v>
      </c>
      <c r="AM48" s="37" t="s">
        <v>351</v>
      </c>
      <c r="AN48" s="37" t="s">
        <v>352</v>
      </c>
      <c r="AO48" s="43">
        <v>0</v>
      </c>
      <c r="AP48" s="35">
        <v>100</v>
      </c>
      <c r="AQ48" s="35" t="s">
        <v>164</v>
      </c>
      <c r="AR48" s="44">
        <v>1</v>
      </c>
      <c r="AS48" s="37" t="s">
        <v>176</v>
      </c>
    </row>
    <row r="49" spans="1:45" ht="58.5" customHeight="1" x14ac:dyDescent="0.25">
      <c r="A49" s="46" t="s">
        <v>1357</v>
      </c>
      <c r="B49" s="42">
        <v>45287</v>
      </c>
      <c r="C49" s="37">
        <v>545</v>
      </c>
      <c r="D49" s="36" t="s">
        <v>1358</v>
      </c>
      <c r="E49" s="1" t="s">
        <v>1359</v>
      </c>
      <c r="F49" s="33">
        <v>45320</v>
      </c>
      <c r="G49" s="35" t="s">
        <v>1360</v>
      </c>
      <c r="H49" s="37" t="s">
        <v>169</v>
      </c>
      <c r="I49" s="37" t="s">
        <v>1361</v>
      </c>
      <c r="J49" s="39">
        <v>183995961.59999999</v>
      </c>
      <c r="K49" s="40">
        <v>0</v>
      </c>
      <c r="L49" s="41">
        <v>0</v>
      </c>
      <c r="M49" s="38">
        <v>183995961.59999999</v>
      </c>
      <c r="N49" s="41">
        <v>0</v>
      </c>
      <c r="O49" s="38">
        <v>183995961.59999999</v>
      </c>
      <c r="P49" s="27">
        <v>183995961.59999999</v>
      </c>
      <c r="Q49" s="27">
        <v>183995961.59999999</v>
      </c>
      <c r="R49" s="27">
        <v>618265.99999999988</v>
      </c>
      <c r="S49" s="38">
        <v>618265.99999999988</v>
      </c>
      <c r="T49" s="38">
        <v>5935353.5999999987</v>
      </c>
      <c r="U49" s="38">
        <v>297.60000000000002</v>
      </c>
      <c r="V49" s="38">
        <v>297.60000000000002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31.000000000000004</v>
      </c>
      <c r="AD49" s="38">
        <v>31</v>
      </c>
      <c r="AE49" s="33">
        <v>45337</v>
      </c>
      <c r="AF49" s="33"/>
      <c r="AG49" s="33"/>
      <c r="AH49" s="33">
        <v>45366</v>
      </c>
      <c r="AI49" s="33"/>
      <c r="AJ49" s="42"/>
      <c r="AK49" s="37" t="s">
        <v>421</v>
      </c>
      <c r="AL49" s="37" t="s">
        <v>605</v>
      </c>
      <c r="AM49" s="37" t="s">
        <v>423</v>
      </c>
      <c r="AN49" s="37" t="s">
        <v>143</v>
      </c>
      <c r="AO49" s="43">
        <v>0</v>
      </c>
      <c r="AP49" s="35">
        <v>100</v>
      </c>
      <c r="AQ49" s="35" t="s">
        <v>164</v>
      </c>
      <c r="AR49" s="49">
        <v>9.6</v>
      </c>
      <c r="AS49" s="37" t="s">
        <v>176</v>
      </c>
    </row>
    <row r="50" spans="1:45" ht="58.5" customHeight="1" x14ac:dyDescent="0.25">
      <c r="A50" s="46" t="s">
        <v>1362</v>
      </c>
      <c r="B50" s="42">
        <v>45287</v>
      </c>
      <c r="C50" s="37">
        <v>545</v>
      </c>
      <c r="D50" s="36" t="s">
        <v>485</v>
      </c>
      <c r="E50" s="1" t="s">
        <v>1363</v>
      </c>
      <c r="F50" s="33" t="s">
        <v>485</v>
      </c>
      <c r="G50" s="35" t="s">
        <v>485</v>
      </c>
      <c r="H50" s="37" t="s">
        <v>485</v>
      </c>
      <c r="I50" s="37" t="s">
        <v>461</v>
      </c>
      <c r="J50" s="39">
        <v>704734800</v>
      </c>
      <c r="K50" s="40">
        <v>100</v>
      </c>
      <c r="L50" s="41">
        <v>704734800</v>
      </c>
      <c r="M50" s="38"/>
      <c r="N50" s="41">
        <v>704734800</v>
      </c>
      <c r="O50" s="38">
        <v>0</v>
      </c>
      <c r="P50" s="27">
        <v>0</v>
      </c>
      <c r="Q50" s="27">
        <v>0</v>
      </c>
      <c r="R50" s="27" t="e">
        <v>#DIV/0!</v>
      </c>
      <c r="S50" s="38" t="e">
        <v>#DIV/0!</v>
      </c>
      <c r="T50" s="38" t="e">
        <v>#DIV/0!</v>
      </c>
      <c r="U50" s="38">
        <v>0</v>
      </c>
      <c r="V50" s="38">
        <v>0</v>
      </c>
      <c r="W50" s="38">
        <v>0</v>
      </c>
      <c r="X50" s="38">
        <v>0</v>
      </c>
      <c r="Y50" s="38"/>
      <c r="Z50" s="38" t="e">
        <v>#DIV/0!</v>
      </c>
      <c r="AA50" s="38"/>
      <c r="AB50" s="38" t="e">
        <v>#DIV/0!</v>
      </c>
      <c r="AC50" s="38" t="e">
        <v>#DIV/0!</v>
      </c>
      <c r="AD50" s="38" t="e">
        <v>#DIV/0!</v>
      </c>
      <c r="AE50" s="33">
        <v>45352</v>
      </c>
      <c r="AF50" s="33"/>
      <c r="AG50" s="33"/>
      <c r="AH50" s="33"/>
      <c r="AI50" s="33"/>
      <c r="AJ50" s="42"/>
      <c r="AK50" s="37"/>
      <c r="AL50" s="37"/>
      <c r="AM50" s="37"/>
      <c r="AN50" s="37"/>
      <c r="AO50" s="43"/>
      <c r="AP50" s="35"/>
      <c r="AQ50" s="35"/>
      <c r="AR50" s="44"/>
      <c r="AS50" s="37" t="s">
        <v>485</v>
      </c>
    </row>
    <row r="51" spans="1:45" ht="58.5" customHeight="1" x14ac:dyDescent="0.25">
      <c r="A51" s="46" t="s">
        <v>1364</v>
      </c>
      <c r="B51" s="42">
        <v>45287</v>
      </c>
      <c r="C51" s="37">
        <v>545</v>
      </c>
      <c r="D51" s="36" t="s">
        <v>485</v>
      </c>
      <c r="E51" s="1" t="s">
        <v>1365</v>
      </c>
      <c r="F51" s="33" t="s">
        <v>485</v>
      </c>
      <c r="G51" s="35" t="s">
        <v>485</v>
      </c>
      <c r="H51" s="37" t="s">
        <v>485</v>
      </c>
      <c r="I51" s="37" t="s">
        <v>1366</v>
      </c>
      <c r="J51" s="39">
        <v>21439906.199999999</v>
      </c>
      <c r="K51" s="40">
        <v>100</v>
      </c>
      <c r="L51" s="41">
        <v>21439906.199999999</v>
      </c>
      <c r="M51" s="38"/>
      <c r="N51" s="41">
        <v>21439906.199999999</v>
      </c>
      <c r="O51" s="38">
        <v>0</v>
      </c>
      <c r="P51" s="27">
        <v>0</v>
      </c>
      <c r="Q51" s="27">
        <v>0</v>
      </c>
      <c r="R51" s="27" t="e">
        <v>#DIV/0!</v>
      </c>
      <c r="S51" s="38" t="e">
        <v>#DIV/0!</v>
      </c>
      <c r="T51" s="38" t="e">
        <v>#DIV/0!</v>
      </c>
      <c r="U51" s="38">
        <v>0</v>
      </c>
      <c r="V51" s="38">
        <v>0</v>
      </c>
      <c r="W51" s="38">
        <v>0</v>
      </c>
      <c r="X51" s="38">
        <v>0</v>
      </c>
      <c r="Y51" s="38"/>
      <c r="Z51" s="38" t="e">
        <v>#DIV/0!</v>
      </c>
      <c r="AA51" s="38"/>
      <c r="AB51" s="38" t="e">
        <v>#DIV/0!</v>
      </c>
      <c r="AC51" s="38" t="e">
        <v>#DIV/0!</v>
      </c>
      <c r="AD51" s="38" t="e">
        <v>#DIV/0!</v>
      </c>
      <c r="AE51" s="33">
        <v>45337</v>
      </c>
      <c r="AF51" s="33"/>
      <c r="AG51" s="33"/>
      <c r="AH51" s="33"/>
      <c r="AI51" s="33"/>
      <c r="AJ51" s="42"/>
      <c r="AK51" s="37"/>
      <c r="AL51" s="37"/>
      <c r="AM51" s="37"/>
      <c r="AN51" s="37"/>
      <c r="AO51" s="43"/>
      <c r="AP51" s="35"/>
      <c r="AQ51" s="35"/>
      <c r="AR51" s="44"/>
      <c r="AS51" s="37" t="s">
        <v>485</v>
      </c>
    </row>
    <row r="52" spans="1:45" ht="58.5" customHeight="1" x14ac:dyDescent="0.25">
      <c r="A52" s="46" t="s">
        <v>1367</v>
      </c>
      <c r="B52" s="42">
        <v>45287</v>
      </c>
      <c r="C52" s="37">
        <v>545</v>
      </c>
      <c r="D52" s="36" t="s">
        <v>1368</v>
      </c>
      <c r="E52" s="1" t="s">
        <v>1369</v>
      </c>
      <c r="F52" s="33">
        <v>45320</v>
      </c>
      <c r="G52" s="35" t="s">
        <v>1370</v>
      </c>
      <c r="H52" s="37" t="s">
        <v>374</v>
      </c>
      <c r="I52" s="37" t="s">
        <v>1371</v>
      </c>
      <c r="J52" s="39">
        <v>77134640</v>
      </c>
      <c r="K52" s="40">
        <v>0</v>
      </c>
      <c r="L52" s="41">
        <v>0</v>
      </c>
      <c r="M52" s="38">
        <v>77134640</v>
      </c>
      <c r="N52" s="41">
        <v>0</v>
      </c>
      <c r="O52" s="38">
        <v>77134640</v>
      </c>
      <c r="P52" s="27">
        <v>92770040</v>
      </c>
      <c r="Q52" s="27">
        <v>92770040</v>
      </c>
      <c r="R52" s="27">
        <v>521180</v>
      </c>
      <c r="S52" s="38">
        <v>521180</v>
      </c>
      <c r="T52" s="38">
        <v>1042360</v>
      </c>
      <c r="U52" s="38">
        <v>178</v>
      </c>
      <c r="V52" s="38">
        <v>178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89</v>
      </c>
      <c r="AD52" s="38">
        <v>89</v>
      </c>
      <c r="AE52" s="33">
        <v>45337</v>
      </c>
      <c r="AF52" s="33"/>
      <c r="AG52" s="33"/>
      <c r="AH52" s="33">
        <v>45366</v>
      </c>
      <c r="AI52" s="33"/>
      <c r="AJ52" s="42"/>
      <c r="AK52" s="37" t="s">
        <v>523</v>
      </c>
      <c r="AL52" s="37" t="s">
        <v>524</v>
      </c>
      <c r="AM52" s="37" t="s">
        <v>525</v>
      </c>
      <c r="AN52" s="37" t="s">
        <v>174</v>
      </c>
      <c r="AO52" s="43">
        <v>0</v>
      </c>
      <c r="AP52" s="35">
        <v>100</v>
      </c>
      <c r="AQ52" s="35" t="s">
        <v>164</v>
      </c>
      <c r="AR52" s="44">
        <v>2</v>
      </c>
      <c r="AS52" s="37" t="s">
        <v>176</v>
      </c>
    </row>
    <row r="53" spans="1:45" ht="58.5" customHeight="1" x14ac:dyDescent="0.25">
      <c r="A53" s="46" t="s">
        <v>1372</v>
      </c>
      <c r="B53" s="42">
        <v>45288</v>
      </c>
      <c r="C53" s="37">
        <v>545</v>
      </c>
      <c r="D53" s="36" t="s">
        <v>1373</v>
      </c>
      <c r="E53" s="1" t="s">
        <v>1374</v>
      </c>
      <c r="F53" s="33">
        <v>45320</v>
      </c>
      <c r="G53" s="35" t="s">
        <v>1375</v>
      </c>
      <c r="H53" s="37" t="s">
        <v>169</v>
      </c>
      <c r="I53" s="37" t="s">
        <v>1376</v>
      </c>
      <c r="J53" s="39">
        <v>41547475.200000003</v>
      </c>
      <c r="K53" s="40">
        <v>0</v>
      </c>
      <c r="L53" s="41">
        <v>0</v>
      </c>
      <c r="M53" s="38">
        <v>41547475.200000003</v>
      </c>
      <c r="N53" s="41">
        <v>0</v>
      </c>
      <c r="O53" s="38">
        <v>41547475.200000003</v>
      </c>
      <c r="P53" s="27">
        <v>41547475.200000003</v>
      </c>
      <c r="Q53" s="27">
        <v>41547475.200000003</v>
      </c>
      <c r="R53" s="27">
        <v>247306.40000000002</v>
      </c>
      <c r="S53" s="38">
        <v>247306.40000000002</v>
      </c>
      <c r="T53" s="38">
        <v>2967676.8000000003</v>
      </c>
      <c r="U53" s="38">
        <v>168</v>
      </c>
      <c r="V53" s="38">
        <v>168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14</v>
      </c>
      <c r="AD53" s="38">
        <v>14</v>
      </c>
      <c r="AE53" s="33">
        <v>45342</v>
      </c>
      <c r="AF53" s="33"/>
      <c r="AG53" s="33"/>
      <c r="AH53" s="33">
        <v>45371</v>
      </c>
      <c r="AI53" s="33"/>
      <c r="AJ53" s="42"/>
      <c r="AK53" s="37" t="s">
        <v>421</v>
      </c>
      <c r="AL53" s="37" t="s">
        <v>1377</v>
      </c>
      <c r="AM53" s="37" t="s">
        <v>423</v>
      </c>
      <c r="AN53" s="37" t="s">
        <v>143</v>
      </c>
      <c r="AO53" s="43">
        <v>0</v>
      </c>
      <c r="AP53" s="35">
        <v>100</v>
      </c>
      <c r="AQ53" s="35" t="s">
        <v>164</v>
      </c>
      <c r="AR53" s="44">
        <v>12</v>
      </c>
      <c r="AS53" s="37" t="s">
        <v>52</v>
      </c>
    </row>
    <row r="54" spans="1:45" ht="58.5" customHeight="1" x14ac:dyDescent="0.25">
      <c r="A54" s="46" t="s">
        <v>1549</v>
      </c>
      <c r="B54" s="42">
        <v>45289</v>
      </c>
      <c r="C54" s="37">
        <v>545</v>
      </c>
      <c r="D54" s="36" t="s">
        <v>1550</v>
      </c>
      <c r="E54" s="1" t="s">
        <v>1551</v>
      </c>
      <c r="F54" s="33">
        <v>45321</v>
      </c>
      <c r="G54" s="35" t="s">
        <v>1552</v>
      </c>
      <c r="H54" s="37" t="s">
        <v>219</v>
      </c>
      <c r="I54" s="37" t="s">
        <v>403</v>
      </c>
      <c r="J54" s="39">
        <v>195352434</v>
      </c>
      <c r="K54" s="40">
        <v>0</v>
      </c>
      <c r="L54" s="41">
        <v>0</v>
      </c>
      <c r="M54" s="38">
        <v>195352434</v>
      </c>
      <c r="N54" s="41">
        <v>0</v>
      </c>
      <c r="O54" s="38">
        <v>195352434</v>
      </c>
      <c r="P54" s="27">
        <v>247446416.40000001</v>
      </c>
      <c r="Q54" s="27">
        <v>247446416.40000001</v>
      </c>
      <c r="R54" s="27">
        <v>868233.04</v>
      </c>
      <c r="S54" s="38">
        <v>868233.04</v>
      </c>
      <c r="T54" s="38">
        <v>4341165.2</v>
      </c>
      <c r="U54" s="38">
        <v>285</v>
      </c>
      <c r="V54" s="38">
        <v>285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57</v>
      </c>
      <c r="AD54" s="38">
        <v>57</v>
      </c>
      <c r="AE54" s="33">
        <v>45342</v>
      </c>
      <c r="AF54" s="33"/>
      <c r="AG54" s="33"/>
      <c r="AH54" s="33">
        <v>45371</v>
      </c>
      <c r="AI54" s="33"/>
      <c r="AJ54" s="42"/>
      <c r="AK54" s="37" t="s">
        <v>1553</v>
      </c>
      <c r="AL54" s="37" t="s">
        <v>1554</v>
      </c>
      <c r="AM54" s="37" t="s">
        <v>1555</v>
      </c>
      <c r="AN54" s="37" t="s">
        <v>224</v>
      </c>
      <c r="AO54" s="43">
        <v>0</v>
      </c>
      <c r="AP54" s="35">
        <v>100</v>
      </c>
      <c r="AQ54" s="35" t="s">
        <v>164</v>
      </c>
      <c r="AR54" s="44">
        <v>5</v>
      </c>
      <c r="AS54" s="37" t="s">
        <v>176</v>
      </c>
    </row>
    <row r="55" spans="1:45" ht="48.75" customHeight="1" x14ac:dyDescent="0.25">
      <c r="A55" s="32" t="s">
        <v>1637</v>
      </c>
      <c r="B55" s="56">
        <v>45313</v>
      </c>
      <c r="C55" s="37">
        <v>545</v>
      </c>
      <c r="D55" s="36" t="s">
        <v>485</v>
      </c>
      <c r="E55" s="1" t="s">
        <v>1638</v>
      </c>
      <c r="F55" s="33" t="s">
        <v>485</v>
      </c>
      <c r="G55" s="35" t="s">
        <v>485</v>
      </c>
      <c r="H55" s="37" t="s">
        <v>485</v>
      </c>
      <c r="I55" s="35" t="s">
        <v>644</v>
      </c>
      <c r="J55" s="57">
        <v>11343667.5</v>
      </c>
      <c r="K55" s="40">
        <v>100</v>
      </c>
      <c r="L55" s="41">
        <v>11343667.5</v>
      </c>
      <c r="M55" s="38"/>
      <c r="N55" s="41">
        <v>11343667.5</v>
      </c>
      <c r="O55" s="38">
        <v>0</v>
      </c>
      <c r="P55" s="27">
        <v>0</v>
      </c>
      <c r="Q55" s="27">
        <v>0</v>
      </c>
      <c r="R55" s="27" t="e">
        <v>#DIV/0!</v>
      </c>
      <c r="S55" s="38" t="e">
        <v>#DIV/0!</v>
      </c>
      <c r="T55" s="38" t="e">
        <v>#DIV/0!</v>
      </c>
      <c r="U55" s="38">
        <v>0</v>
      </c>
      <c r="V55" s="38">
        <v>0</v>
      </c>
      <c r="W55" s="38">
        <v>0</v>
      </c>
      <c r="X55" s="38">
        <v>0</v>
      </c>
      <c r="Y55" s="38"/>
      <c r="Z55" s="38" t="e">
        <v>#DIV/0!</v>
      </c>
      <c r="AA55" s="38"/>
      <c r="AB55" s="38" t="e">
        <v>#DIV/0!</v>
      </c>
      <c r="AC55" s="38" t="e">
        <v>#DIV/0!</v>
      </c>
      <c r="AD55" s="38" t="e">
        <v>#DIV/0!</v>
      </c>
      <c r="AE55" s="33">
        <v>45383</v>
      </c>
      <c r="AF55" s="33"/>
      <c r="AG55" s="33"/>
      <c r="AH55" s="33"/>
      <c r="AI55" s="33"/>
      <c r="AJ55" s="42"/>
      <c r="AK55" s="37"/>
      <c r="AL55" s="37"/>
      <c r="AM55" s="37"/>
      <c r="AN55" s="37"/>
      <c r="AO55" s="43"/>
      <c r="AP55" s="35"/>
      <c r="AQ55" s="35"/>
      <c r="AR55" s="44"/>
      <c r="AS55" s="37" t="s">
        <v>485</v>
      </c>
    </row>
    <row r="56" spans="1:45" ht="48.75" customHeight="1" x14ac:dyDescent="0.25">
      <c r="A56" s="32" t="s">
        <v>1642</v>
      </c>
      <c r="B56" s="56">
        <v>45315</v>
      </c>
      <c r="C56" s="37">
        <v>545</v>
      </c>
      <c r="D56" s="36" t="s">
        <v>1643</v>
      </c>
      <c r="E56" s="1" t="s">
        <v>1644</v>
      </c>
      <c r="F56" s="33">
        <v>45348</v>
      </c>
      <c r="G56" s="35" t="s">
        <v>1645</v>
      </c>
      <c r="H56" s="37" t="s">
        <v>169</v>
      </c>
      <c r="I56" s="37" t="s">
        <v>393</v>
      </c>
      <c r="J56" s="57">
        <v>395718042.30000001</v>
      </c>
      <c r="K56" s="40">
        <v>0</v>
      </c>
      <c r="L56" s="41">
        <v>0</v>
      </c>
      <c r="M56" s="38">
        <v>395718042.30000001</v>
      </c>
      <c r="N56" s="41">
        <v>0</v>
      </c>
      <c r="O56" s="38">
        <v>395718042.30000001</v>
      </c>
      <c r="P56" s="27">
        <v>514201135.19999999</v>
      </c>
      <c r="Q56" s="27">
        <v>514201135.19999999</v>
      </c>
      <c r="R56" s="27">
        <v>25813.309999999998</v>
      </c>
      <c r="S56" s="38">
        <v>25813.309999999998</v>
      </c>
      <c r="T56" s="38">
        <v>774399.29999999993</v>
      </c>
      <c r="U56" s="38">
        <v>19920</v>
      </c>
      <c r="V56" s="38">
        <v>19920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664</v>
      </c>
      <c r="AD56" s="38">
        <v>664</v>
      </c>
      <c r="AE56" s="33">
        <v>45383</v>
      </c>
      <c r="AF56" s="33"/>
      <c r="AG56" s="33"/>
      <c r="AH56" s="33">
        <v>45413</v>
      </c>
      <c r="AI56" s="33"/>
      <c r="AJ56" s="42"/>
      <c r="AK56" s="37" t="s">
        <v>394</v>
      </c>
      <c r="AL56" s="37" t="s">
        <v>395</v>
      </c>
      <c r="AM56" s="37" t="s">
        <v>396</v>
      </c>
      <c r="AN56" s="37" t="s">
        <v>397</v>
      </c>
      <c r="AO56" s="43">
        <v>0</v>
      </c>
      <c r="AP56" s="35">
        <v>100</v>
      </c>
      <c r="AQ56" s="35" t="s">
        <v>398</v>
      </c>
      <c r="AR56" s="44">
        <v>30</v>
      </c>
      <c r="AS56" s="37" t="s">
        <v>176</v>
      </c>
    </row>
    <row r="57" spans="1:45" ht="48.75" customHeight="1" x14ac:dyDescent="0.25">
      <c r="A57" s="32" t="s">
        <v>1646</v>
      </c>
      <c r="B57" s="56">
        <v>45315</v>
      </c>
      <c r="C57" s="37">
        <v>545</v>
      </c>
      <c r="D57" s="36" t="s">
        <v>1647</v>
      </c>
      <c r="E57" s="1" t="s">
        <v>1648</v>
      </c>
      <c r="F57" s="33">
        <v>45341</v>
      </c>
      <c r="G57" s="35" t="s">
        <v>1649</v>
      </c>
      <c r="H57" s="37" t="s">
        <v>169</v>
      </c>
      <c r="I57" s="37" t="s">
        <v>467</v>
      </c>
      <c r="J57" s="57">
        <v>32524846.199999999</v>
      </c>
      <c r="K57" s="40">
        <v>0</v>
      </c>
      <c r="L57" s="41">
        <v>0</v>
      </c>
      <c r="M57" s="38">
        <v>32524846.199999999</v>
      </c>
      <c r="N57" s="41">
        <v>0</v>
      </c>
      <c r="O57" s="38">
        <v>32524846.199999999</v>
      </c>
      <c r="P57" s="27">
        <v>42204859.950000003</v>
      </c>
      <c r="Q57" s="27">
        <v>42204859.950000003</v>
      </c>
      <c r="R57" s="27">
        <v>25813.370000000003</v>
      </c>
      <c r="S57" s="38">
        <v>25813.370000000003</v>
      </c>
      <c r="T57" s="38">
        <v>387200.55000000005</v>
      </c>
      <c r="U57" s="38">
        <v>1635</v>
      </c>
      <c r="V57" s="38">
        <v>1635</v>
      </c>
      <c r="W57" s="38">
        <v>0</v>
      </c>
      <c r="X57" s="38">
        <v>0</v>
      </c>
      <c r="Y57" s="38"/>
      <c r="Z57" s="38">
        <v>0</v>
      </c>
      <c r="AA57" s="38"/>
      <c r="AB57" s="38">
        <v>0</v>
      </c>
      <c r="AC57" s="38">
        <v>109</v>
      </c>
      <c r="AD57" s="38">
        <v>109</v>
      </c>
      <c r="AE57" s="33">
        <v>45383</v>
      </c>
      <c r="AF57" s="33"/>
      <c r="AG57" s="33"/>
      <c r="AH57" s="33">
        <v>45413</v>
      </c>
      <c r="AI57" s="33"/>
      <c r="AJ57" s="42"/>
      <c r="AK57" s="37" t="s">
        <v>394</v>
      </c>
      <c r="AL57" s="37" t="s">
        <v>394</v>
      </c>
      <c r="AM57" s="37" t="s">
        <v>394</v>
      </c>
      <c r="AN57" s="37" t="s">
        <v>397</v>
      </c>
      <c r="AO57" s="43">
        <v>0</v>
      </c>
      <c r="AP57" s="35">
        <v>100</v>
      </c>
      <c r="AQ57" s="35" t="s">
        <v>398</v>
      </c>
      <c r="AR57" s="44">
        <v>15</v>
      </c>
      <c r="AS57" s="37" t="s">
        <v>176</v>
      </c>
    </row>
    <row r="58" spans="1:45" ht="48.75" customHeight="1" x14ac:dyDescent="0.25">
      <c r="A58" s="32" t="s">
        <v>1650</v>
      </c>
      <c r="B58" s="56">
        <v>45315</v>
      </c>
      <c r="C58" s="37">
        <v>545</v>
      </c>
      <c r="D58" s="36" t="s">
        <v>1651</v>
      </c>
      <c r="E58" s="1" t="s">
        <v>1652</v>
      </c>
      <c r="F58" s="33">
        <v>45335</v>
      </c>
      <c r="G58" s="35" t="s">
        <v>1653</v>
      </c>
      <c r="H58" s="37" t="s">
        <v>411</v>
      </c>
      <c r="I58" s="37" t="s">
        <v>1654</v>
      </c>
      <c r="J58" s="57">
        <v>80605931.120000005</v>
      </c>
      <c r="K58" s="40">
        <v>0</v>
      </c>
      <c r="L58" s="41">
        <v>0</v>
      </c>
      <c r="M58" s="38">
        <v>80605931.120000005</v>
      </c>
      <c r="N58" s="41">
        <v>0</v>
      </c>
      <c r="O58" s="38">
        <v>80605931.120000005</v>
      </c>
      <c r="P58" s="27">
        <v>80605931.120000005</v>
      </c>
      <c r="Q58" s="27">
        <v>80605931.120000005</v>
      </c>
      <c r="R58" s="27">
        <v>333082.36000000004</v>
      </c>
      <c r="S58" s="38">
        <v>333082.36000000004</v>
      </c>
      <c r="T58" s="38">
        <v>666164.72000000009</v>
      </c>
      <c r="U58" s="38">
        <v>242</v>
      </c>
      <c r="V58" s="38">
        <v>242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121</v>
      </c>
      <c r="AD58" s="38">
        <v>121</v>
      </c>
      <c r="AE58" s="33">
        <v>45352</v>
      </c>
      <c r="AF58" s="33"/>
      <c r="AG58" s="33"/>
      <c r="AH58" s="33">
        <v>45383</v>
      </c>
      <c r="AI58" s="33"/>
      <c r="AJ58" s="42"/>
      <c r="AK58" s="37" t="s">
        <v>1655</v>
      </c>
      <c r="AL58" s="37" t="s">
        <v>1656</v>
      </c>
      <c r="AM58" s="37" t="s">
        <v>1657</v>
      </c>
      <c r="AN58" s="37" t="s">
        <v>352</v>
      </c>
      <c r="AO58" s="43">
        <v>0</v>
      </c>
      <c r="AP58" s="35">
        <v>100</v>
      </c>
      <c r="AQ58" s="35" t="s">
        <v>398</v>
      </c>
      <c r="AR58" s="44">
        <v>2</v>
      </c>
      <c r="AS58" s="37" t="s">
        <v>176</v>
      </c>
    </row>
    <row r="59" spans="1:45" ht="48.75" customHeight="1" x14ac:dyDescent="0.25">
      <c r="A59" s="32" t="s">
        <v>1860</v>
      </c>
      <c r="B59" s="56">
        <v>45320</v>
      </c>
      <c r="C59" s="37" t="s">
        <v>1861</v>
      </c>
      <c r="D59" s="36" t="s">
        <v>1862</v>
      </c>
      <c r="E59" s="1" t="s">
        <v>1863</v>
      </c>
      <c r="F59" s="33">
        <v>45330</v>
      </c>
      <c r="G59" s="35" t="s">
        <v>1864</v>
      </c>
      <c r="H59" s="37" t="s">
        <v>331</v>
      </c>
      <c r="I59" s="37" t="s">
        <v>516</v>
      </c>
      <c r="J59" s="57">
        <v>3756093</v>
      </c>
      <c r="K59" s="40">
        <v>0</v>
      </c>
      <c r="L59" s="41">
        <v>0</v>
      </c>
      <c r="M59" s="38">
        <v>3756093</v>
      </c>
      <c r="N59" s="41">
        <v>0</v>
      </c>
      <c r="O59" s="38">
        <v>3756093</v>
      </c>
      <c r="P59" s="27">
        <v>3756093</v>
      </c>
      <c r="Q59" s="27">
        <v>3756093</v>
      </c>
      <c r="R59" s="27">
        <v>1455.85</v>
      </c>
      <c r="S59" s="38">
        <v>1455.85</v>
      </c>
      <c r="T59" s="38">
        <v>43675.5</v>
      </c>
      <c r="U59" s="38">
        <v>2580</v>
      </c>
      <c r="V59" s="38">
        <v>2580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86</v>
      </c>
      <c r="AD59" s="38">
        <v>86</v>
      </c>
      <c r="AE59" s="33">
        <v>45352</v>
      </c>
      <c r="AF59" s="33"/>
      <c r="AG59" s="33"/>
      <c r="AH59" s="33">
        <v>45383</v>
      </c>
      <c r="AI59" s="33"/>
      <c r="AJ59" s="42"/>
      <c r="AK59" s="37" t="s">
        <v>494</v>
      </c>
      <c r="AL59" s="37" t="s">
        <v>517</v>
      </c>
      <c r="AM59" s="37" t="s">
        <v>496</v>
      </c>
      <c r="AN59" s="37" t="s">
        <v>352</v>
      </c>
      <c r="AO59" s="43">
        <v>0</v>
      </c>
      <c r="AP59" s="35">
        <v>100</v>
      </c>
      <c r="AQ59" s="35" t="s">
        <v>441</v>
      </c>
      <c r="AR59" s="44">
        <v>30</v>
      </c>
      <c r="AS59" s="37" t="s">
        <v>176</v>
      </c>
    </row>
    <row r="60" spans="1:45" ht="43.5" customHeight="1" x14ac:dyDescent="0.25">
      <c r="A60" s="32" t="s">
        <v>1865</v>
      </c>
      <c r="B60" s="56">
        <v>45320</v>
      </c>
      <c r="C60" s="37">
        <v>545</v>
      </c>
      <c r="D60" s="36" t="s">
        <v>485</v>
      </c>
      <c r="E60" s="1" t="s">
        <v>1866</v>
      </c>
      <c r="F60" s="33" t="s">
        <v>485</v>
      </c>
      <c r="G60" s="35" t="s">
        <v>485</v>
      </c>
      <c r="H60" s="37" t="s">
        <v>485</v>
      </c>
      <c r="I60" s="37" t="s">
        <v>1210</v>
      </c>
      <c r="J60" s="57">
        <v>266757529.5</v>
      </c>
      <c r="K60" s="40">
        <v>100</v>
      </c>
      <c r="L60" s="41">
        <v>266757529.5</v>
      </c>
      <c r="M60" s="38"/>
      <c r="N60" s="41">
        <v>266757529.5</v>
      </c>
      <c r="O60" s="38">
        <v>0</v>
      </c>
      <c r="P60" s="27">
        <v>0</v>
      </c>
      <c r="Q60" s="27">
        <v>0</v>
      </c>
      <c r="R60" s="27">
        <v>204411.9</v>
      </c>
      <c r="S60" s="38">
        <v>0</v>
      </c>
      <c r="T60" s="38">
        <v>0</v>
      </c>
      <c r="U60" s="38">
        <v>1305</v>
      </c>
      <c r="V60" s="38">
        <v>1305</v>
      </c>
      <c r="W60" s="38">
        <v>0</v>
      </c>
      <c r="X60" s="38">
        <v>0</v>
      </c>
      <c r="Y60" s="38"/>
      <c r="Z60" s="38">
        <v>0</v>
      </c>
      <c r="AA60" s="38"/>
      <c r="AB60" s="38">
        <v>0</v>
      </c>
      <c r="AC60" s="38" t="e">
        <v>#DIV/0!</v>
      </c>
      <c r="AD60" s="38" t="e">
        <v>#DIV/0!</v>
      </c>
      <c r="AE60" s="33">
        <v>45366</v>
      </c>
      <c r="AF60" s="33"/>
      <c r="AG60" s="33"/>
      <c r="AH60" s="33"/>
      <c r="AI60" s="33"/>
      <c r="AJ60" s="42"/>
      <c r="AK60" s="37"/>
      <c r="AL60" s="37"/>
      <c r="AM60" s="37"/>
      <c r="AN60" s="37"/>
      <c r="AO60" s="43"/>
      <c r="AP60" s="35"/>
      <c r="AQ60" s="35"/>
      <c r="AR60" s="44"/>
      <c r="AS60" s="37" t="s">
        <v>485</v>
      </c>
    </row>
    <row r="61" spans="1:45" ht="48" customHeight="1" x14ac:dyDescent="0.25">
      <c r="A61" s="32" t="s">
        <v>1867</v>
      </c>
      <c r="B61" s="56">
        <v>45320</v>
      </c>
      <c r="C61" s="37">
        <v>545</v>
      </c>
      <c r="D61" s="35" t="s">
        <v>485</v>
      </c>
      <c r="E61" s="1" t="s">
        <v>1868</v>
      </c>
      <c r="F61" s="35" t="s">
        <v>485</v>
      </c>
      <c r="G61" s="35" t="s">
        <v>485</v>
      </c>
      <c r="H61" s="35" t="s">
        <v>485</v>
      </c>
      <c r="I61" s="37" t="s">
        <v>618</v>
      </c>
      <c r="J61" s="57">
        <v>28479928.800000001</v>
      </c>
      <c r="K61" s="40">
        <v>100</v>
      </c>
      <c r="L61" s="41">
        <v>28479928.800000001</v>
      </c>
      <c r="M61" s="38"/>
      <c r="N61" s="41">
        <v>28479928.800000001</v>
      </c>
      <c r="O61" s="38">
        <v>0</v>
      </c>
      <c r="P61" s="27">
        <v>0</v>
      </c>
      <c r="Q61" s="27">
        <v>0</v>
      </c>
      <c r="R61" s="27">
        <v>5333.32</v>
      </c>
      <c r="S61" s="38">
        <v>0</v>
      </c>
      <c r="T61" s="38">
        <v>0</v>
      </c>
      <c r="U61" s="38">
        <v>5340</v>
      </c>
      <c r="V61" s="38">
        <v>5340</v>
      </c>
      <c r="W61" s="38">
        <v>0</v>
      </c>
      <c r="X61" s="38">
        <v>0</v>
      </c>
      <c r="Y61" s="38"/>
      <c r="Z61" s="38">
        <v>0</v>
      </c>
      <c r="AA61" s="38"/>
      <c r="AB61" s="38">
        <v>0</v>
      </c>
      <c r="AC61" s="38" t="e">
        <v>#DIV/0!</v>
      </c>
      <c r="AD61" s="38" t="e">
        <v>#DIV/0!</v>
      </c>
      <c r="AE61" s="33">
        <v>45382</v>
      </c>
      <c r="AF61" s="33"/>
      <c r="AG61" s="33"/>
      <c r="AH61" s="33"/>
      <c r="AI61" s="33"/>
      <c r="AJ61" s="42"/>
      <c r="AK61" s="37"/>
      <c r="AL61" s="37"/>
      <c r="AM61" s="37"/>
      <c r="AN61" s="37"/>
      <c r="AO61" s="43"/>
      <c r="AP61" s="35"/>
      <c r="AQ61" s="35"/>
      <c r="AR61" s="44"/>
      <c r="AS61" s="37" t="s">
        <v>485</v>
      </c>
    </row>
    <row r="62" spans="1:45" ht="48" customHeight="1" x14ac:dyDescent="0.25">
      <c r="A62" s="32" t="s">
        <v>1893</v>
      </c>
      <c r="B62" s="56">
        <v>45322</v>
      </c>
      <c r="C62" s="37">
        <v>545</v>
      </c>
      <c r="D62" s="36" t="s">
        <v>1894</v>
      </c>
      <c r="E62" s="1" t="s">
        <v>1895</v>
      </c>
      <c r="F62" s="33">
        <v>45348</v>
      </c>
      <c r="G62" s="35" t="s">
        <v>1896</v>
      </c>
      <c r="H62" s="37" t="s">
        <v>1897</v>
      </c>
      <c r="I62" s="59" t="s">
        <v>461</v>
      </c>
      <c r="J62" s="57">
        <v>19720324.800000001</v>
      </c>
      <c r="K62" s="40">
        <v>0</v>
      </c>
      <c r="L62" s="41">
        <v>0</v>
      </c>
      <c r="M62" s="57">
        <v>19720324.800000001</v>
      </c>
      <c r="N62" s="41">
        <v>0</v>
      </c>
      <c r="O62" s="38">
        <v>19720324.800000001</v>
      </c>
      <c r="P62" s="27">
        <v>19720324.800000001</v>
      </c>
      <c r="Q62" s="27">
        <v>19720324.800000001</v>
      </c>
      <c r="R62" s="27">
        <v>6201.36</v>
      </c>
      <c r="S62" s="38">
        <v>6201.3600000000006</v>
      </c>
      <c r="T62" s="38">
        <v>372081.60000000003</v>
      </c>
      <c r="U62" s="38">
        <v>3180</v>
      </c>
      <c r="V62" s="38">
        <v>3180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53</v>
      </c>
      <c r="AD62" s="38">
        <v>53</v>
      </c>
      <c r="AE62" s="33">
        <v>45366</v>
      </c>
      <c r="AF62" s="33"/>
      <c r="AG62" s="33"/>
      <c r="AH62" s="33">
        <v>45397</v>
      </c>
      <c r="AI62" s="33"/>
      <c r="AJ62" s="42"/>
      <c r="AK62" s="37" t="s">
        <v>437</v>
      </c>
      <c r="AL62" s="37" t="s">
        <v>1898</v>
      </c>
      <c r="AM62" s="37" t="s">
        <v>439</v>
      </c>
      <c r="AN62" s="37" t="s">
        <v>440</v>
      </c>
      <c r="AO62" s="43">
        <v>0</v>
      </c>
      <c r="AP62" s="35">
        <v>100</v>
      </c>
      <c r="AQ62" s="35" t="s">
        <v>441</v>
      </c>
      <c r="AR62" s="44">
        <v>60</v>
      </c>
      <c r="AS62" s="37" t="s">
        <v>176</v>
      </c>
    </row>
    <row r="63" spans="1:45" ht="48" customHeight="1" x14ac:dyDescent="0.25">
      <c r="A63" s="32" t="s">
        <v>1899</v>
      </c>
      <c r="B63" s="56">
        <v>45322</v>
      </c>
      <c r="C63" s="37">
        <v>545</v>
      </c>
      <c r="D63" s="36" t="s">
        <v>1900</v>
      </c>
      <c r="E63" s="1" t="s">
        <v>1901</v>
      </c>
      <c r="F63" s="33">
        <v>45348</v>
      </c>
      <c r="G63" s="35" t="s">
        <v>1902</v>
      </c>
      <c r="H63" s="37" t="s">
        <v>1897</v>
      </c>
      <c r="I63" s="59" t="s">
        <v>461</v>
      </c>
      <c r="J63" s="57">
        <v>18231998.399999999</v>
      </c>
      <c r="K63" s="40">
        <v>0</v>
      </c>
      <c r="L63" s="41">
        <v>0</v>
      </c>
      <c r="M63" s="57">
        <v>18231998.399999999</v>
      </c>
      <c r="N63" s="41">
        <v>0</v>
      </c>
      <c r="O63" s="38">
        <v>18231998.399999999</v>
      </c>
      <c r="P63" s="27">
        <v>18231998.399999999</v>
      </c>
      <c r="Q63" s="27">
        <v>18231998.399999999</v>
      </c>
      <c r="R63" s="27">
        <v>6201.36</v>
      </c>
      <c r="S63" s="38">
        <v>6201.36</v>
      </c>
      <c r="T63" s="38">
        <v>372081.6</v>
      </c>
      <c r="U63" s="38">
        <v>2940</v>
      </c>
      <c r="V63" s="38">
        <v>2940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49</v>
      </c>
      <c r="AD63" s="38">
        <v>49</v>
      </c>
      <c r="AE63" s="33">
        <v>45366</v>
      </c>
      <c r="AF63" s="33"/>
      <c r="AG63" s="33"/>
      <c r="AH63" s="33">
        <v>45397</v>
      </c>
      <c r="AI63" s="33"/>
      <c r="AJ63" s="42"/>
      <c r="AK63" s="37" t="s">
        <v>437</v>
      </c>
      <c r="AL63" s="37" t="s">
        <v>1898</v>
      </c>
      <c r="AM63" s="37" t="s">
        <v>439</v>
      </c>
      <c r="AN63" s="37" t="s">
        <v>440</v>
      </c>
      <c r="AO63" s="43">
        <v>0</v>
      </c>
      <c r="AP63" s="35">
        <v>100</v>
      </c>
      <c r="AQ63" s="35" t="s">
        <v>441</v>
      </c>
      <c r="AR63" s="44">
        <v>60</v>
      </c>
      <c r="AS63" s="37" t="s">
        <v>176</v>
      </c>
    </row>
    <row r="64" spans="1:45" ht="48" customHeight="1" x14ac:dyDescent="0.25">
      <c r="A64" s="32" t="s">
        <v>1903</v>
      </c>
      <c r="B64" s="56">
        <v>45322</v>
      </c>
      <c r="C64" s="37">
        <v>545</v>
      </c>
      <c r="D64" s="36" t="s">
        <v>1904</v>
      </c>
      <c r="E64" s="1" t="s">
        <v>1905</v>
      </c>
      <c r="F64" s="33">
        <v>45348</v>
      </c>
      <c r="G64" s="35" t="s">
        <v>1906</v>
      </c>
      <c r="H64" s="37" t="s">
        <v>1897</v>
      </c>
      <c r="I64" s="59" t="s">
        <v>461</v>
      </c>
      <c r="J64" s="57">
        <v>19720324.800000001</v>
      </c>
      <c r="K64" s="40">
        <v>0</v>
      </c>
      <c r="L64" s="41">
        <v>0</v>
      </c>
      <c r="M64" s="57">
        <v>19720324.800000001</v>
      </c>
      <c r="N64" s="41">
        <v>0</v>
      </c>
      <c r="O64" s="38">
        <v>19720324.800000001</v>
      </c>
      <c r="P64" s="27">
        <v>19720324.800000001</v>
      </c>
      <c r="Q64" s="27">
        <v>19720324.800000001</v>
      </c>
      <c r="R64" s="27">
        <v>6201.36</v>
      </c>
      <c r="S64" s="38">
        <v>6201.3600000000006</v>
      </c>
      <c r="T64" s="38">
        <v>372081.60000000003</v>
      </c>
      <c r="U64" s="38">
        <v>3180</v>
      </c>
      <c r="V64" s="38">
        <v>3180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53</v>
      </c>
      <c r="AD64" s="38">
        <v>53</v>
      </c>
      <c r="AE64" s="33">
        <v>45366</v>
      </c>
      <c r="AF64" s="33"/>
      <c r="AG64" s="33"/>
      <c r="AH64" s="33">
        <v>45397</v>
      </c>
      <c r="AI64" s="33"/>
      <c r="AJ64" s="42"/>
      <c r="AK64" s="37" t="s">
        <v>437</v>
      </c>
      <c r="AL64" s="37" t="s">
        <v>1898</v>
      </c>
      <c r="AM64" s="37" t="s">
        <v>439</v>
      </c>
      <c r="AN64" s="37" t="s">
        <v>440</v>
      </c>
      <c r="AO64" s="43">
        <v>0</v>
      </c>
      <c r="AP64" s="35">
        <v>100</v>
      </c>
      <c r="AQ64" s="35" t="s">
        <v>441</v>
      </c>
      <c r="AR64" s="44">
        <v>60</v>
      </c>
      <c r="AS64" s="37" t="s">
        <v>176</v>
      </c>
    </row>
    <row r="65" spans="1:45" ht="48" customHeight="1" x14ac:dyDescent="0.25">
      <c r="A65" s="32" t="s">
        <v>1907</v>
      </c>
      <c r="B65" s="56">
        <v>45322</v>
      </c>
      <c r="C65" s="37">
        <v>545</v>
      </c>
      <c r="D65" s="36" t="s">
        <v>1908</v>
      </c>
      <c r="E65" s="1" t="s">
        <v>1909</v>
      </c>
      <c r="F65" s="33">
        <v>45348</v>
      </c>
      <c r="G65" s="35" t="s">
        <v>1910</v>
      </c>
      <c r="H65" s="37" t="s">
        <v>1897</v>
      </c>
      <c r="I65" s="59" t="s">
        <v>461</v>
      </c>
      <c r="J65" s="57">
        <v>19348243.199999999</v>
      </c>
      <c r="K65" s="40">
        <v>0</v>
      </c>
      <c r="L65" s="41">
        <v>0</v>
      </c>
      <c r="M65" s="57">
        <v>19348243.199999999</v>
      </c>
      <c r="N65" s="41">
        <v>0</v>
      </c>
      <c r="O65" s="38">
        <v>19348243.199999999</v>
      </c>
      <c r="P65" s="27">
        <v>19348243.199999999</v>
      </c>
      <c r="Q65" s="27">
        <v>19348243.199999999</v>
      </c>
      <c r="R65" s="27">
        <v>6201.36</v>
      </c>
      <c r="S65" s="38">
        <v>6201.36</v>
      </c>
      <c r="T65" s="38">
        <v>372081.6</v>
      </c>
      <c r="U65" s="38">
        <v>3120</v>
      </c>
      <c r="V65" s="38">
        <v>3120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52</v>
      </c>
      <c r="AD65" s="38">
        <v>52</v>
      </c>
      <c r="AE65" s="33">
        <v>45366</v>
      </c>
      <c r="AF65" s="33"/>
      <c r="AG65" s="33"/>
      <c r="AH65" s="33">
        <v>45397</v>
      </c>
      <c r="AI65" s="33"/>
      <c r="AJ65" s="42"/>
      <c r="AK65" s="37" t="s">
        <v>437</v>
      </c>
      <c r="AL65" s="37" t="s">
        <v>1898</v>
      </c>
      <c r="AM65" s="37" t="s">
        <v>439</v>
      </c>
      <c r="AN65" s="37" t="s">
        <v>440</v>
      </c>
      <c r="AO65" s="43">
        <v>0</v>
      </c>
      <c r="AP65" s="35">
        <v>100</v>
      </c>
      <c r="AQ65" s="35" t="s">
        <v>441</v>
      </c>
      <c r="AR65" s="44">
        <v>60</v>
      </c>
      <c r="AS65" s="37" t="s">
        <v>176</v>
      </c>
    </row>
    <row r="66" spans="1:45" ht="48" customHeight="1" x14ac:dyDescent="0.25">
      <c r="A66" s="32" t="s">
        <v>1911</v>
      </c>
      <c r="B66" s="56">
        <v>45322</v>
      </c>
      <c r="C66" s="37">
        <v>545</v>
      </c>
      <c r="D66" s="36" t="s">
        <v>1912</v>
      </c>
      <c r="E66" s="1" t="s">
        <v>1913</v>
      </c>
      <c r="F66" s="33">
        <v>45348</v>
      </c>
      <c r="G66" s="35" t="s">
        <v>1914</v>
      </c>
      <c r="H66" s="37" t="s">
        <v>1897</v>
      </c>
      <c r="I66" s="59" t="s">
        <v>461</v>
      </c>
      <c r="J66" s="57">
        <v>19720324.800000001</v>
      </c>
      <c r="K66" s="40">
        <v>0</v>
      </c>
      <c r="L66" s="41">
        <v>0</v>
      </c>
      <c r="M66" s="57">
        <v>19720324.800000001</v>
      </c>
      <c r="N66" s="41">
        <v>0</v>
      </c>
      <c r="O66" s="38">
        <v>19720324.800000001</v>
      </c>
      <c r="P66" s="27">
        <v>19720324.800000001</v>
      </c>
      <c r="Q66" s="27">
        <v>19720324.800000001</v>
      </c>
      <c r="R66" s="27">
        <v>6201.36</v>
      </c>
      <c r="S66" s="38">
        <v>6201.3600000000006</v>
      </c>
      <c r="T66" s="38">
        <v>372081.60000000003</v>
      </c>
      <c r="U66" s="38">
        <v>3180</v>
      </c>
      <c r="V66" s="38">
        <v>3180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53</v>
      </c>
      <c r="AD66" s="38">
        <v>53</v>
      </c>
      <c r="AE66" s="33">
        <v>45366</v>
      </c>
      <c r="AF66" s="33"/>
      <c r="AG66" s="33"/>
      <c r="AH66" s="33">
        <v>45397</v>
      </c>
      <c r="AI66" s="33"/>
      <c r="AJ66" s="42"/>
      <c r="AK66" s="37" t="s">
        <v>437</v>
      </c>
      <c r="AL66" s="37" t="s">
        <v>1898</v>
      </c>
      <c r="AM66" s="37" t="s">
        <v>439</v>
      </c>
      <c r="AN66" s="37" t="s">
        <v>440</v>
      </c>
      <c r="AO66" s="43">
        <v>0</v>
      </c>
      <c r="AP66" s="35">
        <v>100</v>
      </c>
      <c r="AQ66" s="35" t="s">
        <v>441</v>
      </c>
      <c r="AR66" s="44">
        <v>60</v>
      </c>
      <c r="AS66" s="37" t="s">
        <v>176</v>
      </c>
    </row>
    <row r="67" spans="1:45" ht="48" customHeight="1" x14ac:dyDescent="0.25">
      <c r="A67" s="32" t="s">
        <v>1915</v>
      </c>
      <c r="B67" s="56">
        <v>45322</v>
      </c>
      <c r="C67" s="37">
        <v>545</v>
      </c>
      <c r="D67" s="36" t="s">
        <v>1916</v>
      </c>
      <c r="E67" s="1" t="s">
        <v>1917</v>
      </c>
      <c r="F67" s="33">
        <v>45348</v>
      </c>
      <c r="G67" s="35" t="s">
        <v>1918</v>
      </c>
      <c r="H67" s="37" t="s">
        <v>1897</v>
      </c>
      <c r="I67" s="59" t="s">
        <v>461</v>
      </c>
      <c r="J67" s="57">
        <v>18604080</v>
      </c>
      <c r="K67" s="40">
        <v>0</v>
      </c>
      <c r="L67" s="41">
        <v>0</v>
      </c>
      <c r="M67" s="57">
        <v>18604080</v>
      </c>
      <c r="N67" s="41">
        <v>0</v>
      </c>
      <c r="O67" s="38">
        <v>18604080</v>
      </c>
      <c r="P67" s="27">
        <v>20836569.600000001</v>
      </c>
      <c r="Q67" s="27">
        <v>20836569.600000001</v>
      </c>
      <c r="R67" s="27">
        <v>6201.36</v>
      </c>
      <c r="S67" s="38">
        <v>6201.3600000000006</v>
      </c>
      <c r="T67" s="38">
        <v>372081.60000000003</v>
      </c>
      <c r="U67" s="38">
        <v>3360</v>
      </c>
      <c r="V67" s="38">
        <v>3360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56</v>
      </c>
      <c r="AD67" s="38">
        <v>56</v>
      </c>
      <c r="AE67" s="33">
        <v>45366</v>
      </c>
      <c r="AF67" s="33"/>
      <c r="AG67" s="33"/>
      <c r="AH67" s="33">
        <v>45397</v>
      </c>
      <c r="AI67" s="33"/>
      <c r="AJ67" s="42"/>
      <c r="AK67" s="37" t="s">
        <v>437</v>
      </c>
      <c r="AL67" s="37" t="s">
        <v>1898</v>
      </c>
      <c r="AM67" s="37" t="s">
        <v>439</v>
      </c>
      <c r="AN67" s="37" t="s">
        <v>440</v>
      </c>
      <c r="AO67" s="43">
        <v>0</v>
      </c>
      <c r="AP67" s="35">
        <v>100</v>
      </c>
      <c r="AQ67" s="35" t="s">
        <v>441</v>
      </c>
      <c r="AR67" s="44">
        <v>60</v>
      </c>
      <c r="AS67" s="37" t="s">
        <v>176</v>
      </c>
    </row>
    <row r="68" spans="1:45" ht="48" customHeight="1" x14ac:dyDescent="0.25">
      <c r="A68" s="32" t="s">
        <v>1919</v>
      </c>
      <c r="B68" s="56">
        <v>45322</v>
      </c>
      <c r="C68" s="37">
        <v>545</v>
      </c>
      <c r="D68" s="36" t="s">
        <v>1920</v>
      </c>
      <c r="E68" s="1" t="s">
        <v>1921</v>
      </c>
      <c r="F68" s="33">
        <v>45348</v>
      </c>
      <c r="G68" s="35" t="s">
        <v>1922</v>
      </c>
      <c r="H68" s="37" t="s">
        <v>1897</v>
      </c>
      <c r="I68" s="59" t="s">
        <v>461</v>
      </c>
      <c r="J68" s="57">
        <v>18231998.399999999</v>
      </c>
      <c r="K68" s="40">
        <v>0</v>
      </c>
      <c r="L68" s="41">
        <v>0</v>
      </c>
      <c r="M68" s="57">
        <v>18231998.399999999</v>
      </c>
      <c r="N68" s="41">
        <v>0</v>
      </c>
      <c r="O68" s="38">
        <v>18231998.399999999</v>
      </c>
      <c r="P68" s="27">
        <v>18231998.399999999</v>
      </c>
      <c r="Q68" s="27">
        <v>18231998.399999999</v>
      </c>
      <c r="R68" s="27">
        <v>6201.36</v>
      </c>
      <c r="S68" s="38">
        <v>6201.36</v>
      </c>
      <c r="T68" s="38">
        <v>372081.6</v>
      </c>
      <c r="U68" s="38">
        <v>2940</v>
      </c>
      <c r="V68" s="38">
        <v>2940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49</v>
      </c>
      <c r="AD68" s="38">
        <v>49</v>
      </c>
      <c r="AE68" s="33">
        <v>45366</v>
      </c>
      <c r="AF68" s="33"/>
      <c r="AG68" s="33"/>
      <c r="AH68" s="33">
        <v>45397</v>
      </c>
      <c r="AI68" s="33"/>
      <c r="AJ68" s="42"/>
      <c r="AK68" s="37" t="s">
        <v>437</v>
      </c>
      <c r="AL68" s="37" t="s">
        <v>1898</v>
      </c>
      <c r="AM68" s="37" t="s">
        <v>439</v>
      </c>
      <c r="AN68" s="37" t="s">
        <v>440</v>
      </c>
      <c r="AO68" s="43">
        <v>0</v>
      </c>
      <c r="AP68" s="35">
        <v>100</v>
      </c>
      <c r="AQ68" s="35" t="s">
        <v>441</v>
      </c>
      <c r="AR68" s="44">
        <v>60</v>
      </c>
      <c r="AS68" s="37" t="s">
        <v>176</v>
      </c>
    </row>
    <row r="69" spans="1:45" ht="48" customHeight="1" x14ac:dyDescent="0.25">
      <c r="A69" s="32" t="s">
        <v>1957</v>
      </c>
      <c r="B69" s="56">
        <v>45323</v>
      </c>
      <c r="C69" s="37">
        <v>545</v>
      </c>
      <c r="D69" s="36"/>
      <c r="E69" s="1" t="s">
        <v>1958</v>
      </c>
      <c r="F69" s="33">
        <v>45348</v>
      </c>
      <c r="G69" s="35" t="s">
        <v>1959</v>
      </c>
      <c r="H69" s="37" t="s">
        <v>169</v>
      </c>
      <c r="I69" s="58" t="s">
        <v>1960</v>
      </c>
      <c r="J69" s="57">
        <v>120806571.59999999</v>
      </c>
      <c r="K69" s="40">
        <v>0</v>
      </c>
      <c r="L69" s="41">
        <v>0</v>
      </c>
      <c r="M69" s="57">
        <v>120806571.59999999</v>
      </c>
      <c r="N69" s="41">
        <v>0</v>
      </c>
      <c r="O69" s="38">
        <v>120806571.59999999</v>
      </c>
      <c r="P69" s="27">
        <v>120806571.59999999</v>
      </c>
      <c r="Q69" s="27">
        <v>120806571.59999999</v>
      </c>
      <c r="R69" s="27">
        <v>25813.37</v>
      </c>
      <c r="S69" s="38">
        <v>25813.37</v>
      </c>
      <c r="T69" s="38">
        <v>3097604.4</v>
      </c>
      <c r="U69" s="38">
        <v>4680</v>
      </c>
      <c r="V69" s="38">
        <v>4680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39</v>
      </c>
      <c r="AD69" s="38">
        <v>39</v>
      </c>
      <c r="AE69" s="33">
        <v>45366</v>
      </c>
      <c r="AF69" s="33"/>
      <c r="AG69" s="33"/>
      <c r="AH69" s="33">
        <v>45397</v>
      </c>
      <c r="AI69" s="33"/>
      <c r="AJ69" s="42"/>
      <c r="AK69" s="37" t="s">
        <v>394</v>
      </c>
      <c r="AL69" s="37" t="s">
        <v>475</v>
      </c>
      <c r="AM69" s="37" t="s">
        <v>396</v>
      </c>
      <c r="AN69" s="37" t="s">
        <v>397</v>
      </c>
      <c r="AO69" s="43">
        <v>0</v>
      </c>
      <c r="AP69" s="35">
        <v>100</v>
      </c>
      <c r="AQ69" s="35" t="s">
        <v>398</v>
      </c>
      <c r="AR69" s="44">
        <v>120</v>
      </c>
      <c r="AS69" s="37" t="s">
        <v>176</v>
      </c>
    </row>
    <row r="70" spans="1:45" ht="39" customHeight="1" x14ac:dyDescent="0.25">
      <c r="A70" s="32" t="s">
        <v>2069</v>
      </c>
      <c r="B70" s="56">
        <v>45328</v>
      </c>
      <c r="C70" s="37">
        <v>545</v>
      </c>
      <c r="D70" s="36"/>
      <c r="E70" s="1" t="s">
        <v>2070</v>
      </c>
      <c r="F70" s="33">
        <v>45352</v>
      </c>
      <c r="G70" s="35" t="s">
        <v>2071</v>
      </c>
      <c r="H70" s="37" t="s">
        <v>1897</v>
      </c>
      <c r="I70" s="58" t="s">
        <v>1376</v>
      </c>
      <c r="J70" s="57">
        <v>62321212.799999997</v>
      </c>
      <c r="K70" s="40">
        <v>0</v>
      </c>
      <c r="L70" s="41">
        <v>0</v>
      </c>
      <c r="M70" s="57">
        <v>62321212.799999997</v>
      </c>
      <c r="N70" s="41">
        <v>0</v>
      </c>
      <c r="O70" s="38">
        <v>62321212.799999997</v>
      </c>
      <c r="P70" s="27">
        <v>60576238.799999997</v>
      </c>
      <c r="Q70" s="27">
        <v>60576238.799999997</v>
      </c>
      <c r="R70" s="27">
        <v>240381.9</v>
      </c>
      <c r="S70" s="38">
        <v>240381.9</v>
      </c>
      <c r="T70" s="38">
        <v>2884582.8</v>
      </c>
      <c r="U70" s="38">
        <v>252</v>
      </c>
      <c r="V70" s="38">
        <v>252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21</v>
      </c>
      <c r="AD70" s="38">
        <v>21</v>
      </c>
      <c r="AE70" s="33">
        <v>45371</v>
      </c>
      <c r="AF70" s="33"/>
      <c r="AG70" s="33"/>
      <c r="AH70" s="33">
        <v>45402</v>
      </c>
      <c r="AI70" s="33"/>
      <c r="AJ70" s="42"/>
      <c r="AK70" s="37" t="s">
        <v>653</v>
      </c>
      <c r="AL70" s="37" t="s">
        <v>2072</v>
      </c>
      <c r="AM70" s="37" t="s">
        <v>655</v>
      </c>
      <c r="AN70" s="37" t="s">
        <v>143</v>
      </c>
      <c r="AO70" s="43">
        <v>0</v>
      </c>
      <c r="AP70" s="35">
        <v>100</v>
      </c>
      <c r="AQ70" s="35" t="s">
        <v>164</v>
      </c>
      <c r="AR70" s="44">
        <v>12</v>
      </c>
      <c r="AS70" s="37" t="s">
        <v>176</v>
      </c>
    </row>
    <row r="71" spans="1:45" ht="41.25" customHeight="1" x14ac:dyDescent="0.25">
      <c r="A71" s="36" t="s">
        <v>2159</v>
      </c>
      <c r="B71" s="33">
        <v>45335</v>
      </c>
      <c r="C71" s="37">
        <v>545</v>
      </c>
      <c r="D71" s="35" t="s">
        <v>485</v>
      </c>
      <c r="E71" s="1" t="s">
        <v>2160</v>
      </c>
      <c r="F71" s="35" t="s">
        <v>485</v>
      </c>
      <c r="G71" s="35" t="s">
        <v>485</v>
      </c>
      <c r="H71" s="35" t="s">
        <v>485</v>
      </c>
      <c r="I71" s="31" t="s">
        <v>644</v>
      </c>
      <c r="J71" s="38">
        <v>11343735</v>
      </c>
      <c r="K71" s="40">
        <v>100</v>
      </c>
      <c r="L71" s="41">
        <v>11343735</v>
      </c>
      <c r="M71" s="38"/>
      <c r="N71" s="41">
        <v>11343735</v>
      </c>
      <c r="O71" s="38">
        <v>0</v>
      </c>
      <c r="P71" s="27">
        <v>0</v>
      </c>
      <c r="Q71" s="27">
        <v>0</v>
      </c>
      <c r="R71" s="27" t="e">
        <v>#DIV/0!</v>
      </c>
      <c r="S71" s="38" t="e">
        <v>#DIV/0!</v>
      </c>
      <c r="T71" s="38" t="e">
        <v>#DIV/0!</v>
      </c>
      <c r="U71" s="38">
        <v>0</v>
      </c>
      <c r="V71" s="38">
        <v>0</v>
      </c>
      <c r="W71" s="38">
        <v>0</v>
      </c>
      <c r="X71" s="38">
        <v>0</v>
      </c>
      <c r="Y71" s="38"/>
      <c r="Z71" s="38" t="e">
        <v>#DIV/0!</v>
      </c>
      <c r="AA71" s="38"/>
      <c r="AB71" s="38" t="e">
        <v>#DIV/0!</v>
      </c>
      <c r="AC71" s="38" t="e">
        <v>#DIV/0!</v>
      </c>
      <c r="AD71" s="38" t="e">
        <v>#DIV/0!</v>
      </c>
      <c r="AE71" s="33">
        <v>45371</v>
      </c>
      <c r="AF71" s="33"/>
      <c r="AG71" s="33"/>
      <c r="AH71" s="33"/>
      <c r="AI71" s="33"/>
      <c r="AJ71" s="42"/>
      <c r="AK71" s="37"/>
      <c r="AL71" s="37"/>
      <c r="AM71" s="37"/>
      <c r="AN71" s="37"/>
      <c r="AO71" s="43"/>
      <c r="AP71" s="35"/>
      <c r="AQ71" s="35"/>
      <c r="AR71" s="44"/>
      <c r="AS71" s="37" t="s">
        <v>485</v>
      </c>
    </row>
    <row r="72" spans="1:45" ht="48" customHeight="1" x14ac:dyDescent="0.25">
      <c r="A72" s="32" t="s">
        <v>2266</v>
      </c>
      <c r="B72" s="56">
        <v>45338</v>
      </c>
      <c r="C72" s="35">
        <v>545</v>
      </c>
      <c r="D72" s="36"/>
      <c r="E72" s="1" t="s">
        <v>2267</v>
      </c>
      <c r="F72" s="33">
        <v>45362</v>
      </c>
      <c r="G72" s="35" t="s">
        <v>2268</v>
      </c>
      <c r="H72" s="37" t="s">
        <v>1897</v>
      </c>
      <c r="I72" s="59" t="s">
        <v>461</v>
      </c>
      <c r="J72" s="57">
        <v>19348243.199999999</v>
      </c>
      <c r="K72" s="40">
        <v>0</v>
      </c>
      <c r="L72" s="41">
        <v>0</v>
      </c>
      <c r="M72" s="57">
        <v>19348243.199999999</v>
      </c>
      <c r="N72" s="41">
        <v>0</v>
      </c>
      <c r="O72" s="38">
        <v>19348243.199999999</v>
      </c>
      <c r="P72" s="27">
        <v>19348243.199999999</v>
      </c>
      <c r="Q72" s="27">
        <v>19348243.199999999</v>
      </c>
      <c r="R72" s="27">
        <v>6201.36</v>
      </c>
      <c r="S72" s="38">
        <v>6201.36</v>
      </c>
      <c r="T72" s="38">
        <v>372081.6</v>
      </c>
      <c r="U72" s="38">
        <v>3120</v>
      </c>
      <c r="V72" s="38">
        <v>3120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52</v>
      </c>
      <c r="AD72" s="38">
        <v>52</v>
      </c>
      <c r="AE72" s="33">
        <v>45376</v>
      </c>
      <c r="AF72" s="33"/>
      <c r="AG72" s="33"/>
      <c r="AH72" s="33">
        <v>45407</v>
      </c>
      <c r="AI72" s="33"/>
      <c r="AJ72" s="42"/>
      <c r="AK72" s="37" t="s">
        <v>437</v>
      </c>
      <c r="AL72" s="37" t="s">
        <v>1898</v>
      </c>
      <c r="AM72" s="37" t="s">
        <v>439</v>
      </c>
      <c r="AN72" s="37" t="s">
        <v>440</v>
      </c>
      <c r="AO72" s="43">
        <v>0</v>
      </c>
      <c r="AP72" s="35">
        <v>100</v>
      </c>
      <c r="AQ72" s="35" t="s">
        <v>441</v>
      </c>
      <c r="AR72" s="44">
        <v>60</v>
      </c>
      <c r="AS72" s="37" t="s">
        <v>52</v>
      </c>
    </row>
    <row r="73" spans="1:45" ht="48" customHeight="1" x14ac:dyDescent="0.25">
      <c r="A73" s="32" t="s">
        <v>2269</v>
      </c>
      <c r="B73" s="56">
        <v>45338</v>
      </c>
      <c r="C73" s="35">
        <v>545</v>
      </c>
      <c r="D73" s="36"/>
      <c r="E73" s="1" t="s">
        <v>2270</v>
      </c>
      <c r="F73" s="33">
        <v>45362</v>
      </c>
      <c r="G73" s="35" t="s">
        <v>2271</v>
      </c>
      <c r="H73" s="37" t="s">
        <v>1897</v>
      </c>
      <c r="I73" s="59" t="s">
        <v>461</v>
      </c>
      <c r="J73" s="57">
        <v>18231998.399999999</v>
      </c>
      <c r="K73" s="40">
        <v>0</v>
      </c>
      <c r="L73" s="41">
        <v>0</v>
      </c>
      <c r="M73" s="57">
        <v>18231998.399999999</v>
      </c>
      <c r="N73" s="41">
        <v>0</v>
      </c>
      <c r="O73" s="38">
        <v>18231998.399999999</v>
      </c>
      <c r="P73" s="27">
        <v>20836569.600000001</v>
      </c>
      <c r="Q73" s="27">
        <v>20836569.600000001</v>
      </c>
      <c r="R73" s="27">
        <v>6201.3600000000006</v>
      </c>
      <c r="S73" s="38">
        <v>6201.3600000000006</v>
      </c>
      <c r="T73" s="38">
        <v>372081.60000000003</v>
      </c>
      <c r="U73" s="38">
        <v>3360</v>
      </c>
      <c r="V73" s="38">
        <v>3360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56</v>
      </c>
      <c r="AD73" s="38">
        <v>56</v>
      </c>
      <c r="AE73" s="33">
        <v>45376</v>
      </c>
      <c r="AF73" s="33"/>
      <c r="AG73" s="33"/>
      <c r="AH73" s="33">
        <v>45407</v>
      </c>
      <c r="AI73" s="33"/>
      <c r="AJ73" s="42"/>
      <c r="AK73" s="37" t="s">
        <v>437</v>
      </c>
      <c r="AL73" s="37" t="s">
        <v>1898</v>
      </c>
      <c r="AM73" s="37" t="s">
        <v>439</v>
      </c>
      <c r="AN73" s="37" t="s">
        <v>440</v>
      </c>
      <c r="AO73" s="43">
        <v>0</v>
      </c>
      <c r="AP73" s="35">
        <v>100</v>
      </c>
      <c r="AQ73" s="35" t="s">
        <v>441</v>
      </c>
      <c r="AR73" s="44">
        <v>60</v>
      </c>
      <c r="AS73" s="37" t="s">
        <v>52</v>
      </c>
    </row>
    <row r="74" spans="1:45" ht="48" customHeight="1" x14ac:dyDescent="0.25">
      <c r="A74" s="32" t="s">
        <v>2272</v>
      </c>
      <c r="B74" s="56">
        <v>45338</v>
      </c>
      <c r="C74" s="35">
        <v>545</v>
      </c>
      <c r="D74" s="36"/>
      <c r="E74" s="1" t="s">
        <v>2273</v>
      </c>
      <c r="F74" s="33">
        <v>45362</v>
      </c>
      <c r="G74" s="35" t="s">
        <v>2274</v>
      </c>
      <c r="H74" s="37" t="s">
        <v>1897</v>
      </c>
      <c r="I74" s="59" t="s">
        <v>461</v>
      </c>
      <c r="J74" s="57">
        <v>18604080</v>
      </c>
      <c r="K74" s="40">
        <v>0</v>
      </c>
      <c r="L74" s="41">
        <v>0</v>
      </c>
      <c r="M74" s="57">
        <v>18604080</v>
      </c>
      <c r="N74" s="41">
        <v>0</v>
      </c>
      <c r="O74" s="38">
        <v>18604080</v>
      </c>
      <c r="P74" s="27">
        <v>18604080</v>
      </c>
      <c r="Q74" s="27">
        <v>18604080</v>
      </c>
      <c r="R74" s="27">
        <v>6201.36</v>
      </c>
      <c r="S74" s="38">
        <v>6201.36</v>
      </c>
      <c r="T74" s="38">
        <v>372081.6</v>
      </c>
      <c r="U74" s="38">
        <v>3000</v>
      </c>
      <c r="V74" s="38">
        <v>3000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50</v>
      </c>
      <c r="AD74" s="38">
        <v>50</v>
      </c>
      <c r="AE74" s="33">
        <v>45376</v>
      </c>
      <c r="AF74" s="33"/>
      <c r="AG74" s="33"/>
      <c r="AH74" s="33">
        <v>45407</v>
      </c>
      <c r="AI74" s="33"/>
      <c r="AJ74" s="42"/>
      <c r="AK74" s="37" t="s">
        <v>437</v>
      </c>
      <c r="AL74" s="37" t="s">
        <v>1898</v>
      </c>
      <c r="AM74" s="37" t="s">
        <v>439</v>
      </c>
      <c r="AN74" s="37" t="s">
        <v>440</v>
      </c>
      <c r="AO74" s="43">
        <v>0</v>
      </c>
      <c r="AP74" s="35">
        <v>100</v>
      </c>
      <c r="AQ74" s="35" t="s">
        <v>441</v>
      </c>
      <c r="AR74" s="44">
        <v>60</v>
      </c>
      <c r="AS74" s="37" t="s">
        <v>52</v>
      </c>
    </row>
    <row r="75" spans="1:45" ht="48" customHeight="1" x14ac:dyDescent="0.25">
      <c r="A75" s="32" t="s">
        <v>2275</v>
      </c>
      <c r="B75" s="56">
        <v>45338</v>
      </c>
      <c r="C75" s="35">
        <v>545</v>
      </c>
      <c r="D75" s="36"/>
      <c r="E75" s="1" t="s">
        <v>2276</v>
      </c>
      <c r="F75" s="33">
        <v>45362</v>
      </c>
      <c r="G75" s="35" t="s">
        <v>2277</v>
      </c>
      <c r="H75" s="37" t="s">
        <v>1897</v>
      </c>
      <c r="I75" s="59" t="s">
        <v>461</v>
      </c>
      <c r="J75" s="57">
        <v>19720324.800000001</v>
      </c>
      <c r="K75" s="40">
        <v>0</v>
      </c>
      <c r="L75" s="41">
        <v>0</v>
      </c>
      <c r="M75" s="57">
        <v>19720324.800000001</v>
      </c>
      <c r="N75" s="41">
        <v>0</v>
      </c>
      <c r="O75" s="38">
        <v>19720324.800000001</v>
      </c>
      <c r="P75" s="27">
        <v>19720324.800000001</v>
      </c>
      <c r="Q75" s="27">
        <v>19720324.800000001</v>
      </c>
      <c r="R75" s="27">
        <v>6201.3600000000006</v>
      </c>
      <c r="S75" s="38">
        <v>6201.3600000000006</v>
      </c>
      <c r="T75" s="38">
        <v>372081.60000000003</v>
      </c>
      <c r="U75" s="38">
        <v>3180</v>
      </c>
      <c r="V75" s="38">
        <v>3180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53</v>
      </c>
      <c r="AD75" s="38">
        <v>53</v>
      </c>
      <c r="AE75" s="33">
        <v>45376</v>
      </c>
      <c r="AF75" s="33"/>
      <c r="AG75" s="33"/>
      <c r="AH75" s="33">
        <v>45407</v>
      </c>
      <c r="AI75" s="33"/>
      <c r="AJ75" s="42"/>
      <c r="AK75" s="37" t="s">
        <v>437</v>
      </c>
      <c r="AL75" s="37" t="s">
        <v>1898</v>
      </c>
      <c r="AM75" s="37" t="s">
        <v>439</v>
      </c>
      <c r="AN75" s="37" t="s">
        <v>440</v>
      </c>
      <c r="AO75" s="43">
        <v>0</v>
      </c>
      <c r="AP75" s="35">
        <v>100</v>
      </c>
      <c r="AQ75" s="35" t="s">
        <v>441</v>
      </c>
      <c r="AR75" s="44">
        <v>60</v>
      </c>
      <c r="AS75" s="37" t="s">
        <v>52</v>
      </c>
    </row>
    <row r="76" spans="1:45" ht="48" customHeight="1" x14ac:dyDescent="0.25">
      <c r="A76" s="32" t="s">
        <v>2278</v>
      </c>
      <c r="B76" s="56">
        <v>45338</v>
      </c>
      <c r="C76" s="35">
        <v>545</v>
      </c>
      <c r="D76" s="36"/>
      <c r="E76" s="1" t="s">
        <v>2279</v>
      </c>
      <c r="F76" s="33">
        <v>45362</v>
      </c>
      <c r="G76" s="35" t="s">
        <v>2280</v>
      </c>
      <c r="H76" s="37" t="s">
        <v>1897</v>
      </c>
      <c r="I76" s="59" t="s">
        <v>461</v>
      </c>
      <c r="J76" s="57">
        <v>18976161.600000001</v>
      </c>
      <c r="K76" s="40">
        <v>0</v>
      </c>
      <c r="L76" s="41">
        <v>0</v>
      </c>
      <c r="M76" s="57">
        <v>18976161.600000001</v>
      </c>
      <c r="N76" s="41">
        <v>0</v>
      </c>
      <c r="O76" s="38">
        <v>18976161.600000001</v>
      </c>
      <c r="P76" s="27">
        <v>18976161.600000001</v>
      </c>
      <c r="Q76" s="27">
        <v>18976161.600000001</v>
      </c>
      <c r="R76" s="27">
        <v>6201.3600000000006</v>
      </c>
      <c r="S76" s="38">
        <v>6201.3600000000006</v>
      </c>
      <c r="T76" s="38">
        <v>372081.60000000003</v>
      </c>
      <c r="U76" s="38">
        <v>3060</v>
      </c>
      <c r="V76" s="38">
        <v>3060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51</v>
      </c>
      <c r="AD76" s="38">
        <v>51</v>
      </c>
      <c r="AE76" s="33">
        <v>45376</v>
      </c>
      <c r="AF76" s="33"/>
      <c r="AG76" s="33"/>
      <c r="AH76" s="33">
        <v>45407</v>
      </c>
      <c r="AI76" s="33"/>
      <c r="AJ76" s="42"/>
      <c r="AK76" s="37" t="s">
        <v>437</v>
      </c>
      <c r="AL76" s="37" t="s">
        <v>1898</v>
      </c>
      <c r="AM76" s="37" t="s">
        <v>439</v>
      </c>
      <c r="AN76" s="37" t="s">
        <v>440</v>
      </c>
      <c r="AO76" s="43">
        <v>0</v>
      </c>
      <c r="AP76" s="35">
        <v>100</v>
      </c>
      <c r="AQ76" s="35" t="s">
        <v>441</v>
      </c>
      <c r="AR76" s="44">
        <v>60</v>
      </c>
      <c r="AS76" s="37" t="s">
        <v>52</v>
      </c>
    </row>
    <row r="77" spans="1:45" ht="48" customHeight="1" x14ac:dyDescent="0.25">
      <c r="A77" s="32" t="s">
        <v>2321</v>
      </c>
      <c r="B77" s="56">
        <v>45338</v>
      </c>
      <c r="C77" s="35">
        <v>545</v>
      </c>
      <c r="D77" s="36"/>
      <c r="E77" s="1" t="s">
        <v>2322</v>
      </c>
      <c r="F77" s="33">
        <v>45362</v>
      </c>
      <c r="G77" s="35" t="s">
        <v>2323</v>
      </c>
      <c r="H77" s="37" t="s">
        <v>1897</v>
      </c>
      <c r="I77" s="59" t="s">
        <v>461</v>
      </c>
      <c r="J77" s="57">
        <v>19348243.199999999</v>
      </c>
      <c r="K77" s="40">
        <v>0</v>
      </c>
      <c r="L77" s="41">
        <v>0</v>
      </c>
      <c r="M77" s="57">
        <v>19348243.199999999</v>
      </c>
      <c r="N77" s="41">
        <v>0</v>
      </c>
      <c r="O77" s="38">
        <v>19348243.199999999</v>
      </c>
      <c r="P77" s="27">
        <v>19348243.199999999</v>
      </c>
      <c r="Q77" s="27">
        <v>19348243.199999999</v>
      </c>
      <c r="R77" s="27">
        <v>6201.36</v>
      </c>
      <c r="S77" s="38">
        <v>6201.36</v>
      </c>
      <c r="T77" s="38">
        <v>372081.6</v>
      </c>
      <c r="U77" s="38">
        <v>3120</v>
      </c>
      <c r="V77" s="38">
        <v>3120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52</v>
      </c>
      <c r="AD77" s="38">
        <v>52</v>
      </c>
      <c r="AE77" s="33">
        <v>45376</v>
      </c>
      <c r="AF77" s="33"/>
      <c r="AG77" s="33"/>
      <c r="AH77" s="33">
        <v>45407</v>
      </c>
      <c r="AI77" s="33"/>
      <c r="AJ77" s="42"/>
      <c r="AK77" s="37" t="s">
        <v>437</v>
      </c>
      <c r="AL77" s="37" t="s">
        <v>1898</v>
      </c>
      <c r="AM77" s="37" t="s">
        <v>439</v>
      </c>
      <c r="AN77" s="37" t="s">
        <v>440</v>
      </c>
      <c r="AO77" s="43">
        <v>0</v>
      </c>
      <c r="AP77" s="35">
        <v>100</v>
      </c>
      <c r="AQ77" s="35" t="s">
        <v>441</v>
      </c>
      <c r="AR77" s="44">
        <v>60</v>
      </c>
      <c r="AS77" s="37" t="s">
        <v>52</v>
      </c>
    </row>
    <row r="78" spans="1:45" ht="48" customHeight="1" x14ac:dyDescent="0.25">
      <c r="A78" s="32" t="s">
        <v>2324</v>
      </c>
      <c r="B78" s="56">
        <v>45338</v>
      </c>
      <c r="C78" s="35">
        <v>545</v>
      </c>
      <c r="D78" s="36"/>
      <c r="E78" s="1" t="s">
        <v>2325</v>
      </c>
      <c r="F78" s="33">
        <v>45362</v>
      </c>
      <c r="G78" s="35" t="s">
        <v>2326</v>
      </c>
      <c r="H78" s="37" t="s">
        <v>1897</v>
      </c>
      <c r="I78" s="59" t="s">
        <v>461</v>
      </c>
      <c r="J78" s="57">
        <v>19720324.800000001</v>
      </c>
      <c r="K78" s="40">
        <v>0</v>
      </c>
      <c r="L78" s="41">
        <v>0</v>
      </c>
      <c r="M78" s="57">
        <v>19720324.800000001</v>
      </c>
      <c r="N78" s="41">
        <v>0</v>
      </c>
      <c r="O78" s="38">
        <v>19720324.800000001</v>
      </c>
      <c r="P78" s="27">
        <v>19720324.800000001</v>
      </c>
      <c r="Q78" s="27">
        <v>19720324.800000001</v>
      </c>
      <c r="R78" s="27">
        <v>6201.3600000000006</v>
      </c>
      <c r="S78" s="38">
        <v>6201.3600000000006</v>
      </c>
      <c r="T78" s="38">
        <v>372081.60000000003</v>
      </c>
      <c r="U78" s="38">
        <v>3180</v>
      </c>
      <c r="V78" s="38">
        <v>3180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53</v>
      </c>
      <c r="AD78" s="38">
        <v>53</v>
      </c>
      <c r="AE78" s="33">
        <v>45376</v>
      </c>
      <c r="AF78" s="33"/>
      <c r="AG78" s="33"/>
      <c r="AH78" s="33">
        <v>45407</v>
      </c>
      <c r="AI78" s="33"/>
      <c r="AJ78" s="42"/>
      <c r="AK78" s="37" t="s">
        <v>437</v>
      </c>
      <c r="AL78" s="37" t="s">
        <v>1898</v>
      </c>
      <c r="AM78" s="37" t="s">
        <v>439</v>
      </c>
      <c r="AN78" s="37" t="s">
        <v>440</v>
      </c>
      <c r="AO78" s="43">
        <v>0</v>
      </c>
      <c r="AP78" s="35">
        <v>100</v>
      </c>
      <c r="AQ78" s="35" t="s">
        <v>441</v>
      </c>
      <c r="AR78" s="44">
        <v>60</v>
      </c>
      <c r="AS78" s="37" t="s">
        <v>176</v>
      </c>
    </row>
    <row r="79" spans="1:45" ht="48" customHeight="1" x14ac:dyDescent="0.25">
      <c r="A79" s="32" t="s">
        <v>2327</v>
      </c>
      <c r="B79" s="56">
        <v>45338</v>
      </c>
      <c r="C79" s="35">
        <v>545</v>
      </c>
      <c r="D79" s="36"/>
      <c r="E79" s="1" t="s">
        <v>2328</v>
      </c>
      <c r="F79" s="33">
        <v>45362</v>
      </c>
      <c r="G79" s="35" t="s">
        <v>2329</v>
      </c>
      <c r="H79" s="37" t="s">
        <v>1897</v>
      </c>
      <c r="I79" s="59" t="s">
        <v>461</v>
      </c>
      <c r="J79" s="57">
        <v>18231998.399999999</v>
      </c>
      <c r="K79" s="40">
        <v>0</v>
      </c>
      <c r="L79" s="41">
        <v>0</v>
      </c>
      <c r="M79" s="57">
        <v>18231998.399999999</v>
      </c>
      <c r="N79" s="41">
        <v>0</v>
      </c>
      <c r="O79" s="38">
        <v>18231998.399999999</v>
      </c>
      <c r="P79" s="27">
        <v>18231998.399999999</v>
      </c>
      <c r="Q79" s="27">
        <v>18231998.399999999</v>
      </c>
      <c r="R79" s="27">
        <v>6201.36</v>
      </c>
      <c r="S79" s="38">
        <v>6201.36</v>
      </c>
      <c r="T79" s="38">
        <v>372081.6</v>
      </c>
      <c r="U79" s="38">
        <v>2940</v>
      </c>
      <c r="V79" s="38">
        <v>2940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49</v>
      </c>
      <c r="AD79" s="38">
        <v>49</v>
      </c>
      <c r="AE79" s="33">
        <v>45376</v>
      </c>
      <c r="AF79" s="33"/>
      <c r="AG79" s="33"/>
      <c r="AH79" s="33">
        <v>45407</v>
      </c>
      <c r="AI79" s="33"/>
      <c r="AJ79" s="42"/>
      <c r="AK79" s="37" t="s">
        <v>437</v>
      </c>
      <c r="AL79" s="37" t="s">
        <v>1898</v>
      </c>
      <c r="AM79" s="37" t="s">
        <v>439</v>
      </c>
      <c r="AN79" s="37" t="s">
        <v>440</v>
      </c>
      <c r="AO79" s="43">
        <v>0</v>
      </c>
      <c r="AP79" s="35">
        <v>100</v>
      </c>
      <c r="AQ79" s="35" t="s">
        <v>441</v>
      </c>
      <c r="AR79" s="44">
        <v>60</v>
      </c>
      <c r="AS79" s="37" t="s">
        <v>176</v>
      </c>
    </row>
    <row r="80" spans="1:45" ht="48" customHeight="1" x14ac:dyDescent="0.25">
      <c r="A80" s="32" t="s">
        <v>2330</v>
      </c>
      <c r="B80" s="56">
        <v>45338</v>
      </c>
      <c r="C80" s="37" t="s">
        <v>1861</v>
      </c>
      <c r="D80" s="36"/>
      <c r="E80" s="1" t="s">
        <v>2331</v>
      </c>
      <c r="F80" s="33">
        <v>45351</v>
      </c>
      <c r="G80" s="35" t="s">
        <v>2332</v>
      </c>
      <c r="H80" s="37" t="s">
        <v>556</v>
      </c>
      <c r="I80" s="58" t="s">
        <v>2333</v>
      </c>
      <c r="J80" s="57">
        <v>9774108.9600000009</v>
      </c>
      <c r="K80" s="40">
        <v>0</v>
      </c>
      <c r="L80" s="41">
        <v>0</v>
      </c>
      <c r="M80" s="38">
        <v>9774108.9600000009</v>
      </c>
      <c r="N80" s="41">
        <v>0</v>
      </c>
      <c r="O80" s="38">
        <v>9774108.9600000009</v>
      </c>
      <c r="P80" s="27">
        <v>9774108.9600000009</v>
      </c>
      <c r="Q80" s="27">
        <v>9774108.9600000009</v>
      </c>
      <c r="R80" s="27">
        <v>31.900000000000002</v>
      </c>
      <c r="S80" s="38">
        <v>31.900000000000002</v>
      </c>
      <c r="T80" s="38">
        <v>888555.3600000001</v>
      </c>
      <c r="U80" s="38">
        <v>306398.40000000002</v>
      </c>
      <c r="V80" s="38">
        <v>306398.40000000002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11</v>
      </c>
      <c r="AD80" s="38">
        <v>11</v>
      </c>
      <c r="AE80" s="33">
        <v>45371</v>
      </c>
      <c r="AF80" s="33"/>
      <c r="AG80" s="33"/>
      <c r="AH80" s="33">
        <v>45402</v>
      </c>
      <c r="AI80" s="33"/>
      <c r="AJ80" s="42"/>
      <c r="AK80" s="37" t="s">
        <v>2334</v>
      </c>
      <c r="AL80" s="37" t="s">
        <v>2335</v>
      </c>
      <c r="AM80" s="37" t="s">
        <v>2336</v>
      </c>
      <c r="AN80" s="37" t="s">
        <v>2320</v>
      </c>
      <c r="AO80" s="43">
        <v>0</v>
      </c>
      <c r="AP80" s="35">
        <v>100</v>
      </c>
      <c r="AQ80" s="35" t="s">
        <v>379</v>
      </c>
      <c r="AR80" s="49">
        <v>27854.400000000001</v>
      </c>
      <c r="AS80" s="37" t="s">
        <v>176</v>
      </c>
    </row>
    <row r="81" spans="1:45" ht="48" customHeight="1" x14ac:dyDescent="0.25">
      <c r="A81" s="32" t="s">
        <v>2337</v>
      </c>
      <c r="B81" s="56">
        <v>45342</v>
      </c>
      <c r="C81" s="37" t="s">
        <v>1861</v>
      </c>
      <c r="D81" s="35" t="s">
        <v>485</v>
      </c>
      <c r="E81" s="1" t="s">
        <v>2338</v>
      </c>
      <c r="F81" s="35" t="s">
        <v>485</v>
      </c>
      <c r="G81" s="35" t="s">
        <v>485</v>
      </c>
      <c r="H81" s="35" t="s">
        <v>485</v>
      </c>
      <c r="I81" s="58" t="s">
        <v>480</v>
      </c>
      <c r="J81" s="57">
        <v>9098575.1999999993</v>
      </c>
      <c r="K81" s="40">
        <v>100</v>
      </c>
      <c r="L81" s="41">
        <v>9098575.1999999993</v>
      </c>
      <c r="M81" s="38"/>
      <c r="N81" s="41">
        <v>9098575.1999999993</v>
      </c>
      <c r="O81" s="38">
        <v>0</v>
      </c>
      <c r="P81" s="27">
        <v>0</v>
      </c>
      <c r="Q81" s="27">
        <v>0</v>
      </c>
      <c r="R81" s="27" t="e">
        <v>#DIV/0!</v>
      </c>
      <c r="S81" s="38" t="e">
        <v>#DIV/0!</v>
      </c>
      <c r="T81" s="38" t="e">
        <v>#DIV/0!</v>
      </c>
      <c r="U81" s="38">
        <v>0</v>
      </c>
      <c r="V81" s="38">
        <v>0</v>
      </c>
      <c r="W81" s="38">
        <v>0</v>
      </c>
      <c r="X81" s="38">
        <v>0</v>
      </c>
      <c r="Y81" s="38"/>
      <c r="Z81" s="38" t="e">
        <v>#DIV/0!</v>
      </c>
      <c r="AA81" s="38"/>
      <c r="AB81" s="38" t="e">
        <v>#DIV/0!</v>
      </c>
      <c r="AC81" s="38" t="e">
        <v>#DIV/0!</v>
      </c>
      <c r="AD81" s="38" t="e">
        <v>#DIV/0!</v>
      </c>
      <c r="AE81" s="33">
        <v>45371</v>
      </c>
      <c r="AF81" s="33"/>
      <c r="AG81" s="33"/>
      <c r="AH81" s="33"/>
      <c r="AI81" s="33"/>
      <c r="AJ81" s="42"/>
      <c r="AK81" s="37"/>
      <c r="AL81" s="37"/>
      <c r="AM81" s="37"/>
      <c r="AN81" s="37"/>
      <c r="AO81" s="43"/>
      <c r="AP81" s="35"/>
      <c r="AQ81" s="35"/>
      <c r="AR81" s="44"/>
      <c r="AS81" s="37" t="s">
        <v>485</v>
      </c>
    </row>
    <row r="82" spans="1:45" ht="48" customHeight="1" x14ac:dyDescent="0.25">
      <c r="A82" s="32" t="s">
        <v>2339</v>
      </c>
      <c r="B82" s="56">
        <v>45342</v>
      </c>
      <c r="C82" s="37" t="s">
        <v>1861</v>
      </c>
      <c r="D82" s="35" t="s">
        <v>485</v>
      </c>
      <c r="E82" s="1" t="s">
        <v>2340</v>
      </c>
      <c r="F82" s="35" t="s">
        <v>485</v>
      </c>
      <c r="G82" s="35" t="s">
        <v>485</v>
      </c>
      <c r="H82" s="35" t="s">
        <v>485</v>
      </c>
      <c r="I82" s="59" t="s">
        <v>2341</v>
      </c>
      <c r="J82" s="57">
        <v>1454472</v>
      </c>
      <c r="K82" s="40">
        <v>100</v>
      </c>
      <c r="L82" s="41">
        <v>1454472</v>
      </c>
      <c r="M82" s="38"/>
      <c r="N82" s="41">
        <v>1454472</v>
      </c>
      <c r="O82" s="38">
        <v>0</v>
      </c>
      <c r="P82" s="27">
        <v>0</v>
      </c>
      <c r="Q82" s="27">
        <v>0</v>
      </c>
      <c r="R82" s="27" t="e">
        <v>#DIV/0!</v>
      </c>
      <c r="S82" s="38" t="e">
        <v>#DIV/0!</v>
      </c>
      <c r="T82" s="38" t="e">
        <v>#DIV/0!</v>
      </c>
      <c r="U82" s="38">
        <v>0</v>
      </c>
      <c r="V82" s="38">
        <v>0</v>
      </c>
      <c r="W82" s="38">
        <v>0</v>
      </c>
      <c r="X82" s="38">
        <v>0</v>
      </c>
      <c r="Y82" s="38"/>
      <c r="Z82" s="38" t="e">
        <v>#DIV/0!</v>
      </c>
      <c r="AA82" s="38"/>
      <c r="AB82" s="38" t="e">
        <v>#DIV/0!</v>
      </c>
      <c r="AC82" s="38" t="e">
        <v>#DIV/0!</v>
      </c>
      <c r="AD82" s="38" t="e">
        <v>#DIV/0!</v>
      </c>
      <c r="AE82" s="33">
        <v>45366</v>
      </c>
      <c r="AF82" s="33"/>
      <c r="AG82" s="33"/>
      <c r="AH82" s="33"/>
      <c r="AI82" s="33"/>
      <c r="AJ82" s="42"/>
      <c r="AK82" s="37"/>
      <c r="AL82" s="37"/>
      <c r="AM82" s="37"/>
      <c r="AN82" s="37"/>
      <c r="AO82" s="43"/>
      <c r="AP82" s="35"/>
      <c r="AQ82" s="35"/>
      <c r="AR82" s="44"/>
      <c r="AS82" s="37" t="s">
        <v>485</v>
      </c>
    </row>
    <row r="83" spans="1:45" ht="48" customHeight="1" x14ac:dyDescent="0.25">
      <c r="A83" s="32" t="s">
        <v>2342</v>
      </c>
      <c r="B83" s="56">
        <v>45342</v>
      </c>
      <c r="C83" s="37" t="s">
        <v>1861</v>
      </c>
      <c r="D83" s="35" t="s">
        <v>485</v>
      </c>
      <c r="E83" s="1" t="s">
        <v>2343</v>
      </c>
      <c r="F83" s="35" t="s">
        <v>485</v>
      </c>
      <c r="G83" s="35" t="s">
        <v>485</v>
      </c>
      <c r="H83" s="35" t="s">
        <v>485</v>
      </c>
      <c r="I83" s="58" t="s">
        <v>501</v>
      </c>
      <c r="J83" s="57">
        <v>3615117</v>
      </c>
      <c r="K83" s="40">
        <v>100</v>
      </c>
      <c r="L83" s="41">
        <v>3615117</v>
      </c>
      <c r="M83" s="38"/>
      <c r="N83" s="41">
        <v>3615117</v>
      </c>
      <c r="O83" s="38">
        <v>0</v>
      </c>
      <c r="P83" s="27">
        <v>0</v>
      </c>
      <c r="Q83" s="27">
        <v>0</v>
      </c>
      <c r="R83" s="27" t="e">
        <v>#DIV/0!</v>
      </c>
      <c r="S83" s="38" t="e">
        <v>#DIV/0!</v>
      </c>
      <c r="T83" s="38" t="e">
        <v>#DIV/0!</v>
      </c>
      <c r="U83" s="38">
        <v>0</v>
      </c>
      <c r="V83" s="38">
        <v>0</v>
      </c>
      <c r="W83" s="38">
        <v>0</v>
      </c>
      <c r="X83" s="38">
        <v>0</v>
      </c>
      <c r="Y83" s="38"/>
      <c r="Z83" s="38" t="e">
        <v>#DIV/0!</v>
      </c>
      <c r="AA83" s="38"/>
      <c r="AB83" s="38" t="e">
        <v>#DIV/0!</v>
      </c>
      <c r="AC83" s="38" t="e">
        <v>#DIV/0!</v>
      </c>
      <c r="AD83" s="38" t="e">
        <v>#DIV/0!</v>
      </c>
      <c r="AE83" s="33">
        <v>45371</v>
      </c>
      <c r="AF83" s="33"/>
      <c r="AG83" s="33"/>
      <c r="AH83" s="33"/>
      <c r="AI83" s="33"/>
      <c r="AJ83" s="42"/>
      <c r="AK83" s="37"/>
      <c r="AL83" s="37"/>
      <c r="AM83" s="37"/>
      <c r="AN83" s="37"/>
      <c r="AO83" s="43"/>
      <c r="AP83" s="35"/>
      <c r="AQ83" s="35"/>
      <c r="AR83" s="44"/>
      <c r="AS83" s="37" t="s">
        <v>485</v>
      </c>
    </row>
    <row r="84" spans="1:45" ht="39" customHeight="1" x14ac:dyDescent="0.25">
      <c r="A84" s="32" t="s">
        <v>2399</v>
      </c>
      <c r="B84" s="56">
        <v>45343</v>
      </c>
      <c r="C84" s="35">
        <v>545</v>
      </c>
      <c r="D84" s="35" t="s">
        <v>485</v>
      </c>
      <c r="E84" s="1" t="s">
        <v>2400</v>
      </c>
      <c r="F84" s="35" t="s">
        <v>485</v>
      </c>
      <c r="G84" s="35" t="s">
        <v>485</v>
      </c>
      <c r="H84" s="35" t="s">
        <v>485</v>
      </c>
      <c r="I84" s="58" t="s">
        <v>618</v>
      </c>
      <c r="J84" s="57">
        <v>40387347</v>
      </c>
      <c r="K84" s="40">
        <v>100</v>
      </c>
      <c r="L84" s="41">
        <v>40387347</v>
      </c>
      <c r="M84" s="38"/>
      <c r="N84" s="41">
        <v>40387347</v>
      </c>
      <c r="O84" s="38">
        <v>0</v>
      </c>
      <c r="P84" s="27">
        <v>0</v>
      </c>
      <c r="Q84" s="27">
        <v>0</v>
      </c>
      <c r="R84" s="27" t="e">
        <v>#DIV/0!</v>
      </c>
      <c r="S84" s="38" t="e">
        <v>#DIV/0!</v>
      </c>
      <c r="T84" s="38" t="e">
        <v>#DIV/0!</v>
      </c>
      <c r="U84" s="38">
        <v>0</v>
      </c>
      <c r="V84" s="38">
        <v>0</v>
      </c>
      <c r="W84" s="38">
        <v>0</v>
      </c>
      <c r="X84" s="38">
        <v>0</v>
      </c>
      <c r="Y84" s="38"/>
      <c r="Z84" s="38" t="e">
        <v>#DIV/0!</v>
      </c>
      <c r="AA84" s="38"/>
      <c r="AB84" s="38" t="e">
        <v>#DIV/0!</v>
      </c>
      <c r="AC84" s="38" t="e">
        <v>#DIV/0!</v>
      </c>
      <c r="AD84" s="38" t="e">
        <v>#DIV/0!</v>
      </c>
      <c r="AE84" s="33">
        <v>45382</v>
      </c>
      <c r="AF84" s="33"/>
      <c r="AG84" s="33"/>
      <c r="AH84" s="33"/>
      <c r="AI84" s="33"/>
      <c r="AJ84" s="42"/>
      <c r="AK84" s="37"/>
      <c r="AL84" s="37"/>
      <c r="AM84" s="37"/>
      <c r="AN84" s="37"/>
      <c r="AO84" s="43"/>
      <c r="AP84" s="35"/>
      <c r="AQ84" s="35"/>
      <c r="AR84" s="44"/>
      <c r="AS84" s="37" t="s">
        <v>485</v>
      </c>
    </row>
    <row r="85" spans="1:45" ht="43.5" customHeight="1" x14ac:dyDescent="0.25">
      <c r="A85" s="32" t="s">
        <v>2448</v>
      </c>
      <c r="B85" s="56">
        <v>45344</v>
      </c>
      <c r="C85" s="35">
        <v>545</v>
      </c>
      <c r="D85" s="36"/>
      <c r="E85" s="1" t="s">
        <v>2449</v>
      </c>
      <c r="F85" s="33">
        <v>45376</v>
      </c>
      <c r="G85" s="35" t="s">
        <v>2450</v>
      </c>
      <c r="H85" s="37" t="s">
        <v>331</v>
      </c>
      <c r="I85" s="58" t="s">
        <v>2451</v>
      </c>
      <c r="J85" s="57">
        <v>610782757.20000005</v>
      </c>
      <c r="K85" s="40">
        <v>0</v>
      </c>
      <c r="L85" s="41">
        <v>0</v>
      </c>
      <c r="M85" s="57">
        <v>610782757.20000005</v>
      </c>
      <c r="N85" s="41">
        <v>0</v>
      </c>
      <c r="O85" s="57">
        <v>610782757.20000005</v>
      </c>
      <c r="P85" s="27">
        <v>610782757.20000005</v>
      </c>
      <c r="Q85" s="27">
        <v>610782757.20000005</v>
      </c>
      <c r="R85" s="27">
        <v>204411.90000000002</v>
      </c>
      <c r="S85" s="38">
        <v>204411.90000000002</v>
      </c>
      <c r="T85" s="38">
        <v>919853.55</v>
      </c>
      <c r="U85" s="38">
        <v>2988</v>
      </c>
      <c r="V85" s="38">
        <v>2988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664</v>
      </c>
      <c r="AD85" s="38">
        <v>664</v>
      </c>
      <c r="AE85" s="33">
        <v>45402</v>
      </c>
      <c r="AF85" s="33"/>
      <c r="AG85" s="33"/>
      <c r="AH85" s="33">
        <v>45432</v>
      </c>
      <c r="AI85" s="33"/>
      <c r="AJ85" s="42"/>
      <c r="AK85" s="37" t="s">
        <v>2452</v>
      </c>
      <c r="AL85" s="37" t="s">
        <v>2453</v>
      </c>
      <c r="AM85" s="37" t="s">
        <v>804</v>
      </c>
      <c r="AN85" s="37" t="s">
        <v>224</v>
      </c>
      <c r="AO85" s="43">
        <v>0</v>
      </c>
      <c r="AP85" s="35">
        <v>100</v>
      </c>
      <c r="AQ85" s="35" t="s">
        <v>164</v>
      </c>
      <c r="AR85" s="49">
        <v>4.5</v>
      </c>
      <c r="AS85" s="37" t="s">
        <v>52</v>
      </c>
    </row>
    <row r="86" spans="1:45" ht="42" customHeight="1" x14ac:dyDescent="0.25">
      <c r="A86" s="32" t="s">
        <v>2533</v>
      </c>
      <c r="B86" s="56">
        <v>45348</v>
      </c>
      <c r="C86" s="35">
        <v>545</v>
      </c>
      <c r="D86" s="36"/>
      <c r="E86" s="1" t="s">
        <v>2534</v>
      </c>
      <c r="F86" s="33">
        <v>45369</v>
      </c>
      <c r="G86" s="35" t="s">
        <v>2535</v>
      </c>
      <c r="H86" s="37" t="s">
        <v>1897</v>
      </c>
      <c r="I86" s="59" t="s">
        <v>2536</v>
      </c>
      <c r="J86" s="57">
        <v>91159992</v>
      </c>
      <c r="K86" s="40">
        <v>0</v>
      </c>
      <c r="L86" s="41">
        <v>0</v>
      </c>
      <c r="M86" s="57">
        <v>91159992</v>
      </c>
      <c r="N86" s="41">
        <v>0</v>
      </c>
      <c r="O86" s="38">
        <v>91159992</v>
      </c>
      <c r="P86" s="27">
        <v>91159992</v>
      </c>
      <c r="Q86" s="27">
        <v>91159992</v>
      </c>
      <c r="R86" s="27">
        <v>6201.36</v>
      </c>
      <c r="S86" s="38">
        <v>6201.36</v>
      </c>
      <c r="T86" s="38">
        <v>372081.6</v>
      </c>
      <c r="U86" s="38">
        <v>14700</v>
      </c>
      <c r="V86" s="38">
        <v>14700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245</v>
      </c>
      <c r="AD86" s="38">
        <v>245</v>
      </c>
      <c r="AE86" s="33">
        <v>45397</v>
      </c>
      <c r="AF86" s="33"/>
      <c r="AG86" s="33"/>
      <c r="AH86" s="33">
        <v>45427</v>
      </c>
      <c r="AI86" s="33"/>
      <c r="AJ86" s="42"/>
      <c r="AK86" s="37" t="s">
        <v>437</v>
      </c>
      <c r="AL86" s="37" t="s">
        <v>1898</v>
      </c>
      <c r="AM86" s="37" t="s">
        <v>439</v>
      </c>
      <c r="AN86" s="37" t="s">
        <v>440</v>
      </c>
      <c r="AO86" s="43">
        <v>0</v>
      </c>
      <c r="AP86" s="35">
        <v>100</v>
      </c>
      <c r="AQ86" s="35" t="s">
        <v>441</v>
      </c>
      <c r="AR86" s="44">
        <v>60</v>
      </c>
      <c r="AS86" s="37" t="s">
        <v>52</v>
      </c>
    </row>
    <row r="87" spans="1:45" ht="42" customHeight="1" x14ac:dyDescent="0.25">
      <c r="A87" s="32" t="s">
        <v>2537</v>
      </c>
      <c r="B87" s="56">
        <v>45348</v>
      </c>
      <c r="C87" s="35">
        <v>545</v>
      </c>
      <c r="D87" s="36"/>
      <c r="E87" s="1" t="s">
        <v>2538</v>
      </c>
      <c r="F87" s="33">
        <v>45369</v>
      </c>
      <c r="G87" s="35" t="s">
        <v>2539</v>
      </c>
      <c r="H87" s="37" t="s">
        <v>1897</v>
      </c>
      <c r="I87" s="59" t="s">
        <v>2536</v>
      </c>
      <c r="J87" s="57">
        <v>90787910.400000006</v>
      </c>
      <c r="K87" s="40">
        <v>0</v>
      </c>
      <c r="L87" s="41">
        <v>0</v>
      </c>
      <c r="M87" s="57">
        <v>90787910.400000006</v>
      </c>
      <c r="N87" s="41">
        <v>0</v>
      </c>
      <c r="O87" s="38">
        <v>90787910.400000006</v>
      </c>
      <c r="P87" s="27">
        <v>101578276.8</v>
      </c>
      <c r="Q87" s="27">
        <v>101578276.8</v>
      </c>
      <c r="R87" s="27">
        <v>6201.36</v>
      </c>
      <c r="S87" s="38">
        <v>6201.36</v>
      </c>
      <c r="T87" s="38">
        <v>372081.6</v>
      </c>
      <c r="U87" s="38">
        <v>16380</v>
      </c>
      <c r="V87" s="38">
        <v>16380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273</v>
      </c>
      <c r="AD87" s="38">
        <v>273</v>
      </c>
      <c r="AE87" s="33">
        <v>45397</v>
      </c>
      <c r="AF87" s="33"/>
      <c r="AG87" s="33"/>
      <c r="AH87" s="33">
        <v>45427</v>
      </c>
      <c r="AI87" s="33"/>
      <c r="AJ87" s="42"/>
      <c r="AK87" s="37" t="s">
        <v>437</v>
      </c>
      <c r="AL87" s="37" t="s">
        <v>1898</v>
      </c>
      <c r="AM87" s="37" t="s">
        <v>439</v>
      </c>
      <c r="AN87" s="37" t="s">
        <v>440</v>
      </c>
      <c r="AO87" s="43">
        <v>0</v>
      </c>
      <c r="AP87" s="35">
        <v>100</v>
      </c>
      <c r="AQ87" s="35" t="s">
        <v>441</v>
      </c>
      <c r="AR87" s="44">
        <v>60</v>
      </c>
      <c r="AS87" s="37" t="s">
        <v>52</v>
      </c>
    </row>
    <row r="88" spans="1:45" ht="42" customHeight="1" x14ac:dyDescent="0.25">
      <c r="A88" s="32" t="s">
        <v>2540</v>
      </c>
      <c r="B88" s="56">
        <v>45348</v>
      </c>
      <c r="C88" s="35">
        <v>545</v>
      </c>
      <c r="D88" s="36"/>
      <c r="E88" s="1" t="s">
        <v>2541</v>
      </c>
      <c r="F88" s="33">
        <v>45369</v>
      </c>
      <c r="G88" s="35" t="s">
        <v>2542</v>
      </c>
      <c r="H88" s="37" t="s">
        <v>1897</v>
      </c>
      <c r="I88" s="59" t="s">
        <v>2536</v>
      </c>
      <c r="J88" s="57">
        <v>91159992</v>
      </c>
      <c r="K88" s="40">
        <v>0</v>
      </c>
      <c r="L88" s="41">
        <v>0</v>
      </c>
      <c r="M88" s="57">
        <v>91159992</v>
      </c>
      <c r="N88" s="41">
        <v>0</v>
      </c>
      <c r="O88" s="38">
        <v>91159992</v>
      </c>
      <c r="P88" s="27">
        <v>94136644.799999997</v>
      </c>
      <c r="Q88" s="27">
        <v>94136644.799999997</v>
      </c>
      <c r="R88" s="27">
        <v>6201.36</v>
      </c>
      <c r="S88" s="38">
        <v>6201.36</v>
      </c>
      <c r="T88" s="38">
        <v>372081.6</v>
      </c>
      <c r="U88" s="38">
        <v>15180</v>
      </c>
      <c r="V88" s="38">
        <v>15180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253</v>
      </c>
      <c r="AD88" s="38">
        <v>253</v>
      </c>
      <c r="AE88" s="33">
        <v>45397</v>
      </c>
      <c r="AF88" s="33"/>
      <c r="AG88" s="33"/>
      <c r="AH88" s="33">
        <v>45427</v>
      </c>
      <c r="AI88" s="33"/>
      <c r="AJ88" s="42"/>
      <c r="AK88" s="37" t="s">
        <v>437</v>
      </c>
      <c r="AL88" s="37" t="s">
        <v>1898</v>
      </c>
      <c r="AM88" s="37" t="s">
        <v>439</v>
      </c>
      <c r="AN88" s="37" t="s">
        <v>440</v>
      </c>
      <c r="AO88" s="43">
        <v>0</v>
      </c>
      <c r="AP88" s="35">
        <v>100</v>
      </c>
      <c r="AQ88" s="35" t="s">
        <v>441</v>
      </c>
      <c r="AR88" s="44">
        <v>60</v>
      </c>
      <c r="AS88" s="37" t="s">
        <v>52</v>
      </c>
    </row>
    <row r="89" spans="1:45" ht="42" customHeight="1" x14ac:dyDescent="0.25">
      <c r="A89" s="32" t="s">
        <v>2543</v>
      </c>
      <c r="B89" s="56">
        <v>45348</v>
      </c>
      <c r="C89" s="35">
        <v>545</v>
      </c>
      <c r="D89" s="36"/>
      <c r="E89" s="1" t="s">
        <v>2544</v>
      </c>
      <c r="F89" s="33">
        <v>45369</v>
      </c>
      <c r="G89" s="35" t="s">
        <v>2545</v>
      </c>
      <c r="H89" s="37" t="s">
        <v>1897</v>
      </c>
      <c r="I89" s="59" t="s">
        <v>2536</v>
      </c>
      <c r="J89" s="57">
        <v>46510200</v>
      </c>
      <c r="K89" s="40">
        <v>0</v>
      </c>
      <c r="L89" s="41">
        <v>0</v>
      </c>
      <c r="M89" s="57">
        <v>46510200</v>
      </c>
      <c r="N89" s="41">
        <v>0</v>
      </c>
      <c r="O89" s="38">
        <v>46510200</v>
      </c>
      <c r="P89" s="27">
        <v>46510200</v>
      </c>
      <c r="Q89" s="27">
        <v>46510200</v>
      </c>
      <c r="R89" s="27">
        <v>6201.36</v>
      </c>
      <c r="S89" s="38">
        <v>6201.36</v>
      </c>
      <c r="T89" s="38">
        <v>372081.6</v>
      </c>
      <c r="U89" s="38">
        <v>7500</v>
      </c>
      <c r="V89" s="38">
        <v>7500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125</v>
      </c>
      <c r="AD89" s="38">
        <v>125</v>
      </c>
      <c r="AE89" s="33">
        <v>45397</v>
      </c>
      <c r="AF89" s="33"/>
      <c r="AG89" s="33"/>
      <c r="AH89" s="33">
        <v>45427</v>
      </c>
      <c r="AI89" s="33"/>
      <c r="AJ89" s="42"/>
      <c r="AK89" s="37" t="s">
        <v>437</v>
      </c>
      <c r="AL89" s="37" t="s">
        <v>1898</v>
      </c>
      <c r="AM89" s="37" t="s">
        <v>439</v>
      </c>
      <c r="AN89" s="37" t="s">
        <v>440</v>
      </c>
      <c r="AO89" s="43">
        <v>0</v>
      </c>
      <c r="AP89" s="35">
        <v>100</v>
      </c>
      <c r="AQ89" s="35" t="s">
        <v>441</v>
      </c>
      <c r="AR89" s="44">
        <v>60</v>
      </c>
      <c r="AS89" s="37" t="s">
        <v>52</v>
      </c>
    </row>
    <row r="90" spans="1:45" ht="42" customHeight="1" x14ac:dyDescent="0.25">
      <c r="A90" s="32" t="s">
        <v>2546</v>
      </c>
      <c r="B90" s="56">
        <v>45348</v>
      </c>
      <c r="C90" s="35">
        <v>545</v>
      </c>
      <c r="D90" s="36"/>
      <c r="E90" s="1" t="s">
        <v>2547</v>
      </c>
      <c r="F90" s="33">
        <v>45369</v>
      </c>
      <c r="G90" s="35" t="s">
        <v>2548</v>
      </c>
      <c r="H90" s="37" t="s">
        <v>1897</v>
      </c>
      <c r="I90" s="59" t="s">
        <v>2536</v>
      </c>
      <c r="J90" s="57">
        <v>85950849.599999994</v>
      </c>
      <c r="K90" s="40">
        <v>0</v>
      </c>
      <c r="L90" s="41">
        <v>0</v>
      </c>
      <c r="M90" s="57">
        <v>85950849.599999994</v>
      </c>
      <c r="N90" s="41">
        <v>0</v>
      </c>
      <c r="O90" s="38">
        <v>85950849.599999994</v>
      </c>
      <c r="P90" s="27">
        <v>85950849.599999994</v>
      </c>
      <c r="Q90" s="27">
        <v>85950849.599999994</v>
      </c>
      <c r="R90" s="27">
        <v>6201.36</v>
      </c>
      <c r="S90" s="38">
        <v>6201.36</v>
      </c>
      <c r="T90" s="38">
        <v>372081.6</v>
      </c>
      <c r="U90" s="38">
        <v>13860</v>
      </c>
      <c r="V90" s="38">
        <v>13860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231</v>
      </c>
      <c r="AD90" s="38">
        <v>231</v>
      </c>
      <c r="AE90" s="33">
        <v>45397</v>
      </c>
      <c r="AF90" s="33"/>
      <c r="AG90" s="33"/>
      <c r="AH90" s="33">
        <v>45427</v>
      </c>
      <c r="AI90" s="33"/>
      <c r="AJ90" s="42"/>
      <c r="AK90" s="37" t="s">
        <v>437</v>
      </c>
      <c r="AL90" s="37" t="s">
        <v>1898</v>
      </c>
      <c r="AM90" s="37" t="s">
        <v>439</v>
      </c>
      <c r="AN90" s="37" t="s">
        <v>440</v>
      </c>
      <c r="AO90" s="43">
        <v>0</v>
      </c>
      <c r="AP90" s="35">
        <v>100</v>
      </c>
      <c r="AQ90" s="35" t="s">
        <v>441</v>
      </c>
      <c r="AR90" s="44">
        <v>60</v>
      </c>
      <c r="AS90" s="37" t="s">
        <v>52</v>
      </c>
    </row>
    <row r="91" spans="1:45" ht="42" customHeight="1" x14ac:dyDescent="0.25">
      <c r="A91" s="32" t="s">
        <v>2549</v>
      </c>
      <c r="B91" s="56">
        <v>45348</v>
      </c>
      <c r="C91" s="35">
        <v>545</v>
      </c>
      <c r="D91" s="36"/>
      <c r="E91" s="1" t="s">
        <v>2550</v>
      </c>
      <c r="F91" s="33">
        <v>45369</v>
      </c>
      <c r="G91" s="35" t="s">
        <v>2551</v>
      </c>
      <c r="H91" s="37" t="s">
        <v>1897</v>
      </c>
      <c r="I91" s="59" t="s">
        <v>461</v>
      </c>
      <c r="J91" s="57">
        <v>89299584</v>
      </c>
      <c r="K91" s="40">
        <v>0</v>
      </c>
      <c r="L91" s="41">
        <v>0</v>
      </c>
      <c r="M91" s="57">
        <v>89299584</v>
      </c>
      <c r="N91" s="41">
        <v>0</v>
      </c>
      <c r="O91" s="38">
        <v>89299584</v>
      </c>
      <c r="P91" s="27">
        <v>94880808</v>
      </c>
      <c r="Q91" s="27">
        <v>94880808</v>
      </c>
      <c r="R91" s="27">
        <v>6201.36</v>
      </c>
      <c r="S91" s="38">
        <v>6201.36</v>
      </c>
      <c r="T91" s="38">
        <v>372081.6</v>
      </c>
      <c r="U91" s="38">
        <v>15300</v>
      </c>
      <c r="V91" s="38">
        <v>15300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255</v>
      </c>
      <c r="AD91" s="38">
        <v>255</v>
      </c>
      <c r="AE91" s="33">
        <v>45397</v>
      </c>
      <c r="AF91" s="33"/>
      <c r="AG91" s="33"/>
      <c r="AH91" s="33">
        <v>45427</v>
      </c>
      <c r="AI91" s="33"/>
      <c r="AJ91" s="42"/>
      <c r="AK91" s="37" t="s">
        <v>437</v>
      </c>
      <c r="AL91" s="37" t="s">
        <v>1898</v>
      </c>
      <c r="AM91" s="37" t="s">
        <v>439</v>
      </c>
      <c r="AN91" s="37" t="s">
        <v>440</v>
      </c>
      <c r="AO91" s="43">
        <v>0</v>
      </c>
      <c r="AP91" s="35">
        <v>100</v>
      </c>
      <c r="AQ91" s="35" t="s">
        <v>441</v>
      </c>
      <c r="AR91" s="44">
        <v>60</v>
      </c>
      <c r="AS91" s="37" t="s">
        <v>52</v>
      </c>
    </row>
    <row r="92" spans="1:45" ht="42" customHeight="1" x14ac:dyDescent="0.25">
      <c r="A92" s="32" t="s">
        <v>2552</v>
      </c>
      <c r="B92" s="56">
        <v>45348</v>
      </c>
      <c r="C92" s="35">
        <v>545</v>
      </c>
      <c r="D92" s="36"/>
      <c r="E92" s="1" t="s">
        <v>2553</v>
      </c>
      <c r="F92" s="33">
        <v>45369</v>
      </c>
      <c r="G92" s="35" t="s">
        <v>2554</v>
      </c>
      <c r="H92" s="37" t="s">
        <v>1897</v>
      </c>
      <c r="I92" s="59" t="s">
        <v>461</v>
      </c>
      <c r="J92" s="57">
        <v>93764563.200000003</v>
      </c>
      <c r="K92" s="40">
        <v>0</v>
      </c>
      <c r="L92" s="41">
        <v>0</v>
      </c>
      <c r="M92" s="57">
        <v>93764563.200000003</v>
      </c>
      <c r="N92" s="41">
        <v>0</v>
      </c>
      <c r="O92" s="38">
        <v>93764563.200000003</v>
      </c>
      <c r="P92" s="27">
        <v>93764563.200000003</v>
      </c>
      <c r="Q92" s="27">
        <v>93764563.200000003</v>
      </c>
      <c r="R92" s="27">
        <v>6201.3600000000006</v>
      </c>
      <c r="S92" s="38">
        <v>6201.3600000000006</v>
      </c>
      <c r="T92" s="38">
        <v>372081.60000000003</v>
      </c>
      <c r="U92" s="38">
        <v>15120</v>
      </c>
      <c r="V92" s="38">
        <v>15120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252</v>
      </c>
      <c r="AD92" s="38">
        <v>252</v>
      </c>
      <c r="AE92" s="33">
        <v>45397</v>
      </c>
      <c r="AF92" s="33"/>
      <c r="AG92" s="33"/>
      <c r="AH92" s="33">
        <v>45427</v>
      </c>
      <c r="AI92" s="33"/>
      <c r="AJ92" s="42"/>
      <c r="AK92" s="37" t="s">
        <v>437</v>
      </c>
      <c r="AL92" s="37" t="s">
        <v>1898</v>
      </c>
      <c r="AM92" s="37" t="s">
        <v>439</v>
      </c>
      <c r="AN92" s="37" t="s">
        <v>440</v>
      </c>
      <c r="AO92" s="43">
        <v>0</v>
      </c>
      <c r="AP92" s="35">
        <v>100</v>
      </c>
      <c r="AQ92" s="35" t="s">
        <v>441</v>
      </c>
      <c r="AR92" s="44">
        <v>60</v>
      </c>
      <c r="AS92" s="37" t="s">
        <v>176</v>
      </c>
    </row>
    <row r="93" spans="1:45" ht="42" customHeight="1" x14ac:dyDescent="0.25">
      <c r="A93" s="32" t="s">
        <v>2555</v>
      </c>
      <c r="B93" s="56">
        <v>45348</v>
      </c>
      <c r="C93" s="35">
        <v>545</v>
      </c>
      <c r="D93" s="36"/>
      <c r="E93" s="1" t="s">
        <v>2556</v>
      </c>
      <c r="F93" s="33">
        <v>45369</v>
      </c>
      <c r="G93" s="35" t="s">
        <v>2557</v>
      </c>
      <c r="H93" s="37" t="s">
        <v>1897</v>
      </c>
      <c r="I93" s="59" t="s">
        <v>461</v>
      </c>
      <c r="J93" s="57">
        <v>93020400</v>
      </c>
      <c r="K93" s="40">
        <v>0</v>
      </c>
      <c r="L93" s="41">
        <v>0</v>
      </c>
      <c r="M93" s="57">
        <v>93020400</v>
      </c>
      <c r="N93" s="41">
        <v>0</v>
      </c>
      <c r="O93" s="38">
        <v>93020400</v>
      </c>
      <c r="P93" s="27">
        <v>93020400</v>
      </c>
      <c r="Q93" s="27">
        <v>93020400</v>
      </c>
      <c r="R93" s="27">
        <v>6201.36</v>
      </c>
      <c r="S93" s="38">
        <v>6201.36</v>
      </c>
      <c r="T93" s="38">
        <v>372081.6</v>
      </c>
      <c r="U93" s="38">
        <v>15000</v>
      </c>
      <c r="V93" s="38">
        <v>4020</v>
      </c>
      <c r="W93" s="38">
        <v>10980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250</v>
      </c>
      <c r="AD93" s="38">
        <v>250</v>
      </c>
      <c r="AE93" s="33">
        <v>45397</v>
      </c>
      <c r="AF93" s="33">
        <v>45443</v>
      </c>
      <c r="AG93" s="33"/>
      <c r="AH93" s="33">
        <v>45427</v>
      </c>
      <c r="AI93" s="33"/>
      <c r="AJ93" s="42"/>
      <c r="AK93" s="37" t="s">
        <v>437</v>
      </c>
      <c r="AL93" s="37" t="s">
        <v>1898</v>
      </c>
      <c r="AM93" s="37" t="s">
        <v>439</v>
      </c>
      <c r="AN93" s="37" t="s">
        <v>440</v>
      </c>
      <c r="AO93" s="43">
        <v>0</v>
      </c>
      <c r="AP93" s="35">
        <v>100</v>
      </c>
      <c r="AQ93" s="35" t="s">
        <v>441</v>
      </c>
      <c r="AR93" s="44">
        <v>60</v>
      </c>
      <c r="AS93" s="37" t="s">
        <v>52</v>
      </c>
    </row>
    <row r="94" spans="1:45" ht="42.75" customHeight="1" x14ac:dyDescent="0.25">
      <c r="A94" s="32" t="s">
        <v>2638</v>
      </c>
      <c r="B94" s="56">
        <v>45350</v>
      </c>
      <c r="C94" s="35">
        <v>545</v>
      </c>
      <c r="D94" s="36"/>
      <c r="E94" s="1" t="s">
        <v>2639</v>
      </c>
      <c r="F94" s="33">
        <v>45371</v>
      </c>
      <c r="G94" s="35" t="s">
        <v>2640</v>
      </c>
      <c r="H94" s="37" t="s">
        <v>219</v>
      </c>
      <c r="I94" s="58" t="s">
        <v>403</v>
      </c>
      <c r="J94" s="57">
        <v>234422920.80000001</v>
      </c>
      <c r="K94" s="40">
        <v>0</v>
      </c>
      <c r="L94" s="41">
        <v>0</v>
      </c>
      <c r="M94" s="38">
        <v>234422920.80000001</v>
      </c>
      <c r="N94" s="41">
        <v>0</v>
      </c>
      <c r="O94" s="38">
        <v>234422920.80000001</v>
      </c>
      <c r="P94" s="27">
        <v>303881564</v>
      </c>
      <c r="Q94" s="27">
        <v>303881564</v>
      </c>
      <c r="R94" s="27">
        <v>868233.04</v>
      </c>
      <c r="S94" s="38">
        <v>868233.04</v>
      </c>
      <c r="T94" s="38">
        <v>4341165.2</v>
      </c>
      <c r="U94" s="38">
        <v>350</v>
      </c>
      <c r="V94" s="38">
        <v>350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70</v>
      </c>
      <c r="AD94" s="38">
        <v>70</v>
      </c>
      <c r="AE94" s="56">
        <v>45397</v>
      </c>
      <c r="AF94" s="33"/>
      <c r="AG94" s="33"/>
      <c r="AH94" s="33">
        <v>45427</v>
      </c>
      <c r="AI94" s="33"/>
      <c r="AJ94" s="42"/>
      <c r="AK94" s="37" t="s">
        <v>1553</v>
      </c>
      <c r="AL94" s="37" t="s">
        <v>1554</v>
      </c>
      <c r="AM94" s="37" t="s">
        <v>1555</v>
      </c>
      <c r="AN94" s="37" t="s">
        <v>224</v>
      </c>
      <c r="AO94" s="43">
        <v>0</v>
      </c>
      <c r="AP94" s="35">
        <v>100</v>
      </c>
      <c r="AQ94" s="35" t="s">
        <v>164</v>
      </c>
      <c r="AR94" s="44">
        <v>5</v>
      </c>
      <c r="AS94" s="37" t="s">
        <v>52</v>
      </c>
    </row>
    <row r="95" spans="1:45" ht="43.5" customHeight="1" x14ac:dyDescent="0.25">
      <c r="A95" s="32" t="s">
        <v>2663</v>
      </c>
      <c r="B95" s="56">
        <v>45350</v>
      </c>
      <c r="C95" s="35">
        <v>545</v>
      </c>
      <c r="D95" s="36"/>
      <c r="E95" s="1" t="s">
        <v>2664</v>
      </c>
      <c r="F95" s="33">
        <v>45364</v>
      </c>
      <c r="G95" s="35" t="s">
        <v>2665</v>
      </c>
      <c r="H95" s="37" t="s">
        <v>331</v>
      </c>
      <c r="I95" s="58" t="s">
        <v>2341</v>
      </c>
      <c r="J95" s="57">
        <v>1454472</v>
      </c>
      <c r="K95" s="40">
        <v>0</v>
      </c>
      <c r="L95" s="41">
        <v>0</v>
      </c>
      <c r="M95" s="57">
        <v>1454472</v>
      </c>
      <c r="N95" s="41">
        <v>3.6000000000931323</v>
      </c>
      <c r="O95" s="38">
        <v>1454468.4</v>
      </c>
      <c r="P95" s="27">
        <v>1454468.4</v>
      </c>
      <c r="Q95" s="27">
        <v>1454468.4</v>
      </c>
      <c r="R95" s="27">
        <v>4040.1899999999996</v>
      </c>
      <c r="S95" s="38">
        <v>4040.1899999999996</v>
      </c>
      <c r="T95" s="38">
        <v>242411.39999999997</v>
      </c>
      <c r="U95" s="38">
        <v>360</v>
      </c>
      <c r="V95" s="38">
        <v>360</v>
      </c>
      <c r="W95" s="38">
        <v>0</v>
      </c>
      <c r="X95" s="38">
        <v>0</v>
      </c>
      <c r="Y95" s="38">
        <v>0</v>
      </c>
      <c r="Z95" s="38">
        <v>0</v>
      </c>
      <c r="AA95" s="38">
        <v>360</v>
      </c>
      <c r="AB95" s="38">
        <v>1454468.4</v>
      </c>
      <c r="AC95" s="38">
        <v>6</v>
      </c>
      <c r="AD95" s="38">
        <v>6</v>
      </c>
      <c r="AE95" s="33">
        <v>45366</v>
      </c>
      <c r="AF95" s="33"/>
      <c r="AG95" s="33"/>
      <c r="AH95" s="33">
        <v>45397</v>
      </c>
      <c r="AI95" s="33"/>
      <c r="AJ95" s="42"/>
      <c r="AK95" s="37" t="s">
        <v>639</v>
      </c>
      <c r="AL95" s="37" t="s">
        <v>2666</v>
      </c>
      <c r="AM95" s="37" t="s">
        <v>641</v>
      </c>
      <c r="AN95" s="37" t="s">
        <v>174</v>
      </c>
      <c r="AO95" s="43">
        <v>0</v>
      </c>
      <c r="AP95" s="35">
        <v>100</v>
      </c>
      <c r="AQ95" s="35" t="s">
        <v>441</v>
      </c>
      <c r="AR95" s="44">
        <v>60</v>
      </c>
      <c r="AS95" s="37" t="s">
        <v>176</v>
      </c>
    </row>
    <row r="96" spans="1:45" ht="45.75" customHeight="1" x14ac:dyDescent="0.25">
      <c r="A96" s="32" t="s">
        <v>2674</v>
      </c>
      <c r="B96" s="56">
        <v>45352</v>
      </c>
      <c r="C96" s="35">
        <v>545</v>
      </c>
      <c r="D96" s="36"/>
      <c r="E96" s="1" t="s">
        <v>2675</v>
      </c>
      <c r="F96" s="33">
        <v>45376</v>
      </c>
      <c r="G96" s="35" t="s">
        <v>2676</v>
      </c>
      <c r="H96" s="37" t="s">
        <v>556</v>
      </c>
      <c r="I96" s="64" t="s">
        <v>2677</v>
      </c>
      <c r="J96" s="57">
        <v>183077904.24000001</v>
      </c>
      <c r="K96" s="40">
        <v>0</v>
      </c>
      <c r="L96" s="41">
        <v>0</v>
      </c>
      <c r="M96" s="57">
        <v>183077904.24000001</v>
      </c>
      <c r="N96" s="41">
        <v>0</v>
      </c>
      <c r="O96" s="57">
        <v>183077904.24000001</v>
      </c>
      <c r="P96" s="27">
        <v>207842065.19999999</v>
      </c>
      <c r="Q96" s="27">
        <v>207842065.19999999</v>
      </c>
      <c r="R96" s="27">
        <v>47.699999999999996</v>
      </c>
      <c r="S96" s="38">
        <v>47.699999999999996</v>
      </c>
      <c r="T96" s="38">
        <v>884434.31999999983</v>
      </c>
      <c r="U96" s="38">
        <v>4357276</v>
      </c>
      <c r="V96" s="38">
        <v>2781240</v>
      </c>
      <c r="W96" s="38">
        <v>1576036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235.00000000000003</v>
      </c>
      <c r="AD96" s="38">
        <v>235</v>
      </c>
      <c r="AE96" s="33">
        <v>45412</v>
      </c>
      <c r="AF96" s="33">
        <v>45504</v>
      </c>
      <c r="AG96" s="33"/>
      <c r="AH96" s="33">
        <v>45444</v>
      </c>
      <c r="AI96" s="33">
        <v>45536</v>
      </c>
      <c r="AJ96" s="42"/>
      <c r="AK96" s="37" t="s">
        <v>2334</v>
      </c>
      <c r="AL96" s="37" t="s">
        <v>2678</v>
      </c>
      <c r="AM96" s="37" t="s">
        <v>2336</v>
      </c>
      <c r="AN96" s="37" t="s">
        <v>2320</v>
      </c>
      <c r="AO96" s="43">
        <v>0</v>
      </c>
      <c r="AP96" s="35">
        <v>100</v>
      </c>
      <c r="AQ96" s="35" t="s">
        <v>379</v>
      </c>
      <c r="AR96" s="49">
        <v>18541.599999999999</v>
      </c>
      <c r="AS96" s="37" t="s">
        <v>52</v>
      </c>
    </row>
    <row r="97" spans="1:45" ht="43.5" customHeight="1" x14ac:dyDescent="0.25">
      <c r="A97" s="32" t="s">
        <v>2785</v>
      </c>
      <c r="B97" s="56">
        <v>45355</v>
      </c>
      <c r="C97" s="35" t="s">
        <v>1861</v>
      </c>
      <c r="D97" s="35" t="s">
        <v>485</v>
      </c>
      <c r="E97" s="1" t="s">
        <v>2786</v>
      </c>
      <c r="F97" s="35" t="s">
        <v>485</v>
      </c>
      <c r="G97" s="35" t="s">
        <v>485</v>
      </c>
      <c r="H97" s="35" t="s">
        <v>485</v>
      </c>
      <c r="I97" s="58" t="s">
        <v>2787</v>
      </c>
      <c r="J97" s="57">
        <v>3677355</v>
      </c>
      <c r="K97" s="40">
        <v>100</v>
      </c>
      <c r="L97" s="41">
        <v>3677355</v>
      </c>
      <c r="M97" s="38"/>
      <c r="N97" s="41">
        <v>3677355</v>
      </c>
      <c r="O97" s="38">
        <v>0</v>
      </c>
      <c r="P97" s="27">
        <v>0</v>
      </c>
      <c r="Q97" s="27">
        <v>0</v>
      </c>
      <c r="R97" s="27" t="e">
        <v>#DIV/0!</v>
      </c>
      <c r="S97" s="38" t="e">
        <v>#DIV/0!</v>
      </c>
      <c r="T97" s="38" t="e">
        <v>#DIV/0!</v>
      </c>
      <c r="U97" s="38">
        <v>0</v>
      </c>
      <c r="V97" s="38">
        <v>0</v>
      </c>
      <c r="W97" s="38">
        <v>0</v>
      </c>
      <c r="X97" s="38">
        <v>0</v>
      </c>
      <c r="Y97" s="38"/>
      <c r="Z97" s="38" t="e">
        <v>#DIV/0!</v>
      </c>
      <c r="AA97" s="38"/>
      <c r="AB97" s="38" t="e">
        <v>#DIV/0!</v>
      </c>
      <c r="AC97" s="38" t="e">
        <v>#DIV/0!</v>
      </c>
      <c r="AD97" s="38" t="e">
        <v>#DIV/0!</v>
      </c>
      <c r="AE97" s="33">
        <v>45383</v>
      </c>
      <c r="AF97" s="33"/>
      <c r="AG97" s="33"/>
      <c r="AH97" s="33"/>
      <c r="AI97" s="33"/>
      <c r="AJ97" s="42"/>
      <c r="AK97" s="37"/>
      <c r="AL97" s="37"/>
      <c r="AM97" s="37"/>
      <c r="AN97" s="37"/>
      <c r="AO97" s="43"/>
      <c r="AP97" s="35"/>
      <c r="AQ97" s="35"/>
      <c r="AR97" s="44"/>
      <c r="AS97" s="37" t="s">
        <v>485</v>
      </c>
    </row>
    <row r="98" spans="1:45" ht="43.5" customHeight="1" x14ac:dyDescent="0.25">
      <c r="A98" s="32" t="s">
        <v>2788</v>
      </c>
      <c r="B98" s="56">
        <v>45355</v>
      </c>
      <c r="C98" s="35" t="s">
        <v>1861</v>
      </c>
      <c r="D98" s="35" t="s">
        <v>485</v>
      </c>
      <c r="E98" s="1" t="s">
        <v>2789</v>
      </c>
      <c r="F98" s="35" t="s">
        <v>485</v>
      </c>
      <c r="G98" s="35" t="s">
        <v>485</v>
      </c>
      <c r="H98" s="35" t="s">
        <v>485</v>
      </c>
      <c r="I98" s="58" t="s">
        <v>2790</v>
      </c>
      <c r="J98" s="57">
        <v>22449571.199999999</v>
      </c>
      <c r="K98" s="40">
        <v>100</v>
      </c>
      <c r="L98" s="41">
        <v>22449571.199999999</v>
      </c>
      <c r="M98" s="38"/>
      <c r="N98" s="41">
        <v>22449571.199999999</v>
      </c>
      <c r="O98" s="38">
        <v>0</v>
      </c>
      <c r="P98" s="27">
        <v>0</v>
      </c>
      <c r="Q98" s="27">
        <v>0</v>
      </c>
      <c r="R98" s="27" t="e">
        <v>#DIV/0!</v>
      </c>
      <c r="S98" s="38" t="e">
        <v>#DIV/0!</v>
      </c>
      <c r="T98" s="38" t="e">
        <v>#DIV/0!</v>
      </c>
      <c r="U98" s="38">
        <v>0</v>
      </c>
      <c r="V98" s="38">
        <v>0</v>
      </c>
      <c r="W98" s="38">
        <v>0</v>
      </c>
      <c r="X98" s="38">
        <v>0</v>
      </c>
      <c r="Y98" s="38"/>
      <c r="Z98" s="38" t="e">
        <v>#DIV/0!</v>
      </c>
      <c r="AA98" s="38"/>
      <c r="AB98" s="38" t="e">
        <v>#DIV/0!</v>
      </c>
      <c r="AC98" s="38" t="e">
        <v>#DIV/0!</v>
      </c>
      <c r="AD98" s="38" t="e">
        <v>#DIV/0!</v>
      </c>
      <c r="AE98" s="33">
        <v>45383</v>
      </c>
      <c r="AF98" s="33"/>
      <c r="AG98" s="33"/>
      <c r="AH98" s="33"/>
      <c r="AI98" s="33"/>
      <c r="AJ98" s="42"/>
      <c r="AK98" s="37"/>
      <c r="AL98" s="37"/>
      <c r="AM98" s="37"/>
      <c r="AN98" s="37"/>
      <c r="AO98" s="43"/>
      <c r="AP98" s="35"/>
      <c r="AQ98" s="35"/>
      <c r="AR98" s="44"/>
      <c r="AS98" s="37" t="s">
        <v>485</v>
      </c>
    </row>
    <row r="99" spans="1:45" ht="43.5" customHeight="1" x14ac:dyDescent="0.25">
      <c r="A99" s="32" t="s">
        <v>2791</v>
      </c>
      <c r="B99" s="56">
        <v>45357</v>
      </c>
      <c r="C99" s="35">
        <v>545</v>
      </c>
      <c r="D99" s="36"/>
      <c r="E99" s="1" t="s">
        <v>2792</v>
      </c>
      <c r="F99" s="33">
        <v>45380</v>
      </c>
      <c r="G99" s="35" t="s">
        <v>2793</v>
      </c>
      <c r="H99" s="37" t="s">
        <v>331</v>
      </c>
      <c r="I99" s="59" t="s">
        <v>2794</v>
      </c>
      <c r="J99" s="57">
        <v>13553495.1</v>
      </c>
      <c r="K99" s="40">
        <v>0</v>
      </c>
      <c r="L99" s="41">
        <v>0</v>
      </c>
      <c r="M99" s="57">
        <v>13553495.1</v>
      </c>
      <c r="N99" s="41">
        <v>0</v>
      </c>
      <c r="O99" s="57">
        <v>13553495.1</v>
      </c>
      <c r="P99" s="27">
        <v>17292390.300000001</v>
      </c>
      <c r="Q99" s="27">
        <v>17292390.300000001</v>
      </c>
      <c r="R99" s="27">
        <v>5192.91</v>
      </c>
      <c r="S99" s="38">
        <v>5192.91</v>
      </c>
      <c r="T99" s="38">
        <v>467361.89999999997</v>
      </c>
      <c r="U99" s="38">
        <v>3330</v>
      </c>
      <c r="V99" s="38">
        <v>3330</v>
      </c>
      <c r="W99" s="38">
        <v>0</v>
      </c>
      <c r="X99" s="38">
        <v>0</v>
      </c>
      <c r="Y99" s="38">
        <v>0</v>
      </c>
      <c r="Z99" s="38">
        <v>0</v>
      </c>
      <c r="AA99" s="38">
        <v>2610</v>
      </c>
      <c r="AB99" s="38">
        <v>13553495.1</v>
      </c>
      <c r="AC99" s="38">
        <v>37</v>
      </c>
      <c r="AD99" s="38">
        <v>37</v>
      </c>
      <c r="AE99" s="33">
        <v>45397</v>
      </c>
      <c r="AF99" s="33"/>
      <c r="AG99" s="33"/>
      <c r="AH99" s="33">
        <v>45427</v>
      </c>
      <c r="AI99" s="33"/>
      <c r="AJ99" s="42"/>
      <c r="AK99" s="37" t="s">
        <v>701</v>
      </c>
      <c r="AL99" s="37" t="s">
        <v>702</v>
      </c>
      <c r="AM99" s="37" t="s">
        <v>703</v>
      </c>
      <c r="AN99" s="37" t="s">
        <v>440</v>
      </c>
      <c r="AO99" s="43">
        <v>0</v>
      </c>
      <c r="AP99" s="35">
        <v>100</v>
      </c>
      <c r="AQ99" s="35" t="s">
        <v>441</v>
      </c>
      <c r="AR99" s="44">
        <v>90</v>
      </c>
      <c r="AS99" s="37" t="s">
        <v>52</v>
      </c>
    </row>
    <row r="100" spans="1:45" ht="45.75" customHeight="1" x14ac:dyDescent="0.25">
      <c r="A100" s="32" t="s">
        <v>2862</v>
      </c>
      <c r="B100" s="56">
        <v>45358</v>
      </c>
      <c r="C100" s="35">
        <v>545</v>
      </c>
      <c r="D100" s="36"/>
      <c r="E100" s="1" t="s">
        <v>2863</v>
      </c>
      <c r="F100" s="33">
        <v>45391</v>
      </c>
      <c r="G100" s="35" t="s">
        <v>2864</v>
      </c>
      <c r="H100" s="37" t="s">
        <v>556</v>
      </c>
      <c r="I100" s="58" t="s">
        <v>2865</v>
      </c>
      <c r="J100" s="57">
        <v>652199634.24000001</v>
      </c>
      <c r="K100" s="40">
        <v>0</v>
      </c>
      <c r="L100" s="41">
        <v>0</v>
      </c>
      <c r="M100" s="57">
        <v>652199634.24000001</v>
      </c>
      <c r="N100" s="41">
        <v>0</v>
      </c>
      <c r="O100" s="57">
        <v>652199634.24000001</v>
      </c>
      <c r="P100" s="27">
        <v>677079184.32000005</v>
      </c>
      <c r="Q100" s="27">
        <v>677079184.32000005</v>
      </c>
      <c r="R100" s="27">
        <v>31.900000000000006</v>
      </c>
      <c r="S100" s="38">
        <v>31.900000000000006</v>
      </c>
      <c r="T100" s="38">
        <v>888555.36000000022</v>
      </c>
      <c r="U100" s="38">
        <v>21225052.799999997</v>
      </c>
      <c r="V100" s="38">
        <v>7214289.5999999996</v>
      </c>
      <c r="W100" s="38">
        <v>14010763.199999999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761.99999999999989</v>
      </c>
      <c r="AD100" s="38">
        <v>762</v>
      </c>
      <c r="AE100" s="33">
        <v>45412</v>
      </c>
      <c r="AF100" s="33">
        <v>45504</v>
      </c>
      <c r="AG100" s="33"/>
      <c r="AH100" s="33">
        <v>45444</v>
      </c>
      <c r="AI100" s="33">
        <v>45536</v>
      </c>
      <c r="AJ100" s="42"/>
      <c r="AK100" s="37" t="s">
        <v>2334</v>
      </c>
      <c r="AL100" s="37" t="s">
        <v>2335</v>
      </c>
      <c r="AM100" s="37" t="s">
        <v>2336</v>
      </c>
      <c r="AN100" s="37" t="s">
        <v>2320</v>
      </c>
      <c r="AO100" s="43">
        <v>0</v>
      </c>
      <c r="AP100" s="35">
        <v>100</v>
      </c>
      <c r="AQ100" s="35" t="s">
        <v>379</v>
      </c>
      <c r="AR100" s="49">
        <v>27854.400000000001</v>
      </c>
      <c r="AS100" s="37" t="s">
        <v>52</v>
      </c>
    </row>
    <row r="101" spans="1:45" ht="45.75" customHeight="1" x14ac:dyDescent="0.25">
      <c r="A101" s="32" t="s">
        <v>2866</v>
      </c>
      <c r="B101" s="56">
        <v>45358</v>
      </c>
      <c r="C101" s="35" t="s">
        <v>1861</v>
      </c>
      <c r="D101" s="35" t="s">
        <v>485</v>
      </c>
      <c r="E101" s="1" t="s">
        <v>2867</v>
      </c>
      <c r="F101" s="35" t="s">
        <v>485</v>
      </c>
      <c r="G101" s="35" t="s">
        <v>485</v>
      </c>
      <c r="H101" s="35" t="s">
        <v>485</v>
      </c>
      <c r="I101" s="58" t="s">
        <v>2868</v>
      </c>
      <c r="J101" s="57">
        <v>8200492</v>
      </c>
      <c r="K101" s="40">
        <v>100</v>
      </c>
      <c r="L101" s="41">
        <v>8200492</v>
      </c>
      <c r="M101" s="38"/>
      <c r="N101" s="41">
        <v>8200492</v>
      </c>
      <c r="O101" s="38">
        <v>0</v>
      </c>
      <c r="P101" s="27">
        <v>0</v>
      </c>
      <c r="Q101" s="27">
        <v>0</v>
      </c>
      <c r="R101" s="27" t="e">
        <v>#DIV/0!</v>
      </c>
      <c r="S101" s="38" t="e">
        <v>#DIV/0!</v>
      </c>
      <c r="T101" s="38" t="e">
        <v>#DIV/0!</v>
      </c>
      <c r="U101" s="38">
        <v>0</v>
      </c>
      <c r="V101" s="38">
        <v>0</v>
      </c>
      <c r="W101" s="38">
        <v>0</v>
      </c>
      <c r="X101" s="38">
        <v>0</v>
      </c>
      <c r="Y101" s="38"/>
      <c r="Z101" s="38" t="e">
        <v>#DIV/0!</v>
      </c>
      <c r="AA101" s="38"/>
      <c r="AB101" s="38" t="e">
        <v>#DIV/0!</v>
      </c>
      <c r="AC101" s="38" t="e">
        <v>#DIV/0!</v>
      </c>
      <c r="AD101" s="38" t="e">
        <v>#DIV/0!</v>
      </c>
      <c r="AE101" s="33">
        <v>45505</v>
      </c>
      <c r="AF101" s="33"/>
      <c r="AG101" s="33"/>
      <c r="AH101" s="33"/>
      <c r="AI101" s="33"/>
      <c r="AJ101" s="42"/>
      <c r="AK101" s="37"/>
      <c r="AL101" s="37"/>
      <c r="AM101" s="37"/>
      <c r="AN101" s="37"/>
      <c r="AO101" s="43"/>
      <c r="AP101" s="35"/>
      <c r="AQ101" s="35"/>
      <c r="AR101" s="44"/>
      <c r="AS101" s="37" t="s">
        <v>485</v>
      </c>
    </row>
    <row r="102" spans="1:45" ht="45.75" customHeight="1" x14ac:dyDescent="0.25">
      <c r="A102" s="32" t="s">
        <v>2869</v>
      </c>
      <c r="B102" s="56">
        <v>45362</v>
      </c>
      <c r="C102" s="35">
        <v>545</v>
      </c>
      <c r="D102" s="36"/>
      <c r="E102" s="1" t="s">
        <v>2870</v>
      </c>
      <c r="F102" s="33">
        <v>45384</v>
      </c>
      <c r="G102" s="35" t="s">
        <v>2871</v>
      </c>
      <c r="H102" s="37" t="s">
        <v>219</v>
      </c>
      <c r="I102" s="58" t="s">
        <v>2872</v>
      </c>
      <c r="J102" s="57">
        <v>25532100</v>
      </c>
      <c r="K102" s="40">
        <v>0</v>
      </c>
      <c r="L102" s="41">
        <v>0</v>
      </c>
      <c r="M102" s="57">
        <v>25532100</v>
      </c>
      <c r="N102" s="41">
        <v>0</v>
      </c>
      <c r="O102" s="57">
        <v>25532100</v>
      </c>
      <c r="P102" s="27">
        <v>33168300</v>
      </c>
      <c r="Q102" s="27">
        <v>33168300</v>
      </c>
      <c r="R102" s="27">
        <v>220</v>
      </c>
      <c r="S102" s="38">
        <v>220</v>
      </c>
      <c r="T102" s="38">
        <v>3300</v>
      </c>
      <c r="U102" s="38">
        <v>150765</v>
      </c>
      <c r="V102" s="38">
        <v>150765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10051</v>
      </c>
      <c r="AD102" s="38">
        <v>10051</v>
      </c>
      <c r="AE102" s="33">
        <v>45412</v>
      </c>
      <c r="AF102" s="33"/>
      <c r="AG102" s="33"/>
      <c r="AH102" s="33">
        <v>45444</v>
      </c>
      <c r="AI102" s="33"/>
      <c r="AJ102" s="42"/>
      <c r="AK102" s="37" t="s">
        <v>2518</v>
      </c>
      <c r="AL102" s="37" t="s">
        <v>2519</v>
      </c>
      <c r="AM102" s="37" t="s">
        <v>2520</v>
      </c>
      <c r="AN102" s="37" t="s">
        <v>50</v>
      </c>
      <c r="AO102" s="43">
        <v>100</v>
      </c>
      <c r="AP102" s="35">
        <v>0</v>
      </c>
      <c r="AQ102" s="35" t="s">
        <v>164</v>
      </c>
      <c r="AR102" s="44">
        <v>15</v>
      </c>
      <c r="AS102" s="37" t="s">
        <v>52</v>
      </c>
    </row>
    <row r="103" spans="1:45" ht="47.25" customHeight="1" x14ac:dyDescent="0.25">
      <c r="A103" s="32" t="s">
        <v>2924</v>
      </c>
      <c r="B103" s="56">
        <v>45363</v>
      </c>
      <c r="C103" s="35">
        <v>545</v>
      </c>
      <c r="D103" s="33" t="s">
        <v>485</v>
      </c>
      <c r="E103" s="1" t="s">
        <v>2925</v>
      </c>
      <c r="F103" s="33" t="s">
        <v>485</v>
      </c>
      <c r="G103" s="33" t="s">
        <v>485</v>
      </c>
      <c r="H103" s="33" t="s">
        <v>485</v>
      </c>
      <c r="I103" s="58" t="s">
        <v>1361</v>
      </c>
      <c r="J103" s="57">
        <v>144229104</v>
      </c>
      <c r="K103" s="40">
        <v>100</v>
      </c>
      <c r="L103" s="41">
        <v>144229104</v>
      </c>
      <c r="M103" s="38"/>
      <c r="N103" s="41">
        <v>144229104</v>
      </c>
      <c r="O103" s="38">
        <v>0</v>
      </c>
      <c r="P103" s="27">
        <v>0</v>
      </c>
      <c r="Q103" s="27">
        <v>0</v>
      </c>
      <c r="R103" s="27" t="e">
        <v>#DIV/0!</v>
      </c>
      <c r="S103" s="38" t="e">
        <v>#DIV/0!</v>
      </c>
      <c r="T103" s="38" t="e">
        <v>#DIV/0!</v>
      </c>
      <c r="U103" s="38">
        <v>0</v>
      </c>
      <c r="V103" s="38">
        <v>0</v>
      </c>
      <c r="W103" s="38">
        <v>0</v>
      </c>
      <c r="X103" s="38">
        <v>0</v>
      </c>
      <c r="Y103" s="38"/>
      <c r="Z103" s="38" t="e">
        <v>#DIV/0!</v>
      </c>
      <c r="AA103" s="38"/>
      <c r="AB103" s="38" t="e">
        <v>#DIV/0!</v>
      </c>
      <c r="AC103" s="38" t="e">
        <v>#DIV/0!</v>
      </c>
      <c r="AD103" s="38" t="e">
        <v>#DIV/0!</v>
      </c>
      <c r="AE103" s="33">
        <v>45413</v>
      </c>
      <c r="AF103" s="33"/>
      <c r="AG103" s="33"/>
      <c r="AH103" s="33"/>
      <c r="AI103" s="33"/>
      <c r="AJ103" s="42"/>
      <c r="AK103" s="37"/>
      <c r="AL103" s="37"/>
      <c r="AM103" s="37"/>
      <c r="AN103" s="37"/>
      <c r="AO103" s="43"/>
      <c r="AP103" s="35"/>
      <c r="AQ103" s="35"/>
      <c r="AR103" s="44"/>
      <c r="AS103" s="37" t="s">
        <v>485</v>
      </c>
    </row>
    <row r="104" spans="1:45" ht="47.25" customHeight="1" x14ac:dyDescent="0.25">
      <c r="A104" s="32" t="s">
        <v>2926</v>
      </c>
      <c r="B104" s="56">
        <v>45363</v>
      </c>
      <c r="C104" s="35">
        <v>545</v>
      </c>
      <c r="D104" s="36"/>
      <c r="E104" s="1" t="s">
        <v>2927</v>
      </c>
      <c r="F104" s="33">
        <v>45383</v>
      </c>
      <c r="G104" s="35" t="s">
        <v>2928</v>
      </c>
      <c r="H104" s="37" t="s">
        <v>1897</v>
      </c>
      <c r="I104" s="59" t="s">
        <v>2929</v>
      </c>
      <c r="J104" s="57">
        <v>87439176</v>
      </c>
      <c r="K104" s="40">
        <v>0</v>
      </c>
      <c r="L104" s="41">
        <v>0</v>
      </c>
      <c r="M104" s="57">
        <v>87439176</v>
      </c>
      <c r="N104" s="41">
        <v>0</v>
      </c>
      <c r="O104" s="57">
        <v>87439176</v>
      </c>
      <c r="P104" s="27">
        <v>98601624</v>
      </c>
      <c r="Q104" s="27">
        <v>98601624</v>
      </c>
      <c r="R104" s="27">
        <v>15503.4</v>
      </c>
      <c r="S104" s="38">
        <v>15503.4</v>
      </c>
      <c r="T104" s="38">
        <v>930204</v>
      </c>
      <c r="U104" s="38">
        <v>6360</v>
      </c>
      <c r="V104" s="38">
        <v>6360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106</v>
      </c>
      <c r="AD104" s="38">
        <v>106</v>
      </c>
      <c r="AE104" s="33">
        <v>45402</v>
      </c>
      <c r="AF104" s="33"/>
      <c r="AG104" s="33"/>
      <c r="AH104" s="33">
        <v>45432</v>
      </c>
      <c r="AI104" s="33"/>
      <c r="AJ104" s="42"/>
      <c r="AK104" s="37" t="s">
        <v>437</v>
      </c>
      <c r="AL104" s="37" t="s">
        <v>438</v>
      </c>
      <c r="AM104" s="37" t="s">
        <v>439</v>
      </c>
      <c r="AN104" s="37" t="s">
        <v>440</v>
      </c>
      <c r="AO104" s="43">
        <v>0</v>
      </c>
      <c r="AP104" s="35">
        <v>100</v>
      </c>
      <c r="AQ104" s="35" t="s">
        <v>441</v>
      </c>
      <c r="AR104" s="44">
        <v>60</v>
      </c>
      <c r="AS104" s="37" t="s">
        <v>52</v>
      </c>
    </row>
    <row r="105" spans="1:45" ht="47.25" customHeight="1" x14ac:dyDescent="0.25">
      <c r="A105" s="32" t="s">
        <v>2930</v>
      </c>
      <c r="B105" s="56">
        <v>45363</v>
      </c>
      <c r="C105" s="35">
        <v>545</v>
      </c>
      <c r="D105" s="36"/>
      <c r="E105" s="1" t="s">
        <v>2931</v>
      </c>
      <c r="F105" s="33">
        <v>45383</v>
      </c>
      <c r="G105" s="35" t="s">
        <v>2932</v>
      </c>
      <c r="H105" s="37" t="s">
        <v>1897</v>
      </c>
      <c r="I105" s="59" t="s">
        <v>436</v>
      </c>
      <c r="J105" s="57">
        <v>20464488</v>
      </c>
      <c r="K105" s="40">
        <v>0</v>
      </c>
      <c r="L105" s="41">
        <v>0</v>
      </c>
      <c r="M105" s="57">
        <v>20464488</v>
      </c>
      <c r="N105" s="41">
        <v>0</v>
      </c>
      <c r="O105" s="57">
        <v>20464488</v>
      </c>
      <c r="P105" s="27">
        <v>20464488</v>
      </c>
      <c r="Q105" s="27">
        <v>20464488</v>
      </c>
      <c r="R105" s="27">
        <v>15503.4</v>
      </c>
      <c r="S105" s="38">
        <v>15503.4</v>
      </c>
      <c r="T105" s="38">
        <v>930204</v>
      </c>
      <c r="U105" s="38">
        <v>1320</v>
      </c>
      <c r="V105" s="38">
        <v>1320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v>22</v>
      </c>
      <c r="AD105" s="38">
        <v>22</v>
      </c>
      <c r="AE105" s="33">
        <v>45402</v>
      </c>
      <c r="AF105" s="33"/>
      <c r="AG105" s="33"/>
      <c r="AH105" s="33">
        <v>45432</v>
      </c>
      <c r="AI105" s="33"/>
      <c r="AJ105" s="42"/>
      <c r="AK105" s="37" t="s">
        <v>437</v>
      </c>
      <c r="AL105" s="37" t="s">
        <v>438</v>
      </c>
      <c r="AM105" s="37" t="s">
        <v>439</v>
      </c>
      <c r="AN105" s="37" t="s">
        <v>440</v>
      </c>
      <c r="AO105" s="43">
        <v>0</v>
      </c>
      <c r="AP105" s="35">
        <v>100</v>
      </c>
      <c r="AQ105" s="35" t="s">
        <v>441</v>
      </c>
      <c r="AR105" s="44">
        <v>60</v>
      </c>
      <c r="AS105" s="37" t="s">
        <v>52</v>
      </c>
    </row>
    <row r="106" spans="1:45" ht="57" customHeight="1" x14ac:dyDescent="0.25">
      <c r="A106" s="32" t="s">
        <v>3028</v>
      </c>
      <c r="B106" s="56">
        <v>45370</v>
      </c>
      <c r="C106" s="35">
        <v>545</v>
      </c>
      <c r="D106" s="36"/>
      <c r="E106" s="1" t="s">
        <v>3029</v>
      </c>
      <c r="F106" s="33">
        <v>45397</v>
      </c>
      <c r="G106" s="35" t="s">
        <v>3030</v>
      </c>
      <c r="H106" s="37" t="s">
        <v>331</v>
      </c>
      <c r="I106" s="64" t="s">
        <v>3031</v>
      </c>
      <c r="J106" s="57">
        <v>178200000</v>
      </c>
      <c r="K106" s="40">
        <v>0</v>
      </c>
      <c r="L106" s="41">
        <v>0</v>
      </c>
      <c r="M106" s="57">
        <v>178200000</v>
      </c>
      <c r="N106" s="41">
        <v>0</v>
      </c>
      <c r="O106" s="57">
        <v>178200000</v>
      </c>
      <c r="P106" s="27">
        <v>178200000</v>
      </c>
      <c r="Q106" s="27">
        <v>178200000</v>
      </c>
      <c r="R106" s="27">
        <v>59400000</v>
      </c>
      <c r="S106" s="38">
        <v>59400000</v>
      </c>
      <c r="T106" s="38">
        <v>29700000</v>
      </c>
      <c r="U106" s="38">
        <v>3</v>
      </c>
      <c r="V106" s="38">
        <v>3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v>6</v>
      </c>
      <c r="AD106" s="38">
        <v>6</v>
      </c>
      <c r="AE106" s="33">
        <v>45440</v>
      </c>
      <c r="AF106" s="33"/>
      <c r="AG106" s="33"/>
      <c r="AH106" s="33">
        <v>45471</v>
      </c>
      <c r="AI106" s="33"/>
      <c r="AJ106" s="42"/>
      <c r="AK106" s="37" t="s">
        <v>3032</v>
      </c>
      <c r="AL106" s="37" t="s">
        <v>3033</v>
      </c>
      <c r="AM106" s="37" t="s">
        <v>3034</v>
      </c>
      <c r="AN106" s="37" t="s">
        <v>2320</v>
      </c>
      <c r="AO106" s="43">
        <v>0</v>
      </c>
      <c r="AP106" s="35">
        <v>100</v>
      </c>
      <c r="AQ106" s="35" t="s">
        <v>164</v>
      </c>
      <c r="AR106" s="49">
        <v>0.5</v>
      </c>
      <c r="AS106" s="37" t="s">
        <v>52</v>
      </c>
    </row>
    <row r="107" spans="1:45" ht="57" customHeight="1" x14ac:dyDescent="0.25">
      <c r="A107" s="32" t="s">
        <v>3035</v>
      </c>
      <c r="B107" s="56">
        <v>45370</v>
      </c>
      <c r="C107" s="35">
        <v>545</v>
      </c>
      <c r="D107" s="36"/>
      <c r="E107" s="1" t="s">
        <v>3036</v>
      </c>
      <c r="F107" s="33">
        <v>45390</v>
      </c>
      <c r="G107" s="35" t="s">
        <v>3037</v>
      </c>
      <c r="H107" s="54" t="s">
        <v>374</v>
      </c>
      <c r="I107" s="58" t="s">
        <v>3038</v>
      </c>
      <c r="J107" s="57">
        <v>20847200</v>
      </c>
      <c r="K107" s="40">
        <v>0</v>
      </c>
      <c r="L107" s="41">
        <v>0</v>
      </c>
      <c r="M107" s="57">
        <v>20847200</v>
      </c>
      <c r="N107" s="41">
        <v>0</v>
      </c>
      <c r="O107" s="57">
        <v>20847200</v>
      </c>
      <c r="P107" s="27">
        <v>20847200</v>
      </c>
      <c r="Q107" s="27">
        <v>20847200</v>
      </c>
      <c r="R107" s="27">
        <v>521180</v>
      </c>
      <c r="S107" s="38">
        <v>521180</v>
      </c>
      <c r="T107" s="38">
        <v>1042360</v>
      </c>
      <c r="U107" s="38">
        <v>40</v>
      </c>
      <c r="V107" s="38">
        <v>40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v>20</v>
      </c>
      <c r="AD107" s="38">
        <v>20</v>
      </c>
      <c r="AE107" s="33">
        <v>45413</v>
      </c>
      <c r="AF107" s="33"/>
      <c r="AG107" s="33"/>
      <c r="AH107" s="33">
        <v>45444</v>
      </c>
      <c r="AI107" s="33"/>
      <c r="AJ107" s="42"/>
      <c r="AK107" s="37" t="s">
        <v>523</v>
      </c>
      <c r="AL107" s="37" t="s">
        <v>3039</v>
      </c>
      <c r="AM107" s="37" t="s">
        <v>525</v>
      </c>
      <c r="AN107" s="37" t="s">
        <v>174</v>
      </c>
      <c r="AO107" s="43">
        <v>0</v>
      </c>
      <c r="AP107" s="35">
        <v>100</v>
      </c>
      <c r="AQ107" s="35" t="s">
        <v>164</v>
      </c>
      <c r="AR107" s="44">
        <v>2</v>
      </c>
      <c r="AS107" s="37" t="s">
        <v>52</v>
      </c>
    </row>
    <row r="108" spans="1:45" ht="57" customHeight="1" x14ac:dyDescent="0.25">
      <c r="A108" s="32" t="s">
        <v>3040</v>
      </c>
      <c r="B108" s="56">
        <v>45370</v>
      </c>
      <c r="C108" s="35">
        <v>545</v>
      </c>
      <c r="D108" s="36"/>
      <c r="E108" s="1" t="s">
        <v>3041</v>
      </c>
      <c r="F108" s="33">
        <v>45391</v>
      </c>
      <c r="G108" s="35" t="s">
        <v>3042</v>
      </c>
      <c r="H108" s="37" t="s">
        <v>331</v>
      </c>
      <c r="I108" s="58" t="s">
        <v>3043</v>
      </c>
      <c r="J108" s="57">
        <v>2691716.7</v>
      </c>
      <c r="K108" s="40">
        <v>0</v>
      </c>
      <c r="L108" s="41">
        <v>0</v>
      </c>
      <c r="M108" s="57">
        <v>2691716.7</v>
      </c>
      <c r="N108" s="41">
        <v>0</v>
      </c>
      <c r="O108" s="57">
        <v>2691716.7</v>
      </c>
      <c r="P108" s="27">
        <v>2691716.7</v>
      </c>
      <c r="Q108" s="27">
        <v>2691716.7</v>
      </c>
      <c r="R108" s="27">
        <v>2424.9700000000003</v>
      </c>
      <c r="S108" s="38">
        <v>2424.9700000000003</v>
      </c>
      <c r="T108" s="38">
        <v>72749.100000000006</v>
      </c>
      <c r="U108" s="38">
        <v>1110</v>
      </c>
      <c r="V108" s="38">
        <v>1110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37</v>
      </c>
      <c r="AD108" s="38">
        <v>37</v>
      </c>
      <c r="AE108" s="33">
        <v>45407</v>
      </c>
      <c r="AF108" s="33"/>
      <c r="AG108" s="33"/>
      <c r="AH108" s="33">
        <v>45437</v>
      </c>
      <c r="AI108" s="33"/>
      <c r="AJ108" s="42"/>
      <c r="AK108" s="37" t="s">
        <v>494</v>
      </c>
      <c r="AL108" s="37" t="s">
        <v>495</v>
      </c>
      <c r="AM108" s="37" t="s">
        <v>496</v>
      </c>
      <c r="AN108" s="37" t="s">
        <v>352</v>
      </c>
      <c r="AO108" s="43">
        <v>0</v>
      </c>
      <c r="AP108" s="35">
        <v>100</v>
      </c>
      <c r="AQ108" s="35" t="s">
        <v>441</v>
      </c>
      <c r="AR108" s="44">
        <v>30</v>
      </c>
      <c r="AS108" s="37" t="s">
        <v>52</v>
      </c>
    </row>
    <row r="109" spans="1:45" ht="57" customHeight="1" x14ac:dyDescent="0.25">
      <c r="A109" s="32" t="s">
        <v>3044</v>
      </c>
      <c r="B109" s="56">
        <v>45370</v>
      </c>
      <c r="C109" s="35">
        <v>545</v>
      </c>
      <c r="D109" s="36"/>
      <c r="E109" s="1" t="s">
        <v>3045</v>
      </c>
      <c r="F109" s="33">
        <v>45390</v>
      </c>
      <c r="G109" s="35" t="s">
        <v>3046</v>
      </c>
      <c r="H109" s="37" t="s">
        <v>331</v>
      </c>
      <c r="I109" s="59" t="s">
        <v>530</v>
      </c>
      <c r="J109" s="57">
        <v>29552638.5</v>
      </c>
      <c r="K109" s="40">
        <v>0</v>
      </c>
      <c r="L109" s="41">
        <v>0</v>
      </c>
      <c r="M109" s="57">
        <v>29552638.5</v>
      </c>
      <c r="N109" s="41">
        <v>0</v>
      </c>
      <c r="O109" s="57">
        <v>29552638.5</v>
      </c>
      <c r="P109" s="27">
        <v>29552638.5</v>
      </c>
      <c r="Q109" s="27">
        <v>29552638.5</v>
      </c>
      <c r="R109" s="27">
        <v>970.53</v>
      </c>
      <c r="S109" s="38">
        <v>970.53</v>
      </c>
      <c r="T109" s="38">
        <v>29115.899999999998</v>
      </c>
      <c r="U109" s="38">
        <v>30450</v>
      </c>
      <c r="V109" s="38">
        <v>30450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1015</v>
      </c>
      <c r="AD109" s="38">
        <v>1015</v>
      </c>
      <c r="AE109" s="33">
        <v>45458</v>
      </c>
      <c r="AF109" s="33"/>
      <c r="AG109" s="33"/>
      <c r="AH109" s="33">
        <v>45488</v>
      </c>
      <c r="AI109" s="33"/>
      <c r="AJ109" s="42"/>
      <c r="AK109" s="37" t="s">
        <v>494</v>
      </c>
      <c r="AL109" s="37" t="s">
        <v>531</v>
      </c>
      <c r="AM109" s="37" t="s">
        <v>496</v>
      </c>
      <c r="AN109" s="37" t="s">
        <v>352</v>
      </c>
      <c r="AO109" s="43">
        <v>0</v>
      </c>
      <c r="AP109" s="35">
        <v>100</v>
      </c>
      <c r="AQ109" s="35" t="s">
        <v>441</v>
      </c>
      <c r="AR109" s="44">
        <v>30</v>
      </c>
      <c r="AS109" s="37" t="s">
        <v>52</v>
      </c>
    </row>
    <row r="110" spans="1:45" ht="57" customHeight="1" x14ac:dyDescent="0.25">
      <c r="A110" s="32" t="s">
        <v>3047</v>
      </c>
      <c r="B110" s="56">
        <v>45370</v>
      </c>
      <c r="C110" s="35">
        <v>545</v>
      </c>
      <c r="D110" s="36"/>
      <c r="E110" s="1" t="s">
        <v>3048</v>
      </c>
      <c r="F110" s="33">
        <v>45390</v>
      </c>
      <c r="G110" s="35" t="s">
        <v>3049</v>
      </c>
      <c r="H110" s="37" t="s">
        <v>411</v>
      </c>
      <c r="I110" s="65" t="s">
        <v>412</v>
      </c>
      <c r="J110" s="57">
        <v>149887062</v>
      </c>
      <c r="K110" s="40">
        <v>0</v>
      </c>
      <c r="L110" s="41">
        <v>0</v>
      </c>
      <c r="M110" s="57">
        <v>149887062</v>
      </c>
      <c r="N110" s="41">
        <v>0</v>
      </c>
      <c r="O110" s="57">
        <v>149887062</v>
      </c>
      <c r="P110" s="27">
        <v>193853933.52000001</v>
      </c>
      <c r="Q110" s="27">
        <v>193853933.52000001</v>
      </c>
      <c r="R110" s="27">
        <v>333082.36000000004</v>
      </c>
      <c r="S110" s="38">
        <v>333082.36000000004</v>
      </c>
      <c r="T110" s="38">
        <v>666164.72000000009</v>
      </c>
      <c r="U110" s="38">
        <v>582</v>
      </c>
      <c r="V110" s="38">
        <v>582</v>
      </c>
      <c r="W110" s="38">
        <v>0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v>291</v>
      </c>
      <c r="AD110" s="38">
        <v>291</v>
      </c>
      <c r="AE110" s="33">
        <v>45407</v>
      </c>
      <c r="AF110" s="33"/>
      <c r="AG110" s="33"/>
      <c r="AH110" s="33">
        <v>45437</v>
      </c>
      <c r="AI110" s="33"/>
      <c r="AJ110" s="42"/>
      <c r="AK110" s="37" t="s">
        <v>1655</v>
      </c>
      <c r="AL110" s="37" t="s">
        <v>1656</v>
      </c>
      <c r="AM110" s="37" t="s">
        <v>1657</v>
      </c>
      <c r="AN110" s="37" t="s">
        <v>352</v>
      </c>
      <c r="AO110" s="43">
        <v>0</v>
      </c>
      <c r="AP110" s="35">
        <v>100</v>
      </c>
      <c r="AQ110" s="35" t="s">
        <v>398</v>
      </c>
      <c r="AR110" s="44">
        <v>2</v>
      </c>
      <c r="AS110" s="37" t="s">
        <v>52</v>
      </c>
    </row>
    <row r="111" spans="1:45" ht="57" customHeight="1" x14ac:dyDescent="0.25">
      <c r="A111" s="32" t="s">
        <v>3050</v>
      </c>
      <c r="B111" s="56">
        <v>45370</v>
      </c>
      <c r="C111" s="35">
        <v>545</v>
      </c>
      <c r="D111" s="36"/>
      <c r="E111" s="1" t="s">
        <v>3051</v>
      </c>
      <c r="F111" s="33">
        <v>45390</v>
      </c>
      <c r="G111" s="35" t="s">
        <v>3052</v>
      </c>
      <c r="H111" s="37" t="s">
        <v>3053</v>
      </c>
      <c r="I111" s="58" t="s">
        <v>3054</v>
      </c>
      <c r="J111" s="57">
        <v>41002353</v>
      </c>
      <c r="K111" s="40">
        <v>0</v>
      </c>
      <c r="L111" s="41">
        <v>0</v>
      </c>
      <c r="M111" s="57">
        <v>41002353</v>
      </c>
      <c r="N111" s="41">
        <v>0</v>
      </c>
      <c r="O111" s="57">
        <v>41002353</v>
      </c>
      <c r="P111" s="27">
        <v>51936313.799999997</v>
      </c>
      <c r="Q111" s="27">
        <v>51936313.799999997</v>
      </c>
      <c r="R111" s="27">
        <v>6508.3099999999995</v>
      </c>
      <c r="S111" s="38">
        <v>6508.3099999999995</v>
      </c>
      <c r="T111" s="38">
        <v>390498.6</v>
      </c>
      <c r="U111" s="38">
        <v>7980</v>
      </c>
      <c r="V111" s="38">
        <v>7980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133</v>
      </c>
      <c r="AD111" s="38">
        <v>133</v>
      </c>
      <c r="AE111" s="33">
        <v>45407</v>
      </c>
      <c r="AF111" s="33"/>
      <c r="AG111" s="33"/>
      <c r="AH111" s="33">
        <v>45437</v>
      </c>
      <c r="AI111" s="33"/>
      <c r="AJ111" s="42"/>
      <c r="AK111" s="37" t="s">
        <v>3055</v>
      </c>
      <c r="AL111" s="37" t="s">
        <v>3056</v>
      </c>
      <c r="AM111" s="37" t="s">
        <v>3057</v>
      </c>
      <c r="AN111" s="37" t="s">
        <v>3058</v>
      </c>
      <c r="AO111" s="43">
        <v>0</v>
      </c>
      <c r="AP111" s="35">
        <v>100</v>
      </c>
      <c r="AQ111" s="35" t="s">
        <v>441</v>
      </c>
      <c r="AR111" s="44">
        <v>60</v>
      </c>
      <c r="AS111" s="37" t="s">
        <v>52</v>
      </c>
    </row>
    <row r="112" spans="1:45" ht="57" customHeight="1" x14ac:dyDescent="0.25">
      <c r="A112" s="32" t="s">
        <v>3059</v>
      </c>
      <c r="B112" s="56">
        <v>45370</v>
      </c>
      <c r="C112" s="35">
        <v>545</v>
      </c>
      <c r="D112" s="36"/>
      <c r="E112" s="1" t="s">
        <v>3060</v>
      </c>
      <c r="F112" s="33">
        <v>45390</v>
      </c>
      <c r="G112" s="35" t="s">
        <v>3061</v>
      </c>
      <c r="H112" s="37" t="s">
        <v>719</v>
      </c>
      <c r="I112" s="58" t="s">
        <v>3062</v>
      </c>
      <c r="J112" s="57">
        <v>29389160.91</v>
      </c>
      <c r="K112" s="40">
        <v>0</v>
      </c>
      <c r="L112" s="41">
        <v>0</v>
      </c>
      <c r="M112" s="57">
        <v>29389160.91</v>
      </c>
      <c r="N112" s="41">
        <v>0</v>
      </c>
      <c r="O112" s="57">
        <v>29389160.91</v>
      </c>
      <c r="P112" s="27">
        <v>34934285.609999999</v>
      </c>
      <c r="Q112" s="27">
        <v>34934285.609999999</v>
      </c>
      <c r="R112" s="27">
        <v>554512.47</v>
      </c>
      <c r="S112" s="38">
        <v>554512.47</v>
      </c>
      <c r="T112" s="38">
        <v>554512.47</v>
      </c>
      <c r="U112" s="38">
        <v>63</v>
      </c>
      <c r="V112" s="38">
        <v>63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63</v>
      </c>
      <c r="AD112" s="38">
        <v>63</v>
      </c>
      <c r="AE112" s="33">
        <v>45407</v>
      </c>
      <c r="AF112" s="33"/>
      <c r="AG112" s="33"/>
      <c r="AH112" s="33">
        <v>45437</v>
      </c>
      <c r="AI112" s="33"/>
      <c r="AJ112" s="42"/>
      <c r="AK112" s="37" t="s">
        <v>349</v>
      </c>
      <c r="AL112" s="37" t="s">
        <v>447</v>
      </c>
      <c r="AM112" s="37" t="s">
        <v>351</v>
      </c>
      <c r="AN112" s="37" t="s">
        <v>352</v>
      </c>
      <c r="AO112" s="43">
        <v>0</v>
      </c>
      <c r="AP112" s="35">
        <v>100</v>
      </c>
      <c r="AQ112" s="35" t="s">
        <v>164</v>
      </c>
      <c r="AR112" s="44">
        <v>1</v>
      </c>
      <c r="AS112" s="37" t="s">
        <v>52</v>
      </c>
    </row>
    <row r="113" spans="1:45" ht="57" customHeight="1" x14ac:dyDescent="0.25">
      <c r="A113" s="32" t="s">
        <v>3104</v>
      </c>
      <c r="B113" s="56">
        <v>45372</v>
      </c>
      <c r="C113" s="35">
        <v>545</v>
      </c>
      <c r="D113" s="36"/>
      <c r="E113" s="1" t="s">
        <v>3105</v>
      </c>
      <c r="F113" s="33">
        <v>45397</v>
      </c>
      <c r="G113" s="35" t="s">
        <v>3106</v>
      </c>
      <c r="H113" s="37" t="s">
        <v>1897</v>
      </c>
      <c r="I113" s="58" t="s">
        <v>3107</v>
      </c>
      <c r="J113" s="57">
        <v>50163522.200000003</v>
      </c>
      <c r="K113" s="40">
        <v>0</v>
      </c>
      <c r="L113" s="41">
        <v>0</v>
      </c>
      <c r="M113" s="57">
        <v>50163522.200000003</v>
      </c>
      <c r="N113" s="41">
        <v>0</v>
      </c>
      <c r="O113" s="57">
        <v>50163522.200000003</v>
      </c>
      <c r="P113" s="27">
        <v>50163522.200000003</v>
      </c>
      <c r="Q113" s="27">
        <v>50163522.200000003</v>
      </c>
      <c r="R113" s="27">
        <v>46021.58</v>
      </c>
      <c r="S113" s="38">
        <v>46021.58</v>
      </c>
      <c r="T113" s="38">
        <v>460215.80000000005</v>
      </c>
      <c r="U113" s="38">
        <v>1090</v>
      </c>
      <c r="V113" s="38">
        <v>1090</v>
      </c>
      <c r="W113" s="38">
        <v>0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v>109</v>
      </c>
      <c r="AD113" s="38">
        <v>109</v>
      </c>
      <c r="AE113" s="33">
        <v>45413</v>
      </c>
      <c r="AF113" s="33"/>
      <c r="AG113" s="33"/>
      <c r="AH113" s="33">
        <v>45444</v>
      </c>
      <c r="AI113" s="33"/>
      <c r="AJ113" s="42"/>
      <c r="AK113" s="37" t="s">
        <v>3108</v>
      </c>
      <c r="AL113" s="37" t="s">
        <v>3109</v>
      </c>
      <c r="AM113" s="37" t="s">
        <v>3110</v>
      </c>
      <c r="AN113" s="37" t="s">
        <v>143</v>
      </c>
      <c r="AO113" s="43">
        <v>0</v>
      </c>
      <c r="AP113" s="35">
        <v>100</v>
      </c>
      <c r="AQ113" s="35" t="s">
        <v>164</v>
      </c>
      <c r="AR113" s="44">
        <v>10</v>
      </c>
      <c r="AS113" s="37" t="s">
        <v>52</v>
      </c>
    </row>
    <row r="114" spans="1:45" ht="57" customHeight="1" x14ac:dyDescent="0.25">
      <c r="A114" s="32" t="s">
        <v>3111</v>
      </c>
      <c r="B114" s="56">
        <v>45372</v>
      </c>
      <c r="C114" s="35" t="s">
        <v>1861</v>
      </c>
      <c r="D114" s="36"/>
      <c r="E114" s="1" t="s">
        <v>3112</v>
      </c>
      <c r="F114" s="33">
        <v>45384</v>
      </c>
      <c r="G114" s="35" t="s">
        <v>3113</v>
      </c>
      <c r="H114" s="37" t="s">
        <v>331</v>
      </c>
      <c r="I114" s="58" t="s">
        <v>501</v>
      </c>
      <c r="J114" s="57">
        <v>4600464.5999999996</v>
      </c>
      <c r="K114" s="40">
        <v>6.8993031703676461E-3</v>
      </c>
      <c r="L114" s="41">
        <v>317.39999999944121</v>
      </c>
      <c r="M114" s="38">
        <v>4600147.2</v>
      </c>
      <c r="N114" s="41">
        <v>317.39999999944121</v>
      </c>
      <c r="O114" s="38">
        <v>4600147.2</v>
      </c>
      <c r="P114" s="27">
        <v>4600147.2</v>
      </c>
      <c r="Q114" s="27">
        <v>4600147.2</v>
      </c>
      <c r="R114" s="27">
        <v>3333.44</v>
      </c>
      <c r="S114" s="38">
        <v>3333.44</v>
      </c>
      <c r="T114" s="38">
        <v>200006.39999999999</v>
      </c>
      <c r="U114" s="38">
        <v>1380</v>
      </c>
      <c r="V114" s="38">
        <v>1380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23</v>
      </c>
      <c r="AD114" s="38">
        <v>23</v>
      </c>
      <c r="AE114" s="33">
        <v>45397</v>
      </c>
      <c r="AF114" s="33"/>
      <c r="AG114" s="33"/>
      <c r="AH114" s="33">
        <v>45427</v>
      </c>
      <c r="AI114" s="33"/>
      <c r="AJ114" s="42"/>
      <c r="AK114" s="37" t="s">
        <v>481</v>
      </c>
      <c r="AL114" s="37" t="s">
        <v>502</v>
      </c>
      <c r="AM114" s="37" t="s">
        <v>483</v>
      </c>
      <c r="AN114" s="37" t="s">
        <v>174</v>
      </c>
      <c r="AO114" s="43">
        <v>0</v>
      </c>
      <c r="AP114" s="35">
        <v>100</v>
      </c>
      <c r="AQ114" s="35" t="s">
        <v>441</v>
      </c>
      <c r="AR114" s="44">
        <v>60</v>
      </c>
      <c r="AS114" s="37" t="s">
        <v>52</v>
      </c>
    </row>
    <row r="115" spans="1:45" ht="57" customHeight="1" x14ac:dyDescent="0.25">
      <c r="A115" s="32" t="s">
        <v>3114</v>
      </c>
      <c r="B115" s="56">
        <v>45372</v>
      </c>
      <c r="C115" s="35">
        <v>545</v>
      </c>
      <c r="D115" s="35" t="s">
        <v>485</v>
      </c>
      <c r="E115" s="1" t="s">
        <v>3115</v>
      </c>
      <c r="F115" s="35" t="s">
        <v>485</v>
      </c>
      <c r="G115" s="35" t="s">
        <v>485</v>
      </c>
      <c r="H115" s="35" t="s">
        <v>485</v>
      </c>
      <c r="I115" s="66" t="s">
        <v>516</v>
      </c>
      <c r="J115" s="57">
        <v>3625066.5</v>
      </c>
      <c r="K115" s="40">
        <v>100</v>
      </c>
      <c r="L115" s="41">
        <v>3625066.5</v>
      </c>
      <c r="M115" s="38"/>
      <c r="N115" s="41">
        <v>3625066.5</v>
      </c>
      <c r="O115" s="38">
        <v>0</v>
      </c>
      <c r="P115" s="27">
        <v>0</v>
      </c>
      <c r="Q115" s="27">
        <v>0</v>
      </c>
      <c r="R115" s="27" t="e">
        <v>#DIV/0!</v>
      </c>
      <c r="S115" s="38" t="e">
        <v>#DIV/0!</v>
      </c>
      <c r="T115" s="38" t="e">
        <v>#DIV/0!</v>
      </c>
      <c r="U115" s="38">
        <v>0</v>
      </c>
      <c r="V115" s="38">
        <v>0</v>
      </c>
      <c r="W115" s="38">
        <v>0</v>
      </c>
      <c r="X115" s="38">
        <v>0</v>
      </c>
      <c r="Y115" s="38"/>
      <c r="Z115" s="38" t="e">
        <v>#DIV/0!</v>
      </c>
      <c r="AA115" s="38"/>
      <c r="AB115" s="38" t="e">
        <v>#DIV/0!</v>
      </c>
      <c r="AC115" s="38" t="e">
        <v>#DIV/0!</v>
      </c>
      <c r="AD115" s="38" t="e">
        <v>#DIV/0!</v>
      </c>
      <c r="AE115" s="33">
        <v>45412</v>
      </c>
      <c r="AF115" s="33"/>
      <c r="AG115" s="33"/>
      <c r="AH115" s="33"/>
      <c r="AI115" s="33"/>
      <c r="AJ115" s="42"/>
      <c r="AK115" s="37"/>
      <c r="AL115" s="37"/>
      <c r="AM115" s="37"/>
      <c r="AN115" s="37"/>
      <c r="AO115" s="43"/>
      <c r="AP115" s="35"/>
      <c r="AQ115" s="35"/>
      <c r="AR115" s="44"/>
      <c r="AS115" s="37" t="s">
        <v>485</v>
      </c>
    </row>
    <row r="116" spans="1:45" ht="57" customHeight="1" x14ac:dyDescent="0.25">
      <c r="A116" s="32" t="s">
        <v>3151</v>
      </c>
      <c r="B116" s="56">
        <v>45372</v>
      </c>
      <c r="C116" s="35">
        <v>545</v>
      </c>
      <c r="D116" s="36"/>
      <c r="E116" s="1" t="s">
        <v>3152</v>
      </c>
      <c r="F116" s="33">
        <v>45397</v>
      </c>
      <c r="G116" s="35" t="s">
        <v>3153</v>
      </c>
      <c r="H116" s="37" t="s">
        <v>331</v>
      </c>
      <c r="I116" s="58" t="s">
        <v>2451</v>
      </c>
      <c r="J116" s="57">
        <v>229043533.94999999</v>
      </c>
      <c r="K116" s="40">
        <v>0</v>
      </c>
      <c r="L116" s="41">
        <v>0</v>
      </c>
      <c r="M116" s="38">
        <v>229043533.94999999</v>
      </c>
      <c r="N116" s="41">
        <v>0</v>
      </c>
      <c r="O116" s="38">
        <v>229043533.94999999</v>
      </c>
      <c r="P116" s="27">
        <v>229043533.94999999</v>
      </c>
      <c r="Q116" s="27">
        <v>229043533.94999999</v>
      </c>
      <c r="R116" s="27">
        <v>204411.9</v>
      </c>
      <c r="S116" s="38">
        <v>204411.9</v>
      </c>
      <c r="T116" s="38">
        <v>919853.54999999993</v>
      </c>
      <c r="U116" s="38">
        <v>1120.5</v>
      </c>
      <c r="V116" s="38">
        <v>1120.5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v>249</v>
      </c>
      <c r="AD116" s="38">
        <v>249</v>
      </c>
      <c r="AE116" s="33">
        <v>45443</v>
      </c>
      <c r="AF116" s="33"/>
      <c r="AG116" s="33"/>
      <c r="AH116" s="33">
        <v>45473</v>
      </c>
      <c r="AI116" s="33"/>
      <c r="AJ116" s="42"/>
      <c r="AK116" s="37" t="s">
        <v>2452</v>
      </c>
      <c r="AL116" s="37" t="s">
        <v>2453</v>
      </c>
      <c r="AM116" s="37" t="s">
        <v>804</v>
      </c>
      <c r="AN116" s="37" t="s">
        <v>224</v>
      </c>
      <c r="AO116" s="43">
        <v>0</v>
      </c>
      <c r="AP116" s="35">
        <v>100</v>
      </c>
      <c r="AQ116" s="35" t="s">
        <v>164</v>
      </c>
      <c r="AR116" s="49">
        <v>4.5</v>
      </c>
      <c r="AS116" s="37" t="s">
        <v>52</v>
      </c>
    </row>
    <row r="117" spans="1:45" ht="59.25" customHeight="1" x14ac:dyDescent="0.25">
      <c r="A117" s="32" t="s">
        <v>3192</v>
      </c>
      <c r="B117" s="56">
        <v>45376</v>
      </c>
      <c r="C117" s="35">
        <v>545</v>
      </c>
      <c r="D117" s="36"/>
      <c r="E117" s="1" t="s">
        <v>3193</v>
      </c>
      <c r="F117" s="33">
        <v>45397</v>
      </c>
      <c r="G117" s="35" t="s">
        <v>3194</v>
      </c>
      <c r="H117" s="37" t="s">
        <v>719</v>
      </c>
      <c r="I117" s="37" t="s">
        <v>467</v>
      </c>
      <c r="J117" s="38">
        <v>32912046.75</v>
      </c>
      <c r="K117" s="40">
        <v>0</v>
      </c>
      <c r="L117" s="41">
        <v>0</v>
      </c>
      <c r="M117" s="38">
        <v>32912046.75</v>
      </c>
      <c r="N117" s="41">
        <v>0</v>
      </c>
      <c r="O117" s="38">
        <v>32912046.75</v>
      </c>
      <c r="P117" s="27">
        <v>32912046.75</v>
      </c>
      <c r="Q117" s="27">
        <v>32912046.75</v>
      </c>
      <c r="R117" s="27">
        <v>25813.37</v>
      </c>
      <c r="S117" s="38">
        <v>25813.37</v>
      </c>
      <c r="T117" s="38">
        <v>387200.55</v>
      </c>
      <c r="U117" s="38">
        <v>1275</v>
      </c>
      <c r="V117" s="38">
        <v>1275</v>
      </c>
      <c r="W117" s="38">
        <v>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85</v>
      </c>
      <c r="AD117" s="38">
        <v>85</v>
      </c>
      <c r="AE117" s="33">
        <v>45443</v>
      </c>
      <c r="AF117" s="33"/>
      <c r="AG117" s="33"/>
      <c r="AH117" s="33">
        <v>45473</v>
      </c>
      <c r="AI117" s="33"/>
      <c r="AJ117" s="42"/>
      <c r="AK117" s="37" t="s">
        <v>3195</v>
      </c>
      <c r="AL117" s="37" t="s">
        <v>3196</v>
      </c>
      <c r="AM117" s="37" t="s">
        <v>3197</v>
      </c>
      <c r="AN117" s="37" t="s">
        <v>440</v>
      </c>
      <c r="AO117" s="43">
        <v>0</v>
      </c>
      <c r="AP117" s="35">
        <v>100</v>
      </c>
      <c r="AQ117" s="35" t="s">
        <v>398</v>
      </c>
      <c r="AR117" s="44">
        <v>15</v>
      </c>
      <c r="AS117" s="37" t="s">
        <v>52</v>
      </c>
    </row>
    <row r="118" spans="1:45" ht="59.25" customHeight="1" x14ac:dyDescent="0.25">
      <c r="A118" s="32" t="s">
        <v>3198</v>
      </c>
      <c r="B118" s="56">
        <v>45376</v>
      </c>
      <c r="C118" s="35">
        <v>545</v>
      </c>
      <c r="D118" s="35" t="s">
        <v>485</v>
      </c>
      <c r="E118" s="1" t="s">
        <v>3199</v>
      </c>
      <c r="F118" s="35" t="s">
        <v>485</v>
      </c>
      <c r="G118" s="35" t="s">
        <v>485</v>
      </c>
      <c r="H118" s="35" t="s">
        <v>485</v>
      </c>
      <c r="I118" s="58" t="s">
        <v>2868</v>
      </c>
      <c r="J118" s="57">
        <v>12101232</v>
      </c>
      <c r="K118" s="40">
        <v>100</v>
      </c>
      <c r="L118" s="41">
        <v>12101232</v>
      </c>
      <c r="M118" s="38"/>
      <c r="N118" s="41">
        <v>12101232</v>
      </c>
      <c r="O118" s="38">
        <v>0</v>
      </c>
      <c r="P118" s="27">
        <v>0</v>
      </c>
      <c r="Q118" s="27">
        <v>0</v>
      </c>
      <c r="R118" s="27" t="e">
        <v>#DIV/0!</v>
      </c>
      <c r="S118" s="38" t="e">
        <v>#DIV/0!</v>
      </c>
      <c r="T118" s="38" t="e">
        <v>#DIV/0!</v>
      </c>
      <c r="U118" s="38">
        <v>0</v>
      </c>
      <c r="V118" s="38">
        <v>0</v>
      </c>
      <c r="W118" s="38">
        <v>0</v>
      </c>
      <c r="X118" s="38">
        <v>0</v>
      </c>
      <c r="Y118" s="38"/>
      <c r="Z118" s="38" t="e">
        <v>#DIV/0!</v>
      </c>
      <c r="AA118" s="38"/>
      <c r="AB118" s="38" t="e">
        <v>#DIV/0!</v>
      </c>
      <c r="AC118" s="38" t="e">
        <v>#DIV/0!</v>
      </c>
      <c r="AD118" s="38" t="e">
        <v>#DIV/0!</v>
      </c>
      <c r="AE118" s="33">
        <v>45505</v>
      </c>
      <c r="AF118" s="33"/>
      <c r="AG118" s="33"/>
      <c r="AH118" s="33"/>
      <c r="AI118" s="33"/>
      <c r="AJ118" s="42"/>
      <c r="AK118" s="37"/>
      <c r="AL118" s="37"/>
      <c r="AM118" s="37"/>
      <c r="AN118" s="37"/>
      <c r="AO118" s="43"/>
      <c r="AP118" s="35"/>
      <c r="AQ118" s="35"/>
      <c r="AR118" s="44"/>
      <c r="AS118" s="37" t="s">
        <v>485</v>
      </c>
    </row>
    <row r="119" spans="1:45" ht="55.5" customHeight="1" x14ac:dyDescent="0.25">
      <c r="A119" s="32" t="s">
        <v>3217</v>
      </c>
      <c r="B119" s="56">
        <v>45378</v>
      </c>
      <c r="C119" s="35">
        <v>545</v>
      </c>
      <c r="D119" s="36"/>
      <c r="E119" s="1" t="s">
        <v>3218</v>
      </c>
      <c r="F119" s="33">
        <v>45398</v>
      </c>
      <c r="G119" s="35" t="s">
        <v>3219</v>
      </c>
      <c r="H119" s="37" t="s">
        <v>331</v>
      </c>
      <c r="I119" s="58" t="s">
        <v>2790</v>
      </c>
      <c r="J119" s="57">
        <v>25202545.199999999</v>
      </c>
      <c r="K119" s="40">
        <v>0</v>
      </c>
      <c r="L119" s="41">
        <v>0</v>
      </c>
      <c r="M119" s="57">
        <v>25202545.199999999</v>
      </c>
      <c r="N119" s="41">
        <v>0</v>
      </c>
      <c r="O119" s="57">
        <v>25202545.199999999</v>
      </c>
      <c r="P119" s="27">
        <v>25202545.199999999</v>
      </c>
      <c r="Q119" s="27">
        <v>25202545.199999999</v>
      </c>
      <c r="R119" s="27">
        <v>3333.67</v>
      </c>
      <c r="S119" s="38">
        <v>3333.67</v>
      </c>
      <c r="T119" s="38">
        <v>200020.2</v>
      </c>
      <c r="U119" s="38">
        <v>7560</v>
      </c>
      <c r="V119" s="38">
        <v>7560</v>
      </c>
      <c r="W119" s="38">
        <v>0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>
        <v>126</v>
      </c>
      <c r="AD119" s="38">
        <v>126</v>
      </c>
      <c r="AE119" s="33">
        <v>45413</v>
      </c>
      <c r="AF119" s="33"/>
      <c r="AG119" s="33"/>
      <c r="AH119" s="33">
        <v>45444</v>
      </c>
      <c r="AI119" s="33"/>
      <c r="AJ119" s="42"/>
      <c r="AK119" s="37" t="s">
        <v>481</v>
      </c>
      <c r="AL119" s="37" t="s">
        <v>482</v>
      </c>
      <c r="AM119" s="37" t="s">
        <v>483</v>
      </c>
      <c r="AN119" s="37" t="s">
        <v>174</v>
      </c>
      <c r="AO119" s="43">
        <v>0</v>
      </c>
      <c r="AP119" s="35">
        <v>100</v>
      </c>
      <c r="AQ119" s="35" t="s">
        <v>441</v>
      </c>
      <c r="AR119" s="44">
        <v>60</v>
      </c>
      <c r="AS119" s="37" t="s">
        <v>52</v>
      </c>
    </row>
    <row r="120" spans="1:45" ht="55.5" customHeight="1" x14ac:dyDescent="0.25">
      <c r="A120" s="32" t="s">
        <v>3223</v>
      </c>
      <c r="B120" s="56">
        <v>45378</v>
      </c>
      <c r="C120" s="35">
        <v>545</v>
      </c>
      <c r="D120" s="36"/>
      <c r="E120" s="1" t="s">
        <v>3224</v>
      </c>
      <c r="F120" s="33">
        <v>45398</v>
      </c>
      <c r="G120" s="35" t="s">
        <v>3225</v>
      </c>
      <c r="H120" s="37" t="s">
        <v>1897</v>
      </c>
      <c r="I120" s="59" t="s">
        <v>461</v>
      </c>
      <c r="J120" s="68">
        <v>90415828.799999997</v>
      </c>
      <c r="K120" s="40">
        <v>0</v>
      </c>
      <c r="L120" s="41">
        <v>0</v>
      </c>
      <c r="M120" s="68">
        <v>90415828.799999997</v>
      </c>
      <c r="N120" s="41">
        <v>0</v>
      </c>
      <c r="O120" s="68">
        <v>90415828.799999997</v>
      </c>
      <c r="P120" s="27">
        <v>90415828.799999997</v>
      </c>
      <c r="Q120" s="27">
        <v>90415828.799999997</v>
      </c>
      <c r="R120" s="27">
        <v>6201.36</v>
      </c>
      <c r="S120" s="38">
        <v>6201.36</v>
      </c>
      <c r="T120" s="38">
        <v>372081.6</v>
      </c>
      <c r="U120" s="38">
        <v>14580</v>
      </c>
      <c r="V120" s="38">
        <v>14580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243</v>
      </c>
      <c r="AD120" s="38">
        <v>243</v>
      </c>
      <c r="AE120" s="33">
        <v>45427</v>
      </c>
      <c r="AF120" s="33"/>
      <c r="AG120" s="33"/>
      <c r="AH120" s="33">
        <v>45458</v>
      </c>
      <c r="AI120" s="33"/>
      <c r="AJ120" s="42"/>
      <c r="AK120" s="37" t="s">
        <v>437</v>
      </c>
      <c r="AL120" s="37" t="s">
        <v>1898</v>
      </c>
      <c r="AM120" s="37" t="s">
        <v>439</v>
      </c>
      <c r="AN120" s="37" t="s">
        <v>440</v>
      </c>
      <c r="AO120" s="43">
        <v>0</v>
      </c>
      <c r="AP120" s="35">
        <v>100</v>
      </c>
      <c r="AQ120" s="35" t="s">
        <v>441</v>
      </c>
      <c r="AR120" s="44">
        <v>60</v>
      </c>
      <c r="AS120" s="37" t="s">
        <v>52</v>
      </c>
    </row>
    <row r="121" spans="1:45" ht="55.5" customHeight="1" x14ac:dyDescent="0.25">
      <c r="A121" s="32" t="s">
        <v>3242</v>
      </c>
      <c r="B121" s="56">
        <v>45379</v>
      </c>
      <c r="C121" s="35">
        <v>545</v>
      </c>
      <c r="D121" s="36"/>
      <c r="E121" s="1" t="s">
        <v>3243</v>
      </c>
      <c r="F121" s="33">
        <v>45398</v>
      </c>
      <c r="G121" s="35" t="s">
        <v>3244</v>
      </c>
      <c r="H121" s="37" t="s">
        <v>138</v>
      </c>
      <c r="I121" s="58" t="s">
        <v>3245</v>
      </c>
      <c r="J121" s="57">
        <v>14788113.76</v>
      </c>
      <c r="K121" s="40">
        <v>0</v>
      </c>
      <c r="L121" s="41">
        <v>0</v>
      </c>
      <c r="M121" s="57">
        <v>14788113.76</v>
      </c>
      <c r="N121" s="41">
        <v>0</v>
      </c>
      <c r="O121" s="57">
        <v>14788113.76</v>
      </c>
      <c r="P121" s="27">
        <v>14788113.76</v>
      </c>
      <c r="Q121" s="27">
        <v>14788113.76</v>
      </c>
      <c r="R121" s="27">
        <v>1281.9100000000001</v>
      </c>
      <c r="S121" s="38">
        <v>1281.9100000000001</v>
      </c>
      <c r="T121" s="38">
        <v>35893.480000000003</v>
      </c>
      <c r="U121" s="38">
        <v>11536</v>
      </c>
      <c r="V121" s="38">
        <v>11536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412</v>
      </c>
      <c r="AD121" s="38">
        <v>412</v>
      </c>
      <c r="AE121" s="33">
        <v>45432</v>
      </c>
      <c r="AF121" s="33"/>
      <c r="AG121" s="33"/>
      <c r="AH121" s="33">
        <v>45463</v>
      </c>
      <c r="AI121" s="33"/>
      <c r="AJ121" s="42"/>
      <c r="AK121" s="37" t="s">
        <v>631</v>
      </c>
      <c r="AL121" s="37" t="s">
        <v>3246</v>
      </c>
      <c r="AM121" s="37" t="s">
        <v>633</v>
      </c>
      <c r="AN121" s="37" t="s">
        <v>440</v>
      </c>
      <c r="AO121" s="43">
        <v>0</v>
      </c>
      <c r="AP121" s="35">
        <v>100</v>
      </c>
      <c r="AQ121" s="35" t="s">
        <v>441</v>
      </c>
      <c r="AR121" s="44">
        <v>28</v>
      </c>
      <c r="AS121" s="37" t="s">
        <v>52</v>
      </c>
    </row>
    <row r="122" spans="1:45" ht="54.75" customHeight="1" x14ac:dyDescent="0.25">
      <c r="A122" s="32" t="s">
        <v>3251</v>
      </c>
      <c r="B122" s="56">
        <v>45380</v>
      </c>
      <c r="C122" s="35">
        <v>545</v>
      </c>
      <c r="D122" s="36"/>
      <c r="E122" s="1" t="s">
        <v>3252</v>
      </c>
      <c r="F122" s="33"/>
      <c r="G122" s="35"/>
      <c r="H122" s="37"/>
      <c r="I122" s="58" t="s">
        <v>1361</v>
      </c>
      <c r="J122" s="57">
        <v>92306565.120000005</v>
      </c>
      <c r="K122" s="40">
        <v>100</v>
      </c>
      <c r="L122" s="41">
        <v>92306565.120000005</v>
      </c>
      <c r="M122" s="38"/>
      <c r="N122" s="41">
        <v>92306565.120000005</v>
      </c>
      <c r="O122" s="38">
        <v>0</v>
      </c>
      <c r="P122" s="27">
        <v>0</v>
      </c>
      <c r="Q122" s="27">
        <v>0</v>
      </c>
      <c r="R122" s="27" t="e">
        <v>#DIV/0!</v>
      </c>
      <c r="S122" s="38" t="e">
        <v>#DIV/0!</v>
      </c>
      <c r="T122" s="38" t="e">
        <v>#DIV/0!</v>
      </c>
      <c r="U122" s="38">
        <v>0</v>
      </c>
      <c r="V122" s="38">
        <v>0</v>
      </c>
      <c r="W122" s="38">
        <v>0</v>
      </c>
      <c r="X122" s="38">
        <v>0</v>
      </c>
      <c r="Y122" s="38"/>
      <c r="Z122" s="38" t="e">
        <v>#DIV/0!</v>
      </c>
      <c r="AA122" s="38"/>
      <c r="AB122" s="38" t="e">
        <v>#DIV/0!</v>
      </c>
      <c r="AC122" s="38" t="e">
        <v>#DIV/0!</v>
      </c>
      <c r="AD122" s="38" t="e">
        <v>#DIV/0!</v>
      </c>
      <c r="AE122" s="33">
        <v>45427</v>
      </c>
      <c r="AF122" s="33"/>
      <c r="AG122" s="33"/>
      <c r="AH122" s="33"/>
      <c r="AI122" s="33"/>
      <c r="AJ122" s="42"/>
      <c r="AK122" s="37"/>
      <c r="AL122" s="37"/>
      <c r="AM122" s="37"/>
      <c r="AN122" s="37"/>
      <c r="AO122" s="43"/>
      <c r="AP122" s="35"/>
      <c r="AQ122" s="35"/>
      <c r="AR122" s="44"/>
      <c r="AS122" s="37"/>
    </row>
    <row r="123" spans="1:45" ht="54.75" customHeight="1" x14ac:dyDescent="0.25">
      <c r="A123" s="32" t="s">
        <v>3253</v>
      </c>
      <c r="B123" s="56">
        <v>45380</v>
      </c>
      <c r="C123" s="35">
        <v>545</v>
      </c>
      <c r="D123" s="36"/>
      <c r="E123" s="1" t="s">
        <v>3254</v>
      </c>
      <c r="F123" s="33"/>
      <c r="G123" s="35"/>
      <c r="H123" s="37"/>
      <c r="I123" s="58" t="s">
        <v>1361</v>
      </c>
      <c r="J123" s="57">
        <v>57691603.200000003</v>
      </c>
      <c r="K123" s="40">
        <v>100</v>
      </c>
      <c r="L123" s="41">
        <v>57691603.200000003</v>
      </c>
      <c r="M123" s="38"/>
      <c r="N123" s="41">
        <v>57691603.200000003</v>
      </c>
      <c r="O123" s="38">
        <v>0</v>
      </c>
      <c r="P123" s="27">
        <v>0</v>
      </c>
      <c r="Q123" s="27">
        <v>0</v>
      </c>
      <c r="R123" s="27" t="e">
        <v>#DIV/0!</v>
      </c>
      <c r="S123" s="38" t="e">
        <v>#DIV/0!</v>
      </c>
      <c r="T123" s="38" t="e">
        <v>#DIV/0!</v>
      </c>
      <c r="U123" s="38">
        <v>0</v>
      </c>
      <c r="V123" s="38">
        <v>0</v>
      </c>
      <c r="W123" s="38">
        <v>0</v>
      </c>
      <c r="X123" s="38">
        <v>0</v>
      </c>
      <c r="Y123" s="38"/>
      <c r="Z123" s="38" t="e">
        <v>#DIV/0!</v>
      </c>
      <c r="AA123" s="38"/>
      <c r="AB123" s="38" t="e">
        <v>#DIV/0!</v>
      </c>
      <c r="AC123" s="38" t="e">
        <v>#DIV/0!</v>
      </c>
      <c r="AD123" s="38" t="e">
        <v>#DIV/0!</v>
      </c>
      <c r="AE123" s="33">
        <v>45432</v>
      </c>
      <c r="AF123" s="33"/>
      <c r="AG123" s="33"/>
      <c r="AH123" s="33"/>
      <c r="AI123" s="33"/>
      <c r="AJ123" s="42"/>
      <c r="AK123" s="37"/>
      <c r="AL123" s="37"/>
      <c r="AM123" s="37"/>
      <c r="AN123" s="37"/>
      <c r="AO123" s="43"/>
      <c r="AP123" s="35"/>
      <c r="AQ123" s="35"/>
      <c r="AR123" s="44"/>
      <c r="AS123" s="37"/>
    </row>
    <row r="124" spans="1:45" ht="54.75" customHeight="1" x14ac:dyDescent="0.25">
      <c r="A124" s="32" t="s">
        <v>3255</v>
      </c>
      <c r="B124" s="56">
        <v>45380</v>
      </c>
      <c r="C124" s="35">
        <v>545</v>
      </c>
      <c r="D124" s="36"/>
      <c r="E124" s="1" t="s">
        <v>3256</v>
      </c>
      <c r="F124" s="33"/>
      <c r="G124" s="35"/>
      <c r="H124" s="37"/>
      <c r="I124" s="58" t="s">
        <v>1361</v>
      </c>
      <c r="J124" s="57">
        <v>51922442.880000003</v>
      </c>
      <c r="K124" s="40">
        <v>100</v>
      </c>
      <c r="L124" s="41">
        <v>51922442.880000003</v>
      </c>
      <c r="M124" s="38"/>
      <c r="N124" s="41">
        <v>51922442.880000003</v>
      </c>
      <c r="O124" s="38">
        <v>0</v>
      </c>
      <c r="P124" s="27">
        <v>0</v>
      </c>
      <c r="Q124" s="27">
        <v>0</v>
      </c>
      <c r="R124" s="27" t="e">
        <v>#DIV/0!</v>
      </c>
      <c r="S124" s="38" t="e">
        <v>#DIV/0!</v>
      </c>
      <c r="T124" s="38" t="e">
        <v>#DIV/0!</v>
      </c>
      <c r="U124" s="38">
        <v>0</v>
      </c>
      <c r="V124" s="38">
        <v>0</v>
      </c>
      <c r="W124" s="38">
        <v>0</v>
      </c>
      <c r="X124" s="38">
        <v>0</v>
      </c>
      <c r="Y124" s="38"/>
      <c r="Z124" s="38" t="e">
        <v>#DIV/0!</v>
      </c>
      <c r="AA124" s="38"/>
      <c r="AB124" s="38" t="e">
        <v>#DIV/0!</v>
      </c>
      <c r="AC124" s="38" t="e">
        <v>#DIV/0!</v>
      </c>
      <c r="AD124" s="38" t="e">
        <v>#DIV/0!</v>
      </c>
      <c r="AE124" s="33">
        <v>45427</v>
      </c>
      <c r="AF124" s="33"/>
      <c r="AG124" s="33"/>
      <c r="AH124" s="33"/>
      <c r="AI124" s="33"/>
      <c r="AJ124" s="42"/>
      <c r="AK124" s="37"/>
      <c r="AL124" s="37"/>
      <c r="AM124" s="37"/>
      <c r="AN124" s="37"/>
      <c r="AO124" s="43"/>
      <c r="AP124" s="35"/>
      <c r="AQ124" s="35"/>
      <c r="AR124" s="44"/>
      <c r="AS124" s="37"/>
    </row>
    <row r="125" spans="1:45" ht="54.75" customHeight="1" x14ac:dyDescent="0.25">
      <c r="A125" s="46" t="s">
        <v>3269</v>
      </c>
      <c r="B125" s="33">
        <v>45384</v>
      </c>
      <c r="C125" s="35">
        <v>545</v>
      </c>
      <c r="D125" s="36"/>
      <c r="E125" s="1" t="s">
        <v>3270</v>
      </c>
      <c r="F125" s="33"/>
      <c r="G125" s="35"/>
      <c r="H125" s="37"/>
      <c r="I125" s="37" t="s">
        <v>3271</v>
      </c>
      <c r="J125" s="38">
        <v>4835911.08</v>
      </c>
      <c r="K125" s="40">
        <v>100</v>
      </c>
      <c r="L125" s="41">
        <v>4835911.08</v>
      </c>
      <c r="M125" s="38"/>
      <c r="N125" s="41">
        <v>4835911.08</v>
      </c>
      <c r="O125" s="38">
        <v>0</v>
      </c>
      <c r="P125" s="27">
        <v>0</v>
      </c>
      <c r="Q125" s="27">
        <v>0</v>
      </c>
      <c r="R125" s="27" t="e">
        <v>#DIV/0!</v>
      </c>
      <c r="S125" s="38" t="e">
        <v>#DIV/0!</v>
      </c>
      <c r="T125" s="38" t="e">
        <v>#DIV/0!</v>
      </c>
      <c r="U125" s="38">
        <v>0</v>
      </c>
      <c r="V125" s="38">
        <v>0</v>
      </c>
      <c r="W125" s="38">
        <v>0</v>
      </c>
      <c r="X125" s="38">
        <v>0</v>
      </c>
      <c r="Y125" s="38"/>
      <c r="Z125" s="38" t="e">
        <v>#DIV/0!</v>
      </c>
      <c r="AA125" s="38"/>
      <c r="AB125" s="38" t="e">
        <v>#DIV/0!</v>
      </c>
      <c r="AC125" s="38" t="e">
        <v>#DIV/0!</v>
      </c>
      <c r="AD125" s="38" t="e">
        <v>#DIV/0!</v>
      </c>
      <c r="AE125" s="33">
        <v>45432</v>
      </c>
      <c r="AF125" s="33"/>
      <c r="AG125" s="33"/>
      <c r="AH125" s="33"/>
      <c r="AI125" s="33"/>
      <c r="AJ125" s="42"/>
      <c r="AK125" s="37"/>
      <c r="AL125" s="37"/>
      <c r="AM125" s="37"/>
      <c r="AN125" s="37"/>
      <c r="AO125" s="43"/>
      <c r="AP125" s="35"/>
      <c r="AQ125" s="35"/>
      <c r="AR125" s="44"/>
      <c r="AS125" s="37"/>
    </row>
    <row r="126" spans="1:45" ht="54.75" customHeight="1" x14ac:dyDescent="0.25">
      <c r="A126" s="32" t="s">
        <v>3274</v>
      </c>
      <c r="B126" s="56">
        <v>45386</v>
      </c>
      <c r="C126" s="35">
        <v>545</v>
      </c>
      <c r="D126" s="36"/>
      <c r="E126" s="1" t="s">
        <v>3275</v>
      </c>
      <c r="F126" s="33"/>
      <c r="G126" s="35"/>
      <c r="H126" s="37"/>
      <c r="I126" s="58" t="s">
        <v>3276</v>
      </c>
      <c r="J126" s="57">
        <v>9859997.2799999993</v>
      </c>
      <c r="K126" s="40">
        <v>100</v>
      </c>
      <c r="L126" s="41">
        <v>9859997.2799999993</v>
      </c>
      <c r="M126" s="38"/>
      <c r="N126" s="41">
        <v>9859997.2799999993</v>
      </c>
      <c r="O126" s="38">
        <v>0</v>
      </c>
      <c r="P126" s="27">
        <v>0</v>
      </c>
      <c r="Q126" s="27">
        <v>0</v>
      </c>
      <c r="R126" s="27" t="e">
        <v>#DIV/0!</v>
      </c>
      <c r="S126" s="38" t="e">
        <v>#DIV/0!</v>
      </c>
      <c r="T126" s="38" t="e">
        <v>#DIV/0!</v>
      </c>
      <c r="U126" s="38">
        <v>0</v>
      </c>
      <c r="V126" s="38">
        <v>0</v>
      </c>
      <c r="W126" s="38">
        <v>0</v>
      </c>
      <c r="X126" s="38">
        <v>0</v>
      </c>
      <c r="Y126" s="38"/>
      <c r="Z126" s="38" t="e">
        <v>#DIV/0!</v>
      </c>
      <c r="AA126" s="38"/>
      <c r="AB126" s="38" t="e">
        <v>#DIV/0!</v>
      </c>
      <c r="AC126" s="38" t="e">
        <v>#DIV/0!</v>
      </c>
      <c r="AD126" s="38" t="e">
        <v>#DIV/0!</v>
      </c>
      <c r="AE126" s="33">
        <v>45432</v>
      </c>
      <c r="AF126" s="33"/>
      <c r="AG126" s="33"/>
      <c r="AH126" s="33"/>
      <c r="AI126" s="33"/>
      <c r="AJ126" s="42"/>
      <c r="AK126" s="37"/>
      <c r="AL126" s="37"/>
      <c r="AM126" s="37"/>
      <c r="AN126" s="37"/>
      <c r="AO126" s="43"/>
      <c r="AP126" s="35"/>
      <c r="AQ126" s="35"/>
      <c r="AR126" s="44"/>
      <c r="AS126" s="37"/>
    </row>
    <row r="127" spans="1:45" ht="48" customHeight="1" x14ac:dyDescent="0.25">
      <c r="A127" s="32" t="s">
        <v>3285</v>
      </c>
      <c r="B127" s="56">
        <v>45390</v>
      </c>
      <c r="C127" s="35">
        <v>545</v>
      </c>
      <c r="D127" s="36"/>
      <c r="E127" s="37"/>
      <c r="F127" s="33"/>
      <c r="G127" s="35"/>
      <c r="H127" s="37"/>
      <c r="I127" s="58" t="s">
        <v>1371</v>
      </c>
      <c r="J127" s="57">
        <v>33355520</v>
      </c>
      <c r="K127" s="40">
        <v>100</v>
      </c>
      <c r="L127" s="41">
        <v>33355520</v>
      </c>
      <c r="M127" s="38"/>
      <c r="N127" s="41">
        <v>33355520</v>
      </c>
      <c r="O127" s="38">
        <v>0</v>
      </c>
      <c r="P127" s="27">
        <v>0</v>
      </c>
      <c r="Q127" s="27">
        <v>0</v>
      </c>
      <c r="R127" s="27" t="e">
        <v>#DIV/0!</v>
      </c>
      <c r="S127" s="38" t="e">
        <v>#DIV/0!</v>
      </c>
      <c r="T127" s="38" t="e">
        <v>#DIV/0!</v>
      </c>
      <c r="U127" s="38">
        <v>0</v>
      </c>
      <c r="V127" s="38">
        <v>0</v>
      </c>
      <c r="W127" s="38">
        <v>0</v>
      </c>
      <c r="X127" s="38">
        <v>0</v>
      </c>
      <c r="Y127" s="38"/>
      <c r="Z127" s="38" t="e">
        <v>#DIV/0!</v>
      </c>
      <c r="AA127" s="38"/>
      <c r="AB127" s="38" t="e">
        <v>#DIV/0!</v>
      </c>
      <c r="AC127" s="38" t="e">
        <v>#DIV/0!</v>
      </c>
      <c r="AD127" s="38" t="e">
        <v>#DIV/0!</v>
      </c>
      <c r="AE127" s="33">
        <v>45444</v>
      </c>
      <c r="AF127" s="33"/>
      <c r="AG127" s="33"/>
      <c r="AH127" s="33"/>
      <c r="AI127" s="33"/>
      <c r="AJ127" s="42"/>
      <c r="AK127" s="37"/>
      <c r="AL127" s="37"/>
      <c r="AM127" s="37"/>
      <c r="AN127" s="37"/>
      <c r="AO127" s="43"/>
      <c r="AP127" s="35"/>
      <c r="AQ127" s="35"/>
      <c r="AR127" s="44"/>
      <c r="AS127" s="37"/>
    </row>
    <row r="128" spans="1:45" ht="48" customHeight="1" x14ac:dyDescent="0.25">
      <c r="A128" s="32" t="s">
        <v>3295</v>
      </c>
      <c r="B128" s="56">
        <v>45391</v>
      </c>
      <c r="C128" s="35">
        <v>545</v>
      </c>
      <c r="D128" s="36"/>
      <c r="E128" s="37"/>
      <c r="F128" s="33"/>
      <c r="G128" s="35"/>
      <c r="H128" s="37"/>
      <c r="I128" s="58" t="s">
        <v>3296</v>
      </c>
      <c r="J128" s="57">
        <v>49703306.399999999</v>
      </c>
      <c r="K128" s="40">
        <v>100</v>
      </c>
      <c r="L128" s="41">
        <v>49703306.399999999</v>
      </c>
      <c r="M128" s="38"/>
      <c r="N128" s="41">
        <v>49703306.399999999</v>
      </c>
      <c r="O128" s="38">
        <v>0</v>
      </c>
      <c r="P128" s="27">
        <v>0</v>
      </c>
      <c r="Q128" s="27">
        <v>0</v>
      </c>
      <c r="R128" s="27" t="e">
        <v>#DIV/0!</v>
      </c>
      <c r="S128" s="38" t="e">
        <v>#DIV/0!</v>
      </c>
      <c r="T128" s="38" t="e">
        <v>#DIV/0!</v>
      </c>
      <c r="U128" s="38">
        <v>0</v>
      </c>
      <c r="V128" s="38">
        <v>0</v>
      </c>
      <c r="W128" s="38">
        <v>0</v>
      </c>
      <c r="X128" s="38">
        <v>0</v>
      </c>
      <c r="Y128" s="38"/>
      <c r="Z128" s="38" t="e">
        <v>#DIV/0!</v>
      </c>
      <c r="AA128" s="38"/>
      <c r="AB128" s="38" t="e">
        <v>#DIV/0!</v>
      </c>
      <c r="AC128" s="38" t="e">
        <v>#DIV/0!</v>
      </c>
      <c r="AD128" s="38" t="e">
        <v>#DIV/0!</v>
      </c>
      <c r="AE128" s="33">
        <v>45432</v>
      </c>
      <c r="AF128" s="33"/>
      <c r="AG128" s="33"/>
      <c r="AH128" s="33"/>
      <c r="AI128" s="33"/>
      <c r="AJ128" s="42"/>
      <c r="AK128" s="37"/>
      <c r="AL128" s="37"/>
      <c r="AM128" s="37"/>
      <c r="AN128" s="37"/>
      <c r="AO128" s="43"/>
      <c r="AP128" s="35"/>
      <c r="AQ128" s="35"/>
      <c r="AR128" s="44"/>
      <c r="AS128" s="37"/>
    </row>
    <row r="129" spans="1:45" ht="48" customHeight="1" x14ac:dyDescent="0.25">
      <c r="A129" s="32" t="s">
        <v>3307</v>
      </c>
      <c r="B129" s="56">
        <v>45392</v>
      </c>
      <c r="C129" s="35">
        <v>545</v>
      </c>
      <c r="D129" s="36"/>
      <c r="E129" s="37"/>
      <c r="F129" s="33"/>
      <c r="G129" s="35"/>
      <c r="H129" s="37"/>
      <c r="I129" s="58" t="s">
        <v>2868</v>
      </c>
      <c r="J129" s="57">
        <v>18263718</v>
      </c>
      <c r="K129" s="40">
        <v>100</v>
      </c>
      <c r="L129" s="41">
        <v>18263718</v>
      </c>
      <c r="M129" s="38"/>
      <c r="N129" s="41">
        <v>18263718</v>
      </c>
      <c r="O129" s="38">
        <v>0</v>
      </c>
      <c r="P129" s="27">
        <v>0</v>
      </c>
      <c r="Q129" s="27">
        <v>0</v>
      </c>
      <c r="R129" s="27" t="e">
        <v>#DIV/0!</v>
      </c>
      <c r="S129" s="38" t="e">
        <v>#DIV/0!</v>
      </c>
      <c r="T129" s="38" t="e">
        <v>#DIV/0!</v>
      </c>
      <c r="U129" s="38">
        <v>0</v>
      </c>
      <c r="V129" s="38">
        <v>0</v>
      </c>
      <c r="W129" s="38">
        <v>0</v>
      </c>
      <c r="X129" s="38">
        <v>0</v>
      </c>
      <c r="Y129" s="38"/>
      <c r="Z129" s="38" t="e">
        <v>#DIV/0!</v>
      </c>
      <c r="AA129" s="38"/>
      <c r="AB129" s="38" t="e">
        <v>#DIV/0!</v>
      </c>
      <c r="AC129" s="38" t="e">
        <v>#DIV/0!</v>
      </c>
      <c r="AD129" s="38" t="e">
        <v>#DIV/0!</v>
      </c>
      <c r="AE129" s="33">
        <v>45505</v>
      </c>
      <c r="AF129" s="33"/>
      <c r="AG129" s="33"/>
      <c r="AH129" s="33"/>
      <c r="AI129" s="33"/>
      <c r="AJ129" s="42"/>
      <c r="AK129" s="37"/>
      <c r="AL129" s="37"/>
      <c r="AM129" s="37"/>
      <c r="AN129" s="37"/>
      <c r="AO129" s="43"/>
      <c r="AP129" s="35"/>
      <c r="AQ129" s="35"/>
      <c r="AR129" s="44"/>
      <c r="AS129" s="37"/>
    </row>
    <row r="130" spans="1:45" ht="48" customHeight="1" x14ac:dyDescent="0.25">
      <c r="A130" s="32" t="s">
        <v>3334</v>
      </c>
      <c r="B130" s="56">
        <v>45394</v>
      </c>
      <c r="C130" s="35">
        <v>545</v>
      </c>
      <c r="D130" s="36"/>
      <c r="E130" s="37"/>
      <c r="F130" s="33"/>
      <c r="G130" s="35"/>
      <c r="H130" s="37"/>
      <c r="I130" s="59" t="s">
        <v>516</v>
      </c>
      <c r="J130" s="57">
        <v>4061821.5</v>
      </c>
      <c r="K130" s="40">
        <v>100</v>
      </c>
      <c r="L130" s="41">
        <v>4061821.5</v>
      </c>
      <c r="M130" s="38"/>
      <c r="N130" s="41">
        <v>4061821.5</v>
      </c>
      <c r="O130" s="38">
        <v>0</v>
      </c>
      <c r="P130" s="27">
        <v>0</v>
      </c>
      <c r="Q130" s="27">
        <v>0</v>
      </c>
      <c r="R130" s="27" t="e">
        <v>#DIV/0!</v>
      </c>
      <c r="S130" s="38" t="e">
        <v>#DIV/0!</v>
      </c>
      <c r="T130" s="38" t="e">
        <v>#DIV/0!</v>
      </c>
      <c r="U130" s="38">
        <v>0</v>
      </c>
      <c r="V130" s="38">
        <v>0</v>
      </c>
      <c r="W130" s="38">
        <v>0</v>
      </c>
      <c r="X130" s="38">
        <v>0</v>
      </c>
      <c r="Y130" s="38"/>
      <c r="Z130" s="38" t="e">
        <v>#DIV/0!</v>
      </c>
      <c r="AA130" s="38"/>
      <c r="AB130" s="38" t="e">
        <v>#DIV/0!</v>
      </c>
      <c r="AC130" s="38" t="e">
        <v>#DIV/0!</v>
      </c>
      <c r="AD130" s="38" t="e">
        <v>#DIV/0!</v>
      </c>
      <c r="AE130" s="33">
        <v>45474</v>
      </c>
      <c r="AF130" s="33"/>
      <c r="AG130" s="33"/>
      <c r="AH130" s="33"/>
      <c r="AI130" s="33"/>
      <c r="AJ130" s="42"/>
      <c r="AK130" s="37"/>
      <c r="AL130" s="37"/>
      <c r="AM130" s="37"/>
      <c r="AN130" s="37"/>
      <c r="AO130" s="43"/>
      <c r="AP130" s="35"/>
      <c r="AQ130" s="35"/>
      <c r="AR130" s="44"/>
      <c r="AS130" s="37"/>
    </row>
    <row r="131" spans="1:45" ht="48" customHeight="1" x14ac:dyDescent="0.25">
      <c r="A131" s="32" t="s">
        <v>3344</v>
      </c>
      <c r="B131" s="56">
        <v>45397</v>
      </c>
      <c r="C131" s="35">
        <v>545</v>
      </c>
      <c r="D131" s="36"/>
      <c r="E131" s="37"/>
      <c r="F131" s="33"/>
      <c r="G131" s="35"/>
      <c r="H131" s="37"/>
      <c r="I131" s="58" t="s">
        <v>3345</v>
      </c>
      <c r="J131" s="57">
        <v>15275696</v>
      </c>
      <c r="K131" s="40">
        <v>100</v>
      </c>
      <c r="L131" s="41">
        <v>15275696</v>
      </c>
      <c r="M131" s="38"/>
      <c r="N131" s="41">
        <v>15275696</v>
      </c>
      <c r="O131" s="38">
        <v>0</v>
      </c>
      <c r="P131" s="27">
        <v>0</v>
      </c>
      <c r="Q131" s="27">
        <v>0</v>
      </c>
      <c r="R131" s="27" t="e">
        <v>#DIV/0!</v>
      </c>
      <c r="S131" s="38" t="e">
        <v>#DIV/0!</v>
      </c>
      <c r="T131" s="38" t="e">
        <v>#DIV/0!</v>
      </c>
      <c r="U131" s="38">
        <v>0</v>
      </c>
      <c r="V131" s="38">
        <v>0</v>
      </c>
      <c r="W131" s="38">
        <v>0</v>
      </c>
      <c r="X131" s="38">
        <v>0</v>
      </c>
      <c r="Y131" s="38"/>
      <c r="Z131" s="38" t="e">
        <v>#DIV/0!</v>
      </c>
      <c r="AA131" s="38"/>
      <c r="AB131" s="38" t="e">
        <v>#DIV/0!</v>
      </c>
      <c r="AC131" s="38" t="e">
        <v>#DIV/0!</v>
      </c>
      <c r="AD131" s="38" t="e">
        <v>#DIV/0!</v>
      </c>
      <c r="AE131" s="33">
        <v>45444</v>
      </c>
      <c r="AF131" s="33"/>
      <c r="AG131" s="33"/>
      <c r="AH131" s="33"/>
      <c r="AI131" s="33"/>
      <c r="AJ131" s="42"/>
      <c r="AK131" s="37"/>
      <c r="AL131" s="37"/>
      <c r="AM131" s="37"/>
      <c r="AN131" s="37"/>
      <c r="AO131" s="43"/>
      <c r="AP131" s="35"/>
      <c r="AQ131" s="35"/>
      <c r="AR131" s="44"/>
      <c r="AS131" s="37"/>
    </row>
    <row r="132" spans="1:45" ht="48" customHeight="1" x14ac:dyDescent="0.25">
      <c r="A132" s="32" t="s">
        <v>3376</v>
      </c>
      <c r="B132" s="56">
        <v>45398</v>
      </c>
      <c r="C132" s="35">
        <v>545</v>
      </c>
      <c r="D132" s="36"/>
      <c r="E132" s="37"/>
      <c r="F132" s="33"/>
      <c r="G132" s="35"/>
      <c r="H132" s="37"/>
      <c r="I132" s="58" t="s">
        <v>3377</v>
      </c>
      <c r="J132" s="57">
        <v>3740000000</v>
      </c>
      <c r="K132" s="40">
        <v>100</v>
      </c>
      <c r="L132" s="41">
        <v>3740000000</v>
      </c>
      <c r="M132" s="38"/>
      <c r="N132" s="41">
        <v>3740000000</v>
      </c>
      <c r="O132" s="38">
        <v>0</v>
      </c>
      <c r="P132" s="27">
        <v>0</v>
      </c>
      <c r="Q132" s="27">
        <v>0</v>
      </c>
      <c r="R132" s="27" t="e">
        <v>#DIV/0!</v>
      </c>
      <c r="S132" s="38" t="e">
        <v>#DIV/0!</v>
      </c>
      <c r="T132" s="38" t="e">
        <v>#DIV/0!</v>
      </c>
      <c r="U132" s="38">
        <v>0</v>
      </c>
      <c r="V132" s="38">
        <v>0</v>
      </c>
      <c r="W132" s="38">
        <v>0</v>
      </c>
      <c r="X132" s="38">
        <v>0</v>
      </c>
      <c r="Y132" s="38"/>
      <c r="Z132" s="38" t="e">
        <v>#DIV/0!</v>
      </c>
      <c r="AA132" s="38"/>
      <c r="AB132" s="38" t="e">
        <v>#DIV/0!</v>
      </c>
      <c r="AC132" s="38" t="e">
        <v>#DIV/0!</v>
      </c>
      <c r="AD132" s="38" t="e">
        <v>#DIV/0!</v>
      </c>
      <c r="AE132" s="33">
        <v>45657</v>
      </c>
      <c r="AF132" s="33"/>
      <c r="AG132" s="33"/>
      <c r="AH132" s="33"/>
      <c r="AI132" s="33"/>
      <c r="AJ132" s="42"/>
      <c r="AK132" s="37"/>
      <c r="AL132" s="37"/>
      <c r="AM132" s="37"/>
      <c r="AN132" s="37"/>
      <c r="AO132" s="43"/>
      <c r="AP132" s="35"/>
      <c r="AQ132" s="35"/>
      <c r="AR132" s="44"/>
      <c r="AS132" s="37"/>
    </row>
    <row r="133" spans="1:45" ht="48" customHeight="1" x14ac:dyDescent="0.25">
      <c r="A133" s="32" t="s">
        <v>3381</v>
      </c>
      <c r="B133" s="56">
        <v>45398</v>
      </c>
      <c r="C133" s="35">
        <v>545</v>
      </c>
      <c r="D133" s="36"/>
      <c r="E133" s="37"/>
      <c r="F133" s="33"/>
      <c r="G133" s="35"/>
      <c r="H133" s="37"/>
      <c r="I133" s="58" t="s">
        <v>3382</v>
      </c>
      <c r="J133" s="57">
        <v>104187963.59999999</v>
      </c>
      <c r="K133" s="40">
        <v>100</v>
      </c>
      <c r="L133" s="41">
        <v>104187963.59999999</v>
      </c>
      <c r="M133" s="38"/>
      <c r="N133" s="41">
        <v>104187963.59999999</v>
      </c>
      <c r="O133" s="38">
        <v>0</v>
      </c>
      <c r="P133" s="27">
        <v>0</v>
      </c>
      <c r="Q133" s="27">
        <v>0</v>
      </c>
      <c r="R133" s="27" t="e">
        <v>#DIV/0!</v>
      </c>
      <c r="S133" s="38" t="e">
        <v>#DIV/0!</v>
      </c>
      <c r="T133" s="38" t="e">
        <v>#DIV/0!</v>
      </c>
      <c r="U133" s="38">
        <v>0</v>
      </c>
      <c r="V133" s="38">
        <v>0</v>
      </c>
      <c r="W133" s="38">
        <v>0</v>
      </c>
      <c r="X133" s="38">
        <v>0</v>
      </c>
      <c r="Y133" s="38"/>
      <c r="Z133" s="38" t="e">
        <v>#DIV/0!</v>
      </c>
      <c r="AA133" s="38"/>
      <c r="AB133" s="38" t="e">
        <v>#DIV/0!</v>
      </c>
      <c r="AC133" s="38" t="e">
        <v>#DIV/0!</v>
      </c>
      <c r="AD133" s="38" t="e">
        <v>#DIV/0!</v>
      </c>
      <c r="AE133" s="33">
        <v>45444</v>
      </c>
      <c r="AF133" s="33"/>
      <c r="AG133" s="33"/>
      <c r="AH133" s="33"/>
      <c r="AI133" s="33"/>
      <c r="AJ133" s="42"/>
      <c r="AK133" s="37"/>
      <c r="AL133" s="37"/>
      <c r="AM133" s="37"/>
      <c r="AN133" s="37"/>
      <c r="AO133" s="43"/>
      <c r="AP133" s="35"/>
      <c r="AQ133" s="35"/>
      <c r="AR133" s="44"/>
      <c r="AS133" s="37"/>
    </row>
    <row r="134" spans="1:45" ht="48" customHeight="1" x14ac:dyDescent="0.25">
      <c r="A134" s="32" t="s">
        <v>3383</v>
      </c>
      <c r="B134" s="56">
        <v>45398</v>
      </c>
      <c r="C134" s="35">
        <v>545</v>
      </c>
      <c r="D134" s="36"/>
      <c r="E134" s="37"/>
      <c r="F134" s="33"/>
      <c r="G134" s="35"/>
      <c r="H134" s="37"/>
      <c r="I134" s="58" t="s">
        <v>3384</v>
      </c>
      <c r="J134" s="57">
        <v>53433551.700000003</v>
      </c>
      <c r="K134" s="40">
        <v>100</v>
      </c>
      <c r="L134" s="41">
        <v>53433551.700000003</v>
      </c>
      <c r="M134" s="38"/>
      <c r="N134" s="41">
        <v>53433551.700000003</v>
      </c>
      <c r="O134" s="38">
        <v>0</v>
      </c>
      <c r="P134" s="27">
        <v>0</v>
      </c>
      <c r="Q134" s="27">
        <v>0</v>
      </c>
      <c r="R134" s="27" t="e">
        <v>#DIV/0!</v>
      </c>
      <c r="S134" s="38" t="e">
        <v>#DIV/0!</v>
      </c>
      <c r="T134" s="38" t="e">
        <v>#DIV/0!</v>
      </c>
      <c r="U134" s="38">
        <v>0</v>
      </c>
      <c r="V134" s="38">
        <v>0</v>
      </c>
      <c r="W134" s="38">
        <v>0</v>
      </c>
      <c r="X134" s="38">
        <v>0</v>
      </c>
      <c r="Y134" s="38"/>
      <c r="Z134" s="38" t="e">
        <v>#DIV/0!</v>
      </c>
      <c r="AA134" s="38"/>
      <c r="AB134" s="38" t="e">
        <v>#DIV/0!</v>
      </c>
      <c r="AC134" s="38" t="e">
        <v>#DIV/0!</v>
      </c>
      <c r="AD134" s="38" t="e">
        <v>#DIV/0!</v>
      </c>
      <c r="AE134" s="33">
        <v>45444</v>
      </c>
      <c r="AF134" s="33"/>
      <c r="AG134" s="33"/>
      <c r="AH134" s="33"/>
      <c r="AI134" s="33"/>
      <c r="AJ134" s="42"/>
      <c r="AK134" s="37"/>
      <c r="AL134" s="37"/>
      <c r="AM134" s="37"/>
      <c r="AN134" s="37"/>
      <c r="AO134" s="43"/>
      <c r="AP134" s="35"/>
      <c r="AQ134" s="35"/>
      <c r="AR134" s="44"/>
      <c r="AS134" s="37"/>
    </row>
    <row r="135" spans="1:45" ht="48" customHeight="1" x14ac:dyDescent="0.25">
      <c r="A135" s="32" t="s">
        <v>3401</v>
      </c>
      <c r="B135" s="56">
        <v>45399</v>
      </c>
      <c r="C135" s="35">
        <v>545</v>
      </c>
      <c r="D135" s="36"/>
      <c r="E135" s="37"/>
      <c r="F135" s="33"/>
      <c r="G135" s="35"/>
      <c r="H135" s="37"/>
      <c r="I135" s="58" t="s">
        <v>1376</v>
      </c>
      <c r="J135" s="57">
        <v>20192079.600000001</v>
      </c>
      <c r="K135" s="40">
        <v>100</v>
      </c>
      <c r="L135" s="41">
        <v>20192079.600000001</v>
      </c>
      <c r="M135" s="38"/>
      <c r="N135" s="41">
        <v>20192079.600000001</v>
      </c>
      <c r="O135" s="38">
        <v>0</v>
      </c>
      <c r="P135" s="27">
        <v>0</v>
      </c>
      <c r="Q135" s="27">
        <v>0</v>
      </c>
      <c r="R135" s="27" t="e">
        <v>#DIV/0!</v>
      </c>
      <c r="S135" s="38" t="e">
        <v>#DIV/0!</v>
      </c>
      <c r="T135" s="38" t="e">
        <v>#DIV/0!</v>
      </c>
      <c r="U135" s="38">
        <v>0</v>
      </c>
      <c r="V135" s="38">
        <v>0</v>
      </c>
      <c r="W135" s="38">
        <v>0</v>
      </c>
      <c r="X135" s="38">
        <v>0</v>
      </c>
      <c r="Y135" s="38"/>
      <c r="Z135" s="38" t="e">
        <v>#DIV/0!</v>
      </c>
      <c r="AA135" s="38"/>
      <c r="AB135" s="38" t="e">
        <v>#DIV/0!</v>
      </c>
      <c r="AC135" s="38" t="e">
        <v>#DIV/0!</v>
      </c>
      <c r="AD135" s="38" t="e">
        <v>#DIV/0!</v>
      </c>
      <c r="AE135" s="33">
        <v>45443</v>
      </c>
      <c r="AF135" s="33"/>
      <c r="AG135" s="33"/>
      <c r="AH135" s="33"/>
      <c r="AI135" s="33"/>
      <c r="AJ135" s="42"/>
      <c r="AK135" s="37"/>
      <c r="AL135" s="37"/>
      <c r="AM135" s="37"/>
      <c r="AN135" s="37"/>
      <c r="AO135" s="43"/>
      <c r="AP135" s="35"/>
      <c r="AQ135" s="35"/>
      <c r="AR135" s="44"/>
      <c r="AS135" s="37"/>
    </row>
    <row r="136" spans="1:45" ht="48" customHeight="1" x14ac:dyDescent="0.25">
      <c r="A136" s="32" t="s">
        <v>3402</v>
      </c>
      <c r="B136" s="56">
        <v>45399</v>
      </c>
      <c r="C136" s="35">
        <v>545</v>
      </c>
      <c r="D136" s="36"/>
      <c r="E136" s="37"/>
      <c r="F136" s="33"/>
      <c r="G136" s="35"/>
      <c r="H136" s="37"/>
      <c r="I136" s="58" t="s">
        <v>3403</v>
      </c>
      <c r="J136" s="57">
        <v>10096032.66</v>
      </c>
      <c r="K136" s="40">
        <v>100</v>
      </c>
      <c r="L136" s="41">
        <v>10096032.66</v>
      </c>
      <c r="M136" s="38"/>
      <c r="N136" s="41">
        <v>10096032.66</v>
      </c>
      <c r="O136" s="38">
        <v>0</v>
      </c>
      <c r="P136" s="27">
        <v>0</v>
      </c>
      <c r="Q136" s="27">
        <v>0</v>
      </c>
      <c r="R136" s="27" t="e">
        <v>#DIV/0!</v>
      </c>
      <c r="S136" s="38" t="e">
        <v>#DIV/0!</v>
      </c>
      <c r="T136" s="38" t="e">
        <v>#DIV/0!</v>
      </c>
      <c r="U136" s="38">
        <v>0</v>
      </c>
      <c r="V136" s="38">
        <v>0</v>
      </c>
      <c r="W136" s="38">
        <v>0</v>
      </c>
      <c r="X136" s="38">
        <v>0</v>
      </c>
      <c r="Y136" s="38"/>
      <c r="Z136" s="38" t="e">
        <v>#DIV/0!</v>
      </c>
      <c r="AA136" s="38"/>
      <c r="AB136" s="38" t="e">
        <v>#DIV/0!</v>
      </c>
      <c r="AC136" s="38" t="e">
        <v>#DIV/0!</v>
      </c>
      <c r="AD136" s="38" t="e">
        <v>#DIV/0!</v>
      </c>
      <c r="AE136" s="33">
        <v>45443</v>
      </c>
      <c r="AF136" s="33"/>
      <c r="AG136" s="33"/>
      <c r="AH136" s="33"/>
      <c r="AI136" s="33"/>
      <c r="AJ136" s="42"/>
      <c r="AK136" s="37"/>
      <c r="AL136" s="37"/>
      <c r="AM136" s="37"/>
      <c r="AN136" s="37"/>
      <c r="AO136" s="43"/>
      <c r="AP136" s="35"/>
      <c r="AQ136" s="35"/>
      <c r="AR136" s="44"/>
      <c r="AS136" s="37"/>
    </row>
    <row r="137" spans="1:45" ht="48" customHeight="1" x14ac:dyDescent="0.25">
      <c r="A137" s="32" t="s">
        <v>3404</v>
      </c>
      <c r="B137" s="56">
        <v>45399</v>
      </c>
      <c r="C137" s="35">
        <v>545</v>
      </c>
      <c r="D137" s="36"/>
      <c r="E137" s="37"/>
      <c r="F137" s="33"/>
      <c r="G137" s="35"/>
      <c r="H137" s="37"/>
      <c r="I137" s="58" t="s">
        <v>3405</v>
      </c>
      <c r="J137" s="57">
        <v>160974371.25</v>
      </c>
      <c r="K137" s="40">
        <v>100</v>
      </c>
      <c r="L137" s="41">
        <v>160974371.25</v>
      </c>
      <c r="M137" s="38"/>
      <c r="N137" s="41">
        <v>160974371.25</v>
      </c>
      <c r="O137" s="38">
        <v>0</v>
      </c>
      <c r="P137" s="27">
        <v>0</v>
      </c>
      <c r="Q137" s="27">
        <v>0</v>
      </c>
      <c r="R137" s="27" t="e">
        <v>#DIV/0!</v>
      </c>
      <c r="S137" s="38" t="e">
        <v>#DIV/0!</v>
      </c>
      <c r="T137" s="38" t="e">
        <v>#DIV/0!</v>
      </c>
      <c r="U137" s="38">
        <v>0</v>
      </c>
      <c r="V137" s="38">
        <v>0</v>
      </c>
      <c r="W137" s="38">
        <v>0</v>
      </c>
      <c r="X137" s="38">
        <v>0</v>
      </c>
      <c r="Y137" s="38"/>
      <c r="Z137" s="38" t="e">
        <v>#DIV/0!</v>
      </c>
      <c r="AA137" s="38"/>
      <c r="AB137" s="38" t="e">
        <v>#DIV/0!</v>
      </c>
      <c r="AC137" s="38" t="e">
        <v>#DIV/0!</v>
      </c>
      <c r="AD137" s="38" t="e">
        <v>#DIV/0!</v>
      </c>
      <c r="AE137" s="33">
        <v>45444</v>
      </c>
      <c r="AF137" s="33"/>
      <c r="AG137" s="33"/>
      <c r="AH137" s="33"/>
      <c r="AI137" s="33"/>
      <c r="AJ137" s="42"/>
      <c r="AK137" s="37"/>
      <c r="AL137" s="37"/>
      <c r="AM137" s="37"/>
      <c r="AN137" s="37"/>
      <c r="AO137" s="43"/>
      <c r="AP137" s="35"/>
      <c r="AQ137" s="35"/>
      <c r="AR137" s="44"/>
      <c r="AS137" s="37"/>
    </row>
  </sheetData>
  <autoFilter ref="A2:AS44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36B039FA-21FC-4163-9551-0839BFC9112B}"/>
    <hyperlink ref="E4" r:id="rId2" xr:uid="{06AAE595-7D81-4A48-90C3-0C696E8B5903}"/>
    <hyperlink ref="E5" r:id="rId3" xr:uid="{0B08978C-58A5-4790-99FD-B93CDCD1A3A2}"/>
    <hyperlink ref="E6" r:id="rId4" xr:uid="{4A358BE6-538C-4190-94C5-82E3003D865E}"/>
    <hyperlink ref="E7" r:id="rId5" xr:uid="{3396C104-020F-4C5D-A2FA-F1665942C7C7}"/>
    <hyperlink ref="E8" r:id="rId6" xr:uid="{21507403-7663-4537-A990-36856C05DACB}"/>
    <hyperlink ref="E9" r:id="rId7" xr:uid="{D9D559B9-F6A2-4B43-AC46-633729E41A63}"/>
    <hyperlink ref="E10" r:id="rId8" xr:uid="{F152C883-C5D2-44BC-97AD-F372D1637617}"/>
    <hyperlink ref="E11" r:id="rId9" xr:uid="{023E0331-2359-4395-8486-D14BB69195E7}"/>
    <hyperlink ref="E12" r:id="rId10" xr:uid="{8E519391-C17E-4997-B225-D91805029D5A}"/>
    <hyperlink ref="E13" r:id="rId11" xr:uid="{A60D5B77-6416-4540-95F8-9A60B727FA63}"/>
    <hyperlink ref="E14" r:id="rId12" xr:uid="{FE933AE3-F15C-4D91-BEC2-BF4B33529866}"/>
    <hyperlink ref="E15" r:id="rId13" xr:uid="{FEAA2082-6309-4F3F-9851-B7E0FC9B7B7C}"/>
    <hyperlink ref="E16" r:id="rId14" xr:uid="{B4CAFED6-D834-4308-A47C-3A81452DC32A}"/>
    <hyperlink ref="E17" r:id="rId15" xr:uid="{D8B4DD8A-9630-4A0C-85E2-6BB631796C7E}"/>
    <hyperlink ref="E18" r:id="rId16" xr:uid="{08D4715A-70FC-4A45-B13C-ED1CA18A63CE}"/>
    <hyperlink ref="E19" r:id="rId17" xr:uid="{8B2D884D-4A3B-463B-A698-A7A251B8FCC7}"/>
    <hyperlink ref="E20" r:id="rId18" xr:uid="{52898B2C-716A-4714-8877-168508AB3C3F}"/>
    <hyperlink ref="E21" r:id="rId19" xr:uid="{04D5F278-8EAE-4C13-A1DD-4CE4C059E5BF}"/>
    <hyperlink ref="E22" r:id="rId20" xr:uid="{E9F915C2-9C31-4A20-9289-55FA1359082C}"/>
    <hyperlink ref="E23" r:id="rId21" xr:uid="{D150B08E-5B0E-4AE7-A39C-261530FEB17F}"/>
    <hyperlink ref="E24" r:id="rId22" xr:uid="{518E9E88-0B4F-4B3F-BC71-48A74DB6FE2B}"/>
    <hyperlink ref="E25" r:id="rId23" xr:uid="{F5730134-F1E7-4858-849B-EC25BD82E162}"/>
    <hyperlink ref="E26" r:id="rId24" xr:uid="{F0FDEB52-CFF3-4FF7-A567-464D67FC779B}"/>
    <hyperlink ref="E27" r:id="rId25" xr:uid="{13584D13-C3E6-4FF8-B6AA-30A0702304BB}"/>
    <hyperlink ref="E28" r:id="rId26" xr:uid="{4662049D-615F-4AC2-BC30-76D6346B7C79}"/>
    <hyperlink ref="E29" r:id="rId27" xr:uid="{4538396B-DFEF-488B-94D3-47930BC772A6}"/>
    <hyperlink ref="E30" r:id="rId28" xr:uid="{657F2D8A-CA6E-4812-BD31-85D74CC4646D}"/>
    <hyperlink ref="E31" r:id="rId29" xr:uid="{00FEFBE0-3325-441D-A34C-39BA1F1C13A3}"/>
    <hyperlink ref="E32" r:id="rId30" xr:uid="{A4A5A769-D036-404D-B1A1-771C2D4852A5}"/>
    <hyperlink ref="E33" r:id="rId31" xr:uid="{3398310E-21B7-4DDF-845B-377193A8630D}"/>
    <hyperlink ref="E34" r:id="rId32" xr:uid="{9707755B-FDED-4A6E-B5BA-AC0CB4F59264}"/>
    <hyperlink ref="E35" r:id="rId33" xr:uid="{F4EEC050-23CD-4433-87C9-19EB6D0EDD53}"/>
    <hyperlink ref="E36" r:id="rId34" xr:uid="{D166D364-5E3F-47DF-AC80-F37348F0AF16}"/>
    <hyperlink ref="E37" r:id="rId35" xr:uid="{53EB9113-9DAA-4372-9D07-7CA947627647}"/>
    <hyperlink ref="E39" r:id="rId36" xr:uid="{2C369204-24C8-449A-9AA6-AE782E6010E0}"/>
    <hyperlink ref="E40" r:id="rId37" xr:uid="{1010A35C-6721-428A-9C98-D2B560F6EA5E}"/>
    <hyperlink ref="E41" r:id="rId38" xr:uid="{E8024889-9A6A-49E8-BBCD-E64B1553A189}"/>
    <hyperlink ref="E42" r:id="rId39" xr:uid="{1500BDED-42F2-464D-A5B4-81ACCE758A93}"/>
    <hyperlink ref="E43" r:id="rId40" xr:uid="{BCE05AE6-DB30-482E-AD60-2033716F774A}"/>
    <hyperlink ref="E44" r:id="rId41" xr:uid="{1BE47BCE-ABCE-470E-8C2F-5E2120FCEB43}"/>
    <hyperlink ref="E45" r:id="rId42" xr:uid="{6CDFAA7C-E7B1-4743-B888-609A328272CC}"/>
    <hyperlink ref="E46" r:id="rId43" xr:uid="{EAFFC3DE-AA99-412D-9166-10D12760B3C5}"/>
    <hyperlink ref="E47" r:id="rId44" xr:uid="{B7F6B702-DF81-463A-8062-3C0F1CC8948C}"/>
    <hyperlink ref="E48" r:id="rId45" xr:uid="{86636CA5-AB65-4C5E-973B-0369045A052B}"/>
    <hyperlink ref="E49" r:id="rId46" xr:uid="{FA059A32-3898-4C00-AF8C-4B5B7CD25B7B}"/>
    <hyperlink ref="E50" r:id="rId47" xr:uid="{E2836726-F0E1-4286-AD35-F834A9A4F01D}"/>
    <hyperlink ref="E51" r:id="rId48" xr:uid="{9E8A25C1-C593-46B6-A2E6-22372765C3AB}"/>
    <hyperlink ref="E52" r:id="rId49" xr:uid="{F69B86C7-C41F-46CD-B20A-67CC3CE569DC}"/>
    <hyperlink ref="E53" r:id="rId50" xr:uid="{EFB2FC6B-0160-47BC-842B-84FCC25B750C}"/>
    <hyperlink ref="E54" r:id="rId51" xr:uid="{0D75F4ED-41C1-463A-A583-21DBE5C15FEB}"/>
    <hyperlink ref="E55" r:id="rId52" xr:uid="{949813BF-16F7-49D3-8382-0E7253E1C284}"/>
    <hyperlink ref="E56" r:id="rId53" xr:uid="{F6E95298-DA06-4741-BF29-D1C9DE0F8636}"/>
    <hyperlink ref="E57" r:id="rId54" xr:uid="{468ACDF8-12FE-42AF-8B60-554DED705AD8}"/>
    <hyperlink ref="E58" r:id="rId55" xr:uid="{D7EB2116-621B-464F-BC8A-EC0E57777237}"/>
    <hyperlink ref="E59" r:id="rId56" xr:uid="{FADCCC54-9F32-4460-BCFB-F228834F1195}"/>
    <hyperlink ref="E60" r:id="rId57" xr:uid="{B913BE56-13CD-412E-A650-7AC297918E53}"/>
    <hyperlink ref="E61" r:id="rId58" xr:uid="{689F6925-6945-4D64-80D4-DA14D9BBF55D}"/>
    <hyperlink ref="E62" r:id="rId59" xr:uid="{B3F96B2B-78FE-4A8A-9EC2-90D04DF540D7}"/>
    <hyperlink ref="E63" r:id="rId60" xr:uid="{165C2FF4-2332-4E15-AF35-AFA9A854C8AD}"/>
    <hyperlink ref="E64" r:id="rId61" xr:uid="{A0446F6A-CD01-4CCC-B525-67CFB33EB6FC}"/>
    <hyperlink ref="E65" r:id="rId62" xr:uid="{C69F4169-78E8-4489-89FF-573E7D281536}"/>
    <hyperlink ref="E66" r:id="rId63" xr:uid="{CFB59690-C712-41A6-BC02-C5BC8001F692}"/>
    <hyperlink ref="E67" r:id="rId64" xr:uid="{ADEFE276-56AB-4BA2-AB2A-6F64F63E5E66}"/>
    <hyperlink ref="E68" r:id="rId65" xr:uid="{8F382E6F-796D-4588-AA47-41F75B9DFD32}"/>
    <hyperlink ref="E69" r:id="rId66" xr:uid="{C3E87A90-5875-45A7-B058-D5B01D64EED3}"/>
    <hyperlink ref="E70" r:id="rId67" xr:uid="{5373173E-0F57-4E4C-ACD7-59805E9D1B2A}"/>
    <hyperlink ref="E71" r:id="rId68" xr:uid="{6AE41095-2D42-4810-9270-2BD0D871CEC2}"/>
    <hyperlink ref="E72" r:id="rId69" xr:uid="{C73B8B78-DCD5-436F-BCB9-0B7A87776CA9}"/>
    <hyperlink ref="E73" r:id="rId70" xr:uid="{E6F68ED3-1906-4A25-80C0-90683567004F}"/>
    <hyperlink ref="E74" r:id="rId71" xr:uid="{4D4B848E-53DF-4DA6-9E97-F73FF1F8AC97}"/>
    <hyperlink ref="E75" r:id="rId72" xr:uid="{0C75F0FA-D383-4049-BECE-0762994A65BD}"/>
    <hyperlink ref="E76" r:id="rId73" xr:uid="{5A2A9883-F422-49A8-BBFA-6D4E6CB0C45F}"/>
    <hyperlink ref="E77" r:id="rId74" xr:uid="{D80A068F-F5AD-403E-8EFE-1D59A7DB4CE5}"/>
    <hyperlink ref="E78" r:id="rId75" xr:uid="{6FA039DD-B143-4850-955F-FCB6ACC908C9}"/>
    <hyperlink ref="E79" r:id="rId76" xr:uid="{78CB1DB7-D25D-4A6C-A839-7AC2E0812316}"/>
    <hyperlink ref="E80" r:id="rId77" xr:uid="{13D3DA0E-218E-43D8-B170-5FDBE299CEF0}"/>
    <hyperlink ref="E81" r:id="rId78" xr:uid="{0AAB04CC-5E47-47FF-A7B5-F417409732EE}"/>
    <hyperlink ref="E82" r:id="rId79" xr:uid="{A5250256-141E-48F2-B321-6ACD9CE079B7}"/>
    <hyperlink ref="E83" r:id="rId80" xr:uid="{40CE75B6-83CA-480A-B66D-86673DFA713E}"/>
    <hyperlink ref="E84" r:id="rId81" xr:uid="{DB81E109-9519-4931-A881-310C99322927}"/>
    <hyperlink ref="E85" r:id="rId82" xr:uid="{B2DE281B-07FF-4538-810E-20518C567D85}"/>
    <hyperlink ref="E86" r:id="rId83" xr:uid="{5D507EFF-0591-4426-8735-3EE8E85683A9}"/>
    <hyperlink ref="E87" r:id="rId84" xr:uid="{B75B5CAD-A692-483F-9C78-39D44CFF7540}"/>
    <hyperlink ref="E88" r:id="rId85" xr:uid="{972380F2-367F-4D57-BBC4-BC10B4E4BDC8}"/>
    <hyperlink ref="E89" r:id="rId86" xr:uid="{D4034EAC-6851-4A4C-BEDE-386C2885193F}"/>
    <hyperlink ref="E90" r:id="rId87" xr:uid="{C9CB7284-9726-41D9-9E79-8B389ACEE54C}"/>
    <hyperlink ref="E91" r:id="rId88" xr:uid="{49C95235-B897-4F37-A83D-6C6F68227918}"/>
    <hyperlink ref="E92" r:id="rId89" xr:uid="{58BB8252-272D-4F7D-A83B-98F6122E4C89}"/>
    <hyperlink ref="E93" r:id="rId90" xr:uid="{D45F7BB6-3586-49BC-922C-A403D9495594}"/>
    <hyperlink ref="E94" r:id="rId91" xr:uid="{B03E7051-02D0-46E9-8CB6-EC32A9964E2E}"/>
    <hyperlink ref="E95" r:id="rId92" xr:uid="{2034B4E7-E490-4160-8443-0BC8325B2EC5}"/>
    <hyperlink ref="E96" r:id="rId93" xr:uid="{12162490-E526-425F-A00B-D7A4F9F66708}"/>
    <hyperlink ref="E97" r:id="rId94" xr:uid="{E58A2265-2923-4090-B6B2-A2B2EC60123B}"/>
    <hyperlink ref="E98" r:id="rId95" xr:uid="{1BE12857-2B88-4FD5-BCE3-7EFAE216898E}"/>
    <hyperlink ref="E99" r:id="rId96" xr:uid="{AA8AA213-398D-4AC5-9FBC-C339F33A3E5B}"/>
    <hyperlink ref="E100" r:id="rId97" xr:uid="{9C7E5082-41C8-417C-8FE1-6A903F1F09FF}"/>
    <hyperlink ref="E101" r:id="rId98" xr:uid="{0A888A95-353E-469D-AA07-FEE4DCC8CC3C}"/>
    <hyperlink ref="E102" r:id="rId99" xr:uid="{3DF66674-8F7F-4845-87F3-5340D7ED4E3D}"/>
    <hyperlink ref="E103" r:id="rId100" xr:uid="{17C534AF-DB64-496C-8AE7-279F9BA882BC}"/>
    <hyperlink ref="E104" r:id="rId101" xr:uid="{9D85C945-E993-4AE5-831C-90017B0AB866}"/>
    <hyperlink ref="E105" r:id="rId102" xr:uid="{291856AE-A79F-4FD3-8E62-D2DC2FFBEB5C}"/>
    <hyperlink ref="E106" r:id="rId103" xr:uid="{041F236F-1666-4D08-8D0E-40AB55F99D8A}"/>
    <hyperlink ref="E107" r:id="rId104" xr:uid="{C23CE588-FED3-40D5-B1DD-4004D9A2895B}"/>
    <hyperlink ref="E108" r:id="rId105" xr:uid="{3035B6A9-6FAA-4113-B50C-67858F57E585}"/>
    <hyperlink ref="E109" r:id="rId106" xr:uid="{6D88BE2E-2004-4D8A-A924-EC6C416FB452}"/>
    <hyperlink ref="E110" r:id="rId107" xr:uid="{EAFCD7D5-D26E-44FD-811B-A8FC9557D8E1}"/>
    <hyperlink ref="E111" r:id="rId108" xr:uid="{D570BCFB-37CF-454C-8575-75CA01F01673}"/>
    <hyperlink ref="E112" r:id="rId109" xr:uid="{E3888426-90C5-44BF-A0B9-E6A66DFA719D}"/>
    <hyperlink ref="E113" r:id="rId110" xr:uid="{2933607F-A02F-47D0-BBC3-553987BBB125}"/>
    <hyperlink ref="E114" r:id="rId111" xr:uid="{285D2793-5E0F-480A-A8E0-D0AAA58B7CF6}"/>
    <hyperlink ref="E115" r:id="rId112" xr:uid="{EE9314EA-C0F0-460B-8C77-3C61FCEFE878}"/>
    <hyperlink ref="E116" r:id="rId113" xr:uid="{9BFC4A9E-8E39-4CB2-92D7-A938EDAECDC0}"/>
    <hyperlink ref="E117" r:id="rId114" xr:uid="{0F7E36A0-BCCA-4D3A-9652-BC2D556B9A93}"/>
    <hyperlink ref="E118" r:id="rId115" xr:uid="{6E7C8CAE-4ED0-4F51-898F-AB3D9E3D4839}"/>
    <hyperlink ref="E119" r:id="rId116" xr:uid="{CE1662DE-BD28-46D8-BB4A-1D5B8BF149B3}"/>
    <hyperlink ref="E120" r:id="rId117" xr:uid="{7CE32112-9933-4FD1-AAF8-138717868273}"/>
    <hyperlink ref="E121" r:id="rId118" xr:uid="{D4C46948-0CE8-4EB4-82F1-84003C80EFC7}"/>
    <hyperlink ref="E122" r:id="rId119" xr:uid="{BF5EF829-C582-4908-BE9E-DEC5A32733F3}"/>
    <hyperlink ref="E123" r:id="rId120" xr:uid="{C5DF6616-51FC-49FF-BE85-BA09F6932340}"/>
    <hyperlink ref="E124" r:id="rId121" xr:uid="{D4BB461A-5C08-4528-841B-34CB4FC11CE2}"/>
    <hyperlink ref="E125" r:id="rId122" xr:uid="{16C9871D-985F-4CAB-9CD0-827857D18DE8}"/>
    <hyperlink ref="E126" r:id="rId123" xr:uid="{52915BB0-F91F-4414-91CC-01E09D5E30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2024-04-22T13:08:33Z</dcterms:created>
  <dcterms:modified xsi:type="dcterms:W3CDTF">2024-04-22T13:25:48Z</dcterms:modified>
</cp:coreProperties>
</file>